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5" yWindow="105" windowWidth="9000" windowHeight="7995" tabRatio="601"/>
  </bookViews>
  <sheets>
    <sheet name="77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>'3D Data'!$D$32:$AN$32</definedName>
    <definedName name="Boards" localSheetId="1">'3D'!#REF!</definedName>
    <definedName name="Boards" localSheetId="2">'3D'!#REF!</definedName>
    <definedName name="Boards">'3D'!#REF!</definedName>
    <definedName name="CrossTilt" localSheetId="1">'3D'!#REF!</definedName>
    <definedName name="CrossTilt" localSheetId="2">'3D'!#REF!</definedName>
    <definedName name="CrossTilt">'3D'!#REF!</definedName>
    <definedName name="_xlnm.Print_Area" localSheetId="1">'39'!$A$1:$BC$80</definedName>
    <definedName name="_xlnm.Print_Area" localSheetId="0">'77'!$A$1:$CO$82</definedName>
    <definedName name="_xlnm.Print_Area" localSheetId="2">SPB!$A$1:$M$56</definedName>
    <definedName name="Tilt">'3D Data'!$AQ$2:$AQ$31</definedName>
    <definedName name="Tilt0" localSheetId="1">'3D'!#REF!</definedName>
    <definedName name="Tilt0" localSheetId="2">'3D'!#REF!</definedName>
    <definedName name="Tilt0">'3D'!#REF!</definedName>
    <definedName name="TiltBoard">'3D Data'!$AT$2:$AT$31</definedName>
    <definedName name="TiltByBoard" localSheetId="1">'3D'!#REF!</definedName>
    <definedName name="TiltByBoard" localSheetId="2">'3D'!#REF!</definedName>
    <definedName name="TiltByBoard">'3D'!#REF!</definedName>
    <definedName name="TiltFact">'3D Data'!$AR$2:$AR$31</definedName>
    <definedName name="TiltFactor" localSheetId="1">'3D'!#REF!</definedName>
    <definedName name="TiltFactor" localSheetId="2">'3D'!#REF!</definedName>
    <definedName name="TiltFactor">'3D'!#REF!</definedName>
    <definedName name="TiltZ">'3D Data'!$AS$2:$AS$31</definedName>
  </definedNames>
  <calcPr calcId="125725"/>
</workbook>
</file>

<file path=xl/calcChain.xml><?xml version="1.0" encoding="utf-8"?>
<calcChain xmlns="http://schemas.openxmlformats.org/spreadsheetml/2006/main">
  <c r="AQ29" i="10"/>
  <c r="AT29" s="1"/>
  <c r="AQ27"/>
  <c r="AT27" s="1"/>
  <c r="AQ25"/>
  <c r="AT25" s="1"/>
  <c r="AQ22"/>
  <c r="AT22" s="1"/>
  <c r="AQ20"/>
  <c r="AT20" s="1"/>
  <c r="AQ18"/>
  <c r="AT18" s="1"/>
  <c r="AQ15"/>
  <c r="AT15" s="1"/>
  <c r="AQ13"/>
  <c r="AT13" s="1"/>
  <c r="AQ10"/>
  <c r="AT10" s="1"/>
  <c r="AQ8"/>
  <c r="AT8" s="1"/>
  <c r="AQ6"/>
  <c r="AT6" s="1"/>
  <c r="AQ3"/>
  <c r="AT3" s="1"/>
  <c r="AY67" i="13"/>
  <c r="AY65"/>
  <c r="AY63"/>
  <c r="AY60"/>
  <c r="AY58"/>
  <c r="AY56"/>
  <c r="AY53"/>
  <c r="AY51"/>
  <c r="AY48"/>
  <c r="AY46"/>
  <c r="AY44"/>
  <c r="CL69" i="1"/>
  <c r="CL67"/>
  <c r="CL65"/>
  <c r="CL62"/>
  <c r="CL60"/>
  <c r="CL58"/>
  <c r="CL55"/>
  <c r="CL53"/>
  <c r="CL50"/>
  <c r="CL48"/>
  <c r="CL46"/>
  <c r="CO29"/>
  <c r="CO27"/>
  <c r="CO25"/>
  <c r="CO22"/>
  <c r="CO20"/>
  <c r="CO18"/>
  <c r="CO15"/>
  <c r="CO13"/>
  <c r="CO10"/>
  <c r="CO8"/>
  <c r="CO6"/>
  <c r="CO3"/>
  <c r="AY41" i="13" s="1"/>
  <c r="CO2" i="1"/>
  <c r="AV31" i="13"/>
  <c r="AV30"/>
  <c r="AV29"/>
  <c r="AV28"/>
  <c r="AV27"/>
  <c r="AV26"/>
  <c r="AV25"/>
  <c r="AV24"/>
  <c r="AV23"/>
  <c r="AV22"/>
  <c r="AV21"/>
  <c r="AV20"/>
  <c r="AV19"/>
  <c r="AV18"/>
  <c r="AV17"/>
  <c r="AV16"/>
  <c r="AV15"/>
  <c r="AV14"/>
  <c r="AV13"/>
  <c r="AV12"/>
  <c r="AV11"/>
  <c r="AV10"/>
  <c r="AV9"/>
  <c r="AV8"/>
  <c r="AV7"/>
  <c r="AV6"/>
  <c r="AV5"/>
  <c r="AV4"/>
  <c r="AV3"/>
  <c r="AV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AU29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AU27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AU25"/>
  <c r="AT25"/>
  <c r="AS25"/>
  <c r="AR25"/>
  <c r="AQ25"/>
  <c r="AP25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I8"/>
  <c r="I6"/>
  <c r="I3"/>
  <c r="H8"/>
  <c r="AW46" s="1"/>
  <c r="H6"/>
  <c r="AW44" s="1"/>
  <c r="H3"/>
  <c r="AW41" s="1"/>
  <c r="AU8"/>
  <c r="AU46" s="1"/>
  <c r="AT8"/>
  <c r="AT46" s="1"/>
  <c r="AS8"/>
  <c r="AS46" s="1"/>
  <c r="AR8"/>
  <c r="AR46" s="1"/>
  <c r="AQ8"/>
  <c r="AQ46" s="1"/>
  <c r="AP8"/>
  <c r="AP46" s="1"/>
  <c r="AO8"/>
  <c r="AO46" s="1"/>
  <c r="AN8"/>
  <c r="AN46" s="1"/>
  <c r="AM8"/>
  <c r="AM46" s="1"/>
  <c r="AL8"/>
  <c r="AL46" s="1"/>
  <c r="AK8"/>
  <c r="AK46" s="1"/>
  <c r="AJ8"/>
  <c r="AJ46" s="1"/>
  <c r="AI8"/>
  <c r="AI46" s="1"/>
  <c r="AH8"/>
  <c r="AH46" s="1"/>
  <c r="AG8"/>
  <c r="AG46" s="1"/>
  <c r="AF8"/>
  <c r="AF46" s="1"/>
  <c r="AE8"/>
  <c r="AE46" s="1"/>
  <c r="AD8"/>
  <c r="AD46" s="1"/>
  <c r="AC8"/>
  <c r="AC46" s="1"/>
  <c r="AB8"/>
  <c r="AB46" s="1"/>
  <c r="AA8"/>
  <c r="AA46" s="1"/>
  <c r="Z8"/>
  <c r="Z46" s="1"/>
  <c r="Y8"/>
  <c r="Y46" s="1"/>
  <c r="X8"/>
  <c r="X46" s="1"/>
  <c r="W8"/>
  <c r="W46" s="1"/>
  <c r="V8"/>
  <c r="V46" s="1"/>
  <c r="U8"/>
  <c r="U46" s="1"/>
  <c r="T8"/>
  <c r="T46" s="1"/>
  <c r="S8"/>
  <c r="S46" s="1"/>
  <c r="R8"/>
  <c r="R46" s="1"/>
  <c r="Q8"/>
  <c r="Q46" s="1"/>
  <c r="P8"/>
  <c r="P46" s="1"/>
  <c r="O8"/>
  <c r="O46" s="1"/>
  <c r="N8"/>
  <c r="N46" s="1"/>
  <c r="M8"/>
  <c r="M46" s="1"/>
  <c r="L8"/>
  <c r="L46" s="1"/>
  <c r="K8"/>
  <c r="K46" s="1"/>
  <c r="AU6"/>
  <c r="AU44" s="1"/>
  <c r="AT6"/>
  <c r="AT44" s="1"/>
  <c r="AS6"/>
  <c r="AS44" s="1"/>
  <c r="AR6"/>
  <c r="AR44" s="1"/>
  <c r="AQ6"/>
  <c r="AQ44" s="1"/>
  <c r="AP6"/>
  <c r="AP44" s="1"/>
  <c r="AO6"/>
  <c r="AO44" s="1"/>
  <c r="AN6"/>
  <c r="AN44" s="1"/>
  <c r="AM6"/>
  <c r="AM44" s="1"/>
  <c r="AL6"/>
  <c r="AL44" s="1"/>
  <c r="AK6"/>
  <c r="AK44" s="1"/>
  <c r="AJ6"/>
  <c r="AJ44" s="1"/>
  <c r="AI6"/>
  <c r="AI44" s="1"/>
  <c r="AH6"/>
  <c r="AH44" s="1"/>
  <c r="AG6"/>
  <c r="AG44" s="1"/>
  <c r="AF6"/>
  <c r="AF44" s="1"/>
  <c r="AE6"/>
  <c r="AE44" s="1"/>
  <c r="AD6"/>
  <c r="AD44" s="1"/>
  <c r="AC6"/>
  <c r="AC44" s="1"/>
  <c r="AB6"/>
  <c r="AB44" s="1"/>
  <c r="AA6"/>
  <c r="AA44" s="1"/>
  <c r="Z6"/>
  <c r="Z44" s="1"/>
  <c r="Y6"/>
  <c r="Y44" s="1"/>
  <c r="X6"/>
  <c r="X44" s="1"/>
  <c r="W6"/>
  <c r="W44" s="1"/>
  <c r="V6"/>
  <c r="V44" s="1"/>
  <c r="U6"/>
  <c r="U44" s="1"/>
  <c r="T6"/>
  <c r="T44" s="1"/>
  <c r="S6"/>
  <c r="S44" s="1"/>
  <c r="R6"/>
  <c r="R44" s="1"/>
  <c r="Q6"/>
  <c r="Q44" s="1"/>
  <c r="P6"/>
  <c r="P44" s="1"/>
  <c r="O6"/>
  <c r="O44" s="1"/>
  <c r="N6"/>
  <c r="N44" s="1"/>
  <c r="M6"/>
  <c r="M44" s="1"/>
  <c r="L6"/>
  <c r="L44" s="1"/>
  <c r="K6"/>
  <c r="K44" s="1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I29"/>
  <c r="I27"/>
  <c r="I25"/>
  <c r="I22"/>
  <c r="I20"/>
  <c r="I18"/>
  <c r="I15"/>
  <c r="I13"/>
  <c r="I10"/>
  <c r="H29"/>
  <c r="AW67" s="1"/>
  <c r="H27"/>
  <c r="AW65" s="1"/>
  <c r="H25"/>
  <c r="AW63" s="1"/>
  <c r="H22"/>
  <c r="AW60" s="1"/>
  <c r="H20"/>
  <c r="AW58" s="1"/>
  <c r="H18"/>
  <c r="AW56" s="1"/>
  <c r="H15"/>
  <c r="AW53" s="1"/>
  <c r="H13"/>
  <c r="AW51" s="1"/>
  <c r="H10"/>
  <c r="AW48" s="1"/>
  <c r="CI69" i="1"/>
  <c r="CH69"/>
  <c r="CG69"/>
  <c r="CF69"/>
  <c r="CE69"/>
  <c r="CD69"/>
  <c r="CC69"/>
  <c r="CB69"/>
  <c r="CA69"/>
  <c r="BZ69"/>
  <c r="BY69"/>
  <c r="BX69"/>
  <c r="BW69"/>
  <c r="BV69"/>
  <c r="BU69"/>
  <c r="BT69"/>
  <c r="BS69"/>
  <c r="BR69"/>
  <c r="BQ69"/>
  <c r="BP69"/>
  <c r="BO69"/>
  <c r="BN69"/>
  <c r="BM69"/>
  <c r="BL69"/>
  <c r="BK69"/>
  <c r="BJ69"/>
  <c r="BI69"/>
  <c r="BH69"/>
  <c r="BG69"/>
  <c r="BF69"/>
  <c r="BE69"/>
  <c r="BD69"/>
  <c r="BC69"/>
  <c r="BB69"/>
  <c r="BA69"/>
  <c r="AZ69"/>
  <c r="AY69"/>
  <c r="AX69"/>
  <c r="AW69"/>
  <c r="AV69"/>
  <c r="AU69"/>
  <c r="AT69"/>
  <c r="AS69"/>
  <c r="AR69"/>
  <c r="AQ69"/>
  <c r="AP69"/>
  <c r="AO69"/>
  <c r="AN69"/>
  <c r="AM69"/>
  <c r="AL69"/>
  <c r="AK69"/>
  <c r="AJ69"/>
  <c r="AI69"/>
  <c r="AH69"/>
  <c r="AG69"/>
  <c r="AF69"/>
  <c r="AE69"/>
  <c r="AD69"/>
  <c r="AC69"/>
  <c r="AB69"/>
  <c r="AA69"/>
  <c r="Z69"/>
  <c r="Y69"/>
  <c r="X69"/>
  <c r="W69"/>
  <c r="V69"/>
  <c r="U69"/>
  <c r="T69"/>
  <c r="S69"/>
  <c r="R69"/>
  <c r="Q69"/>
  <c r="P69"/>
  <c r="O69"/>
  <c r="N69"/>
  <c r="M69"/>
  <c r="L69"/>
  <c r="CI67"/>
  <c r="CH67"/>
  <c r="CG67"/>
  <c r="CF67"/>
  <c r="CE67"/>
  <c r="CD67"/>
  <c r="CC67"/>
  <c r="CB67"/>
  <c r="CA67"/>
  <c r="BZ67"/>
  <c r="BY67"/>
  <c r="BX67"/>
  <c r="BW67"/>
  <c r="BV67"/>
  <c r="BU67"/>
  <c r="BT67"/>
  <c r="BS67"/>
  <c r="BR67"/>
  <c r="BQ67"/>
  <c r="BP67"/>
  <c r="BO67"/>
  <c r="BN67"/>
  <c r="BM67"/>
  <c r="BL67"/>
  <c r="BK67"/>
  <c r="BJ67"/>
  <c r="BI67"/>
  <c r="BH67"/>
  <c r="BG67"/>
  <c r="BF67"/>
  <c r="BE67"/>
  <c r="BD67"/>
  <c r="BC67"/>
  <c r="BB67"/>
  <c r="BA67"/>
  <c r="AZ67"/>
  <c r="AY67"/>
  <c r="AX67"/>
  <c r="AW67"/>
  <c r="AV67"/>
  <c r="AU67"/>
  <c r="AT67"/>
  <c r="AS67"/>
  <c r="AR67"/>
  <c r="AQ67"/>
  <c r="AP67"/>
  <c r="AO67"/>
  <c r="AN67"/>
  <c r="AM67"/>
  <c r="AL67"/>
  <c r="AK67"/>
  <c r="AJ67"/>
  <c r="AI67"/>
  <c r="AH67"/>
  <c r="AG67"/>
  <c r="AF67"/>
  <c r="AE67"/>
  <c r="AD67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CI65"/>
  <c r="CH65"/>
  <c r="CG65"/>
  <c r="CF65"/>
  <c r="CE65"/>
  <c r="CD65"/>
  <c r="CC65"/>
  <c r="CB65"/>
  <c r="CA65"/>
  <c r="BZ65"/>
  <c r="BY65"/>
  <c r="BX65"/>
  <c r="BW65"/>
  <c r="BV65"/>
  <c r="BU65"/>
  <c r="BT65"/>
  <c r="BS65"/>
  <c r="BR65"/>
  <c r="BQ65"/>
  <c r="BP65"/>
  <c r="BO65"/>
  <c r="BN65"/>
  <c r="BM65"/>
  <c r="BL65"/>
  <c r="BK65"/>
  <c r="BJ65"/>
  <c r="BI65"/>
  <c r="BH65"/>
  <c r="BG65"/>
  <c r="BF65"/>
  <c r="BE65"/>
  <c r="BD65"/>
  <c r="BC65"/>
  <c r="BB65"/>
  <c r="BA65"/>
  <c r="AZ65"/>
  <c r="AY65"/>
  <c r="AX65"/>
  <c r="AW65"/>
  <c r="AV65"/>
  <c r="AU65"/>
  <c r="AT65"/>
  <c r="AS65"/>
  <c r="AR65"/>
  <c r="AQ65"/>
  <c r="AP65"/>
  <c r="AO65"/>
  <c r="AN65"/>
  <c r="AM65"/>
  <c r="AL65"/>
  <c r="AK65"/>
  <c r="AJ65"/>
  <c r="AI65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CI62"/>
  <c r="CH62"/>
  <c r="CG62"/>
  <c r="CF62"/>
  <c r="CE62"/>
  <c r="CD62"/>
  <c r="CC62"/>
  <c r="CB62"/>
  <c r="CA62"/>
  <c r="BZ62"/>
  <c r="BY62"/>
  <c r="BX62"/>
  <c r="BW62"/>
  <c r="BV62"/>
  <c r="BU62"/>
  <c r="BT62"/>
  <c r="BS62"/>
  <c r="BR62"/>
  <c r="BQ62"/>
  <c r="BP62"/>
  <c r="BO62"/>
  <c r="BN62"/>
  <c r="BM62"/>
  <c r="BL62"/>
  <c r="BK62"/>
  <c r="BJ62"/>
  <c r="BI62"/>
  <c r="BH62"/>
  <c r="BG62"/>
  <c r="BF62"/>
  <c r="BE62"/>
  <c r="BD62"/>
  <c r="BC62"/>
  <c r="BB62"/>
  <c r="BA62"/>
  <c r="AZ62"/>
  <c r="AY62"/>
  <c r="AX62"/>
  <c r="AW62"/>
  <c r="AV62"/>
  <c r="AU62"/>
  <c r="AT62"/>
  <c r="AS62"/>
  <c r="AR62"/>
  <c r="AQ62"/>
  <c r="AP62"/>
  <c r="AO62"/>
  <c r="AN62"/>
  <c r="AM62"/>
  <c r="AL62"/>
  <c r="AK62"/>
  <c r="AJ62"/>
  <c r="AI62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P62"/>
  <c r="O62"/>
  <c r="N62"/>
  <c r="M62"/>
  <c r="L62"/>
  <c r="CI60"/>
  <c r="CH60"/>
  <c r="CG60"/>
  <c r="CF60"/>
  <c r="CE60"/>
  <c r="CD60"/>
  <c r="CC60"/>
  <c r="CB60"/>
  <c r="CA60"/>
  <c r="BZ60"/>
  <c r="BY60"/>
  <c r="BX60"/>
  <c r="BW60"/>
  <c r="BV60"/>
  <c r="BU60"/>
  <c r="BT60"/>
  <c r="BS60"/>
  <c r="BR60"/>
  <c r="BQ60"/>
  <c r="BP60"/>
  <c r="BO60"/>
  <c r="BN60"/>
  <c r="BM60"/>
  <c r="BL60"/>
  <c r="BK60"/>
  <c r="BJ60"/>
  <c r="BI60"/>
  <c r="BH60"/>
  <c r="BG60"/>
  <c r="BF60"/>
  <c r="BE60"/>
  <c r="BD60"/>
  <c r="BC60"/>
  <c r="BB60"/>
  <c r="BA60"/>
  <c r="AZ60"/>
  <c r="AY60"/>
  <c r="AX60"/>
  <c r="AW60"/>
  <c r="AV60"/>
  <c r="AU60"/>
  <c r="AT60"/>
  <c r="AS60"/>
  <c r="AR60"/>
  <c r="AQ60"/>
  <c r="AP60"/>
  <c r="AO60"/>
  <c r="AN60"/>
  <c r="AM60"/>
  <c r="AL60"/>
  <c r="AK60"/>
  <c r="AJ60"/>
  <c r="AI60"/>
  <c r="AH60"/>
  <c r="AG60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CI58"/>
  <c r="CH58"/>
  <c r="CG58"/>
  <c r="CF58"/>
  <c r="CE58"/>
  <c r="CD58"/>
  <c r="CC58"/>
  <c r="CB58"/>
  <c r="CA58"/>
  <c r="BZ58"/>
  <c r="BY58"/>
  <c r="BX58"/>
  <c r="BW58"/>
  <c r="BV58"/>
  <c r="BU58"/>
  <c r="BT58"/>
  <c r="BS58"/>
  <c r="BR58"/>
  <c r="BQ58"/>
  <c r="BP58"/>
  <c r="BO58"/>
  <c r="BN58"/>
  <c r="BM58"/>
  <c r="BL58"/>
  <c r="BK58"/>
  <c r="BJ58"/>
  <c r="BI58"/>
  <c r="BH58"/>
  <c r="BG58"/>
  <c r="BF58"/>
  <c r="BE58"/>
  <c r="BD58"/>
  <c r="BC58"/>
  <c r="BB58"/>
  <c r="BA58"/>
  <c r="AZ58"/>
  <c r="AY58"/>
  <c r="AX58"/>
  <c r="AW58"/>
  <c r="AV58"/>
  <c r="AU58"/>
  <c r="AT58"/>
  <c r="AS58"/>
  <c r="AR58"/>
  <c r="AQ58"/>
  <c r="AP58"/>
  <c r="AO58"/>
  <c r="AN58"/>
  <c r="AM58"/>
  <c r="AL58"/>
  <c r="AK58"/>
  <c r="AJ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CI55"/>
  <c r="CH55"/>
  <c r="CG55"/>
  <c r="CF55"/>
  <c r="CE55"/>
  <c r="CD55"/>
  <c r="CC55"/>
  <c r="CB55"/>
  <c r="CA55"/>
  <c r="BZ55"/>
  <c r="BY55"/>
  <c r="BX55"/>
  <c r="BW55"/>
  <c r="BV55"/>
  <c r="BU55"/>
  <c r="BT55"/>
  <c r="BS55"/>
  <c r="BR55"/>
  <c r="BQ55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AR55"/>
  <c r="AQ55"/>
  <c r="AP55"/>
  <c r="AO55"/>
  <c r="AN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CI53"/>
  <c r="CH53"/>
  <c r="CG53"/>
  <c r="CF53"/>
  <c r="CE53"/>
  <c r="CD53"/>
  <c r="CC53"/>
  <c r="CB53"/>
  <c r="CA53"/>
  <c r="BZ53"/>
  <c r="BY53"/>
  <c r="BX53"/>
  <c r="BW53"/>
  <c r="BV53"/>
  <c r="BU53"/>
  <c r="BT53"/>
  <c r="BS53"/>
  <c r="BR53"/>
  <c r="BQ53"/>
  <c r="BP53"/>
  <c r="BO53"/>
  <c r="BN53"/>
  <c r="BM53"/>
  <c r="BL53"/>
  <c r="BK53"/>
  <c r="BJ53"/>
  <c r="BI53"/>
  <c r="BH53"/>
  <c r="BG53"/>
  <c r="BF53"/>
  <c r="BE53"/>
  <c r="BD53"/>
  <c r="BC53"/>
  <c r="BB53"/>
  <c r="BA53"/>
  <c r="AZ53"/>
  <c r="AY53"/>
  <c r="AX53"/>
  <c r="AW53"/>
  <c r="AV53"/>
  <c r="AU53"/>
  <c r="AT53"/>
  <c r="AS53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CI50"/>
  <c r="CH50"/>
  <c r="CG50"/>
  <c r="CF50"/>
  <c r="CE50"/>
  <c r="CD50"/>
  <c r="CC50"/>
  <c r="CB50"/>
  <c r="CA50"/>
  <c r="BZ50"/>
  <c r="BY50"/>
  <c r="BX50"/>
  <c r="BW50"/>
  <c r="BV50"/>
  <c r="BU50"/>
  <c r="BT50"/>
  <c r="BS50"/>
  <c r="BR50"/>
  <c r="BQ50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CI48"/>
  <c r="CH48"/>
  <c r="CG48"/>
  <c r="CF48"/>
  <c r="CE48"/>
  <c r="CD48"/>
  <c r="CC48"/>
  <c r="CB48"/>
  <c r="CA48"/>
  <c r="BZ48"/>
  <c r="BY48"/>
  <c r="BX48"/>
  <c r="BW48"/>
  <c r="BV48"/>
  <c r="BU48"/>
  <c r="BT48"/>
  <c r="BS48"/>
  <c r="BR48"/>
  <c r="BQ48"/>
  <c r="BP48"/>
  <c r="BO48"/>
  <c r="BN48"/>
  <c r="BM48"/>
  <c r="BL48"/>
  <c r="BK48"/>
  <c r="BJ48"/>
  <c r="BI48"/>
  <c r="BH48"/>
  <c r="BG48"/>
  <c r="BF48"/>
  <c r="BE48"/>
  <c r="BD48"/>
  <c r="BC48"/>
  <c r="BB48"/>
  <c r="BA48"/>
  <c r="AZ48"/>
  <c r="AY48"/>
  <c r="AX48"/>
  <c r="AW48"/>
  <c r="AV48"/>
  <c r="AU48"/>
  <c r="AT48"/>
  <c r="AS48"/>
  <c r="AR48"/>
  <c r="AQ48"/>
  <c r="AP48"/>
  <c r="AO48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CI46"/>
  <c r="CH46"/>
  <c r="CG46"/>
  <c r="CF46"/>
  <c r="CE46"/>
  <c r="CD46"/>
  <c r="CC46"/>
  <c r="CB46"/>
  <c r="CA46"/>
  <c r="BZ46"/>
  <c r="BY46"/>
  <c r="BX46"/>
  <c r="BW46"/>
  <c r="BV46"/>
  <c r="BU46"/>
  <c r="BT46"/>
  <c r="BS46"/>
  <c r="BR46"/>
  <c r="BQ46"/>
  <c r="BP46"/>
  <c r="BO46"/>
  <c r="BN46"/>
  <c r="BM46"/>
  <c r="BL46"/>
  <c r="BK46"/>
  <c r="BJ46"/>
  <c r="BI46"/>
  <c r="BH46"/>
  <c r="BG46"/>
  <c r="BF46"/>
  <c r="BE46"/>
  <c r="BD46"/>
  <c r="BC46"/>
  <c r="BB46"/>
  <c r="BA46"/>
  <c r="AZ46"/>
  <c r="AY46"/>
  <c r="AX46"/>
  <c r="AW46"/>
  <c r="AV46"/>
  <c r="AU46"/>
  <c r="AT46"/>
  <c r="AS46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CI43"/>
  <c r="CH43"/>
  <c r="CG43"/>
  <c r="CF43"/>
  <c r="CE43"/>
  <c r="CD43"/>
  <c r="CC43"/>
  <c r="CB43"/>
  <c r="CA43"/>
  <c r="BZ43"/>
  <c r="BY43"/>
  <c r="BX43"/>
  <c r="BW43"/>
  <c r="BV43"/>
  <c r="BU43"/>
  <c r="BT43"/>
  <c r="BS43"/>
  <c r="BR43"/>
  <c r="BQ43"/>
  <c r="BP43"/>
  <c r="BO43"/>
  <c r="BN43"/>
  <c r="BM43"/>
  <c r="BL43"/>
  <c r="BK43"/>
  <c r="BJ43"/>
  <c r="BI43"/>
  <c r="BH43"/>
  <c r="BG43"/>
  <c r="BF43"/>
  <c r="BE43"/>
  <c r="BD43"/>
  <c r="BC43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69"/>
  <c r="K67"/>
  <c r="K65"/>
  <c r="K62"/>
  <c r="K60"/>
  <c r="K58"/>
  <c r="K55"/>
  <c r="K53"/>
  <c r="K50"/>
  <c r="K48"/>
  <c r="K46"/>
  <c r="K43"/>
  <c r="CJ69"/>
  <c r="CJ67"/>
  <c r="CJ65"/>
  <c r="CJ62"/>
  <c r="CJ60"/>
  <c r="CJ58"/>
  <c r="CJ55"/>
  <c r="CJ53"/>
  <c r="CJ50"/>
  <c r="CJ48"/>
  <c r="CJ46"/>
  <c r="CJ43"/>
  <c r="J69"/>
  <c r="J67"/>
  <c r="J65"/>
  <c r="J62"/>
  <c r="J60"/>
  <c r="J58"/>
  <c r="J55"/>
  <c r="J53"/>
  <c r="J50"/>
  <c r="J48"/>
  <c r="J46"/>
  <c r="J43"/>
  <c r="L48" i="13" l="1"/>
  <c r="N48"/>
  <c r="P48"/>
  <c r="R48"/>
  <c r="T48"/>
  <c r="V48"/>
  <c r="X48"/>
  <c r="Z48"/>
  <c r="AB48"/>
  <c r="AD48"/>
  <c r="AF48"/>
  <c r="AH48"/>
  <c r="AJ48"/>
  <c r="AL48"/>
  <c r="AN48"/>
  <c r="AP48"/>
  <c r="AR48"/>
  <c r="AT48"/>
  <c r="K51"/>
  <c r="M51"/>
  <c r="O51"/>
  <c r="Q51"/>
  <c r="S51"/>
  <c r="U51"/>
  <c r="W51"/>
  <c r="Y51"/>
  <c r="AA51"/>
  <c r="AC51"/>
  <c r="AE51"/>
  <c r="AG51"/>
  <c r="AI51"/>
  <c r="AK51"/>
  <c r="AM51"/>
  <c r="AO51"/>
  <c r="AQ51"/>
  <c r="AS51"/>
  <c r="AU51"/>
  <c r="L53"/>
  <c r="N53"/>
  <c r="P53"/>
  <c r="R53"/>
  <c r="T53"/>
  <c r="V53"/>
  <c r="X53"/>
  <c r="Z53"/>
  <c r="AB53"/>
  <c r="AD53"/>
  <c r="AF53"/>
  <c r="AH53"/>
  <c r="AJ53"/>
  <c r="AL53"/>
  <c r="AN53"/>
  <c r="AP53"/>
  <c r="AR53"/>
  <c r="AT53"/>
  <c r="K56"/>
  <c r="M56"/>
  <c r="O56"/>
  <c r="Q56"/>
  <c r="S56"/>
  <c r="U56"/>
  <c r="W56"/>
  <c r="Y56"/>
  <c r="AA56"/>
  <c r="AC56"/>
  <c r="AE56"/>
  <c r="AG56"/>
  <c r="AI56"/>
  <c r="AK56"/>
  <c r="AM56"/>
  <c r="AO56"/>
  <c r="AQ56"/>
  <c r="AS56"/>
  <c r="AU56"/>
  <c r="L58"/>
  <c r="N58"/>
  <c r="P58"/>
  <c r="R58"/>
  <c r="T58"/>
  <c r="V58"/>
  <c r="X58"/>
  <c r="Z58"/>
  <c r="AB58"/>
  <c r="AD58"/>
  <c r="AF58"/>
  <c r="AH58"/>
  <c r="AJ58"/>
  <c r="AL58"/>
  <c r="AN58"/>
  <c r="AP58"/>
  <c r="AR58"/>
  <c r="AT58"/>
  <c r="K60"/>
  <c r="M60"/>
  <c r="O60"/>
  <c r="Q60"/>
  <c r="S60"/>
  <c r="U60"/>
  <c r="W60"/>
  <c r="Y60"/>
  <c r="AA60"/>
  <c r="AC60"/>
  <c r="AE60"/>
  <c r="AG60"/>
  <c r="AI60"/>
  <c r="AK60"/>
  <c r="AM60"/>
  <c r="AO60"/>
  <c r="AQ60"/>
  <c r="AS60"/>
  <c r="AU60"/>
  <c r="L63"/>
  <c r="N63"/>
  <c r="P63"/>
  <c r="R63"/>
  <c r="T63"/>
  <c r="V63"/>
  <c r="X63"/>
  <c r="Z63"/>
  <c r="AB63"/>
  <c r="AD63"/>
  <c r="AF63"/>
  <c r="AH63"/>
  <c r="AJ63"/>
  <c r="AL63"/>
  <c r="AN63"/>
  <c r="AP63"/>
  <c r="AR63"/>
  <c r="AT63"/>
  <c r="K65"/>
  <c r="M65"/>
  <c r="O65"/>
  <c r="Q65"/>
  <c r="S65"/>
  <c r="U65"/>
  <c r="W65"/>
  <c r="Y65"/>
  <c r="AA65"/>
  <c r="AC65"/>
  <c r="AE65"/>
  <c r="AG65"/>
  <c r="AI65"/>
  <c r="AK65"/>
  <c r="AM65"/>
  <c r="AO65"/>
  <c r="AQ65"/>
  <c r="AS65"/>
  <c r="AU65"/>
  <c r="L67"/>
  <c r="N67"/>
  <c r="P67"/>
  <c r="R67"/>
  <c r="T67"/>
  <c r="V67"/>
  <c r="X67"/>
  <c r="Z67"/>
  <c r="AB67"/>
  <c r="AD67"/>
  <c r="AF67"/>
  <c r="AH67"/>
  <c r="AJ67"/>
  <c r="AL67"/>
  <c r="AN67"/>
  <c r="AP67"/>
  <c r="AR67"/>
  <c r="AT67"/>
  <c r="AV44"/>
  <c r="AV46"/>
  <c r="AV48"/>
  <c r="AV56"/>
  <c r="AV58"/>
  <c r="AV60"/>
  <c r="K48"/>
  <c r="M48"/>
  <c r="O48"/>
  <c r="Q48"/>
  <c r="S48"/>
  <c r="U48"/>
  <c r="W48"/>
  <c r="Y48"/>
  <c r="AA48"/>
  <c r="AC48"/>
  <c r="AE48"/>
  <c r="AG48"/>
  <c r="AI48"/>
  <c r="AK48"/>
  <c r="AM48"/>
  <c r="AO48"/>
  <c r="AQ48"/>
  <c r="AS48"/>
  <c r="AU48"/>
  <c r="L51"/>
  <c r="N51"/>
  <c r="P51"/>
  <c r="R51"/>
  <c r="T51"/>
  <c r="V51"/>
  <c r="X51"/>
  <c r="Z51"/>
  <c r="AB51"/>
  <c r="AD51"/>
  <c r="AF51"/>
  <c r="AH51"/>
  <c r="AJ51"/>
  <c r="AL51"/>
  <c r="AN51"/>
  <c r="AP51"/>
  <c r="AR51"/>
  <c r="AT51"/>
  <c r="K53"/>
  <c r="M53"/>
  <c r="O53"/>
  <c r="Q53"/>
  <c r="S53"/>
  <c r="U53"/>
  <c r="W53"/>
  <c r="Y53"/>
  <c r="AA53"/>
  <c r="AC53"/>
  <c r="AE53"/>
  <c r="AG53"/>
  <c r="AI53"/>
  <c r="AK53"/>
  <c r="AM53"/>
  <c r="AO53"/>
  <c r="AQ53"/>
  <c r="AS53"/>
  <c r="AU53"/>
  <c r="L56"/>
  <c r="N56"/>
  <c r="P56"/>
  <c r="R56"/>
  <c r="T56"/>
  <c r="V56"/>
  <c r="X56"/>
  <c r="Z56"/>
  <c r="AB56"/>
  <c r="AD56"/>
  <c r="AF56"/>
  <c r="AH56"/>
  <c r="AJ56"/>
  <c r="AL56"/>
  <c r="AN56"/>
  <c r="AP56"/>
  <c r="AR56"/>
  <c r="AT56"/>
  <c r="K58"/>
  <c r="M58"/>
  <c r="O58"/>
  <c r="Q58"/>
  <c r="S58"/>
  <c r="U58"/>
  <c r="W58"/>
  <c r="Y58"/>
  <c r="AA58"/>
  <c r="AC58"/>
  <c r="AE58"/>
  <c r="AG58"/>
  <c r="AI58"/>
  <c r="AK58"/>
  <c r="AM58"/>
  <c r="AO58"/>
  <c r="AQ58"/>
  <c r="AS58"/>
  <c r="AU58"/>
  <c r="L60"/>
  <c r="N60"/>
  <c r="P60"/>
  <c r="R60"/>
  <c r="T60"/>
  <c r="V60"/>
  <c r="X60"/>
  <c r="Z60"/>
  <c r="AB60"/>
  <c r="AD60"/>
  <c r="AF60"/>
  <c r="AH60"/>
  <c r="AJ60"/>
  <c r="AL60"/>
  <c r="AN60"/>
  <c r="AP60"/>
  <c r="AR60"/>
  <c r="AT60"/>
  <c r="K63"/>
  <c r="M63"/>
  <c r="O63"/>
  <c r="Q63"/>
  <c r="S63"/>
  <c r="U63"/>
  <c r="W63"/>
  <c r="Y63"/>
  <c r="AA63"/>
  <c r="AC63"/>
  <c r="AE63"/>
  <c r="AG63"/>
  <c r="AI63"/>
  <c r="AK63"/>
  <c r="AM63"/>
  <c r="AO63"/>
  <c r="AQ63"/>
  <c r="AS63"/>
  <c r="AU63"/>
  <c r="L65"/>
  <c r="N65"/>
  <c r="P65"/>
  <c r="R65"/>
  <c r="T65"/>
  <c r="V65"/>
  <c r="X65"/>
  <c r="Z65"/>
  <c r="AB65"/>
  <c r="AD65"/>
  <c r="AF65"/>
  <c r="AH65"/>
  <c r="AJ65"/>
  <c r="AL65"/>
  <c r="AN65"/>
  <c r="AP65"/>
  <c r="AR65"/>
  <c r="AT65"/>
  <c r="K67"/>
  <c r="M67"/>
  <c r="O67"/>
  <c r="Q67"/>
  <c r="S67"/>
  <c r="U67"/>
  <c r="W67"/>
  <c r="Y67"/>
  <c r="AA67"/>
  <c r="AC67"/>
  <c r="AE67"/>
  <c r="AG67"/>
  <c r="AI67"/>
  <c r="AK67"/>
  <c r="AM67"/>
  <c r="AO67"/>
  <c r="AQ67"/>
  <c r="AS67"/>
  <c r="AU67"/>
  <c r="AV51"/>
  <c r="AV53"/>
  <c r="AV63"/>
  <c r="AV65"/>
  <c r="AV67"/>
  <c r="K41"/>
  <c r="M41"/>
  <c r="O41"/>
  <c r="Q41"/>
  <c r="S41"/>
  <c r="U41"/>
  <c r="Y41"/>
  <c r="AA41"/>
  <c r="AC41"/>
  <c r="AE41"/>
  <c r="AG41"/>
  <c r="AI41"/>
  <c r="AK41"/>
  <c r="AM41"/>
  <c r="AO41"/>
  <c r="AQ41"/>
  <c r="AS41"/>
  <c r="AU41"/>
  <c r="J41"/>
  <c r="J46"/>
  <c r="J51"/>
  <c r="J56"/>
  <c r="J60"/>
  <c r="J65"/>
  <c r="AR6" i="10"/>
  <c r="AO6" s="1"/>
  <c r="AR10"/>
  <c r="AO10" s="1"/>
  <c r="AR15"/>
  <c r="AO15" s="1"/>
  <c r="AR20"/>
  <c r="AO20" s="1"/>
  <c r="AR25"/>
  <c r="AO25" s="1"/>
  <c r="AR29"/>
  <c r="AO29" s="1"/>
  <c r="W41" i="13"/>
  <c r="L41"/>
  <c r="N41"/>
  <c r="P41"/>
  <c r="R41"/>
  <c r="T41"/>
  <c r="V41"/>
  <c r="X41"/>
  <c r="Z41"/>
  <c r="AB41"/>
  <c r="AD41"/>
  <c r="AF41"/>
  <c r="AH41"/>
  <c r="AJ41"/>
  <c r="AL41"/>
  <c r="AN41"/>
  <c r="AP41"/>
  <c r="AR41"/>
  <c r="AT41"/>
  <c r="AV41"/>
  <c r="J44"/>
  <c r="J48"/>
  <c r="J53"/>
  <c r="J58"/>
  <c r="J63"/>
  <c r="J67"/>
  <c r="AR3" i="10"/>
  <c r="AO3" s="1"/>
  <c r="AR8"/>
  <c r="AO8" s="1"/>
  <c r="AR13"/>
  <c r="AO13" s="1"/>
  <c r="AR18"/>
  <c r="AO18" s="1"/>
  <c r="AR22"/>
  <c r="AO22" s="1"/>
  <c r="AR27"/>
  <c r="AO27" s="1"/>
  <c r="CL43" i="1"/>
  <c r="AS6" i="10"/>
  <c r="AS15"/>
  <c r="AS25"/>
  <c r="AS3"/>
  <c r="AS13"/>
  <c r="AS22"/>
  <c r="B291" i="17"/>
  <c r="D291" s="1"/>
  <c r="F930"/>
  <c r="B930"/>
  <c r="D930" s="1"/>
  <c r="O928"/>
  <c r="K928"/>
  <c r="J928"/>
  <c r="I928"/>
  <c r="H928"/>
  <c r="L928" s="1"/>
  <c r="G928"/>
  <c r="E928"/>
  <c r="D928"/>
  <c r="C928"/>
  <c r="J926"/>
  <c r="E926"/>
  <c r="D926"/>
  <c r="C926"/>
  <c r="J925"/>
  <c r="I925"/>
  <c r="H925"/>
  <c r="L925" s="1"/>
  <c r="M925" s="1"/>
  <c r="G925"/>
  <c r="E925"/>
  <c r="D925"/>
  <c r="C925"/>
  <c r="J924"/>
  <c r="H924"/>
  <c r="L924" s="1"/>
  <c r="E924"/>
  <c r="D924"/>
  <c r="C924"/>
  <c r="O922"/>
  <c r="K922"/>
  <c r="J922"/>
  <c r="I922"/>
  <c r="H922"/>
  <c r="L922" s="1"/>
  <c r="G922"/>
  <c r="E922"/>
  <c r="D922"/>
  <c r="C922"/>
  <c r="J921"/>
  <c r="E921"/>
  <c r="D921"/>
  <c r="C921"/>
  <c r="J920"/>
  <c r="I920"/>
  <c r="H920"/>
  <c r="L920" s="1"/>
  <c r="M920" s="1"/>
  <c r="G920"/>
  <c r="E920"/>
  <c r="D920"/>
  <c r="C920"/>
  <c r="J919"/>
  <c r="H919"/>
  <c r="L919" s="1"/>
  <c r="E919"/>
  <c r="D919"/>
  <c r="C919"/>
  <c r="O917"/>
  <c r="K917"/>
  <c r="J917"/>
  <c r="I917"/>
  <c r="H917"/>
  <c r="L917" s="1"/>
  <c r="G917"/>
  <c r="E917"/>
  <c r="D917"/>
  <c r="C917"/>
  <c r="J916"/>
  <c r="E916"/>
  <c r="D916"/>
  <c r="C916"/>
  <c r="J915"/>
  <c r="I915"/>
  <c r="H915"/>
  <c r="L915" s="1"/>
  <c r="M915" s="1"/>
  <c r="G915"/>
  <c r="E915"/>
  <c r="D915"/>
  <c r="C915"/>
  <c r="J914"/>
  <c r="H914"/>
  <c r="L914" s="1"/>
  <c r="E914"/>
  <c r="D914"/>
  <c r="C914"/>
  <c r="O913"/>
  <c r="K913"/>
  <c r="J913"/>
  <c r="I913"/>
  <c r="H913"/>
  <c r="L913" s="1"/>
  <c r="G913"/>
  <c r="E913"/>
  <c r="D913"/>
  <c r="C913"/>
  <c r="J911"/>
  <c r="E911"/>
  <c r="D911"/>
  <c r="C911"/>
  <c r="J910"/>
  <c r="I910"/>
  <c r="H910"/>
  <c r="L910" s="1"/>
  <c r="M910" s="1"/>
  <c r="G910"/>
  <c r="E910"/>
  <c r="D910"/>
  <c r="C910"/>
  <c r="J909"/>
  <c r="H909"/>
  <c r="L909" s="1"/>
  <c r="E909"/>
  <c r="D909"/>
  <c r="C909"/>
  <c r="O908"/>
  <c r="K908"/>
  <c r="J908"/>
  <c r="I908"/>
  <c r="H908"/>
  <c r="L908" s="1"/>
  <c r="G908"/>
  <c r="E908"/>
  <c r="D908"/>
  <c r="C908"/>
  <c r="J907"/>
  <c r="E907"/>
  <c r="D907"/>
  <c r="C907"/>
  <c r="J906"/>
  <c r="I906"/>
  <c r="H906"/>
  <c r="L906" s="1"/>
  <c r="M906" s="1"/>
  <c r="G906"/>
  <c r="E906"/>
  <c r="D906"/>
  <c r="C906"/>
  <c r="J905"/>
  <c r="H905"/>
  <c r="L905" s="1"/>
  <c r="E905"/>
  <c r="D905"/>
  <c r="C905"/>
  <c r="O903"/>
  <c r="K903"/>
  <c r="J903"/>
  <c r="I903"/>
  <c r="H903"/>
  <c r="L903" s="1"/>
  <c r="G903"/>
  <c r="E903"/>
  <c r="D903"/>
  <c r="C903"/>
  <c r="J902"/>
  <c r="E902"/>
  <c r="D902"/>
  <c r="C902"/>
  <c r="J901"/>
  <c r="I901"/>
  <c r="H901"/>
  <c r="L901" s="1"/>
  <c r="M901" s="1"/>
  <c r="G901"/>
  <c r="E901"/>
  <c r="D901"/>
  <c r="C901"/>
  <c r="J900"/>
  <c r="H900"/>
  <c r="L900" s="1"/>
  <c r="E900"/>
  <c r="D900"/>
  <c r="C900"/>
  <c r="O899"/>
  <c r="K899"/>
  <c r="J899"/>
  <c r="I899"/>
  <c r="H899"/>
  <c r="L899" s="1"/>
  <c r="G899"/>
  <c r="E899"/>
  <c r="D899"/>
  <c r="C899"/>
  <c r="J898"/>
  <c r="E898"/>
  <c r="D898"/>
  <c r="C898"/>
  <c r="J897"/>
  <c r="I897"/>
  <c r="H897"/>
  <c r="L897" s="1"/>
  <c r="M897" s="1"/>
  <c r="G897"/>
  <c r="E897"/>
  <c r="D897"/>
  <c r="C897"/>
  <c r="J896"/>
  <c r="H896"/>
  <c r="L896" s="1"/>
  <c r="E896"/>
  <c r="D896"/>
  <c r="C896"/>
  <c r="O894"/>
  <c r="K894"/>
  <c r="J894"/>
  <c r="I894"/>
  <c r="H894"/>
  <c r="L894" s="1"/>
  <c r="G894"/>
  <c r="E894"/>
  <c r="D894"/>
  <c r="C894"/>
  <c r="J893"/>
  <c r="E893"/>
  <c r="D893"/>
  <c r="C893"/>
  <c r="J892"/>
  <c r="I892"/>
  <c r="H892"/>
  <c r="L892" s="1"/>
  <c r="M892" s="1"/>
  <c r="G892"/>
  <c r="E892"/>
  <c r="D892"/>
  <c r="C892"/>
  <c r="J891"/>
  <c r="H891"/>
  <c r="L891" s="1"/>
  <c r="E891"/>
  <c r="D891"/>
  <c r="C891"/>
  <c r="O890"/>
  <c r="K890"/>
  <c r="J890"/>
  <c r="I890"/>
  <c r="H890"/>
  <c r="L890" s="1"/>
  <c r="G890"/>
  <c r="E890"/>
  <c r="D890"/>
  <c r="C890"/>
  <c r="J889"/>
  <c r="E889"/>
  <c r="D889"/>
  <c r="C889"/>
  <c r="J888"/>
  <c r="I888"/>
  <c r="H888"/>
  <c r="L888" s="1"/>
  <c r="M888" s="1"/>
  <c r="G888"/>
  <c r="E888"/>
  <c r="D888"/>
  <c r="C888"/>
  <c r="J887"/>
  <c r="H887"/>
  <c r="L887" s="1"/>
  <c r="E887"/>
  <c r="D887"/>
  <c r="C887"/>
  <c r="O886"/>
  <c r="K886"/>
  <c r="J886"/>
  <c r="I886"/>
  <c r="H886"/>
  <c r="L886" s="1"/>
  <c r="G886"/>
  <c r="E886"/>
  <c r="D886"/>
  <c r="C886"/>
  <c r="J884"/>
  <c r="E884"/>
  <c r="D884"/>
  <c r="C884"/>
  <c r="J883"/>
  <c r="I883"/>
  <c r="H883"/>
  <c r="L883" s="1"/>
  <c r="M883" s="1"/>
  <c r="G883"/>
  <c r="E883"/>
  <c r="D883"/>
  <c r="C883"/>
  <c r="J882"/>
  <c r="H882"/>
  <c r="L882" s="1"/>
  <c r="E882"/>
  <c r="D882"/>
  <c r="C882"/>
  <c r="O881"/>
  <c r="K881"/>
  <c r="J881"/>
  <c r="I881"/>
  <c r="H881"/>
  <c r="L881" s="1"/>
  <c r="G881"/>
  <c r="E881"/>
  <c r="D881"/>
  <c r="C881"/>
  <c r="J880"/>
  <c r="E880"/>
  <c r="D880"/>
  <c r="C880"/>
  <c r="J879"/>
  <c r="I879"/>
  <c r="H879"/>
  <c r="L879" s="1"/>
  <c r="M879" s="1"/>
  <c r="G879"/>
  <c r="E879"/>
  <c r="D879"/>
  <c r="C879"/>
  <c r="J878"/>
  <c r="H878"/>
  <c r="L878" s="1"/>
  <c r="E878"/>
  <c r="D878"/>
  <c r="C878"/>
  <c r="O877"/>
  <c r="K877"/>
  <c r="J877"/>
  <c r="I877"/>
  <c r="H877"/>
  <c r="L877" s="1"/>
  <c r="G877"/>
  <c r="E877"/>
  <c r="D877"/>
  <c r="C877"/>
  <c r="J876"/>
  <c r="E876"/>
  <c r="D876"/>
  <c r="C876"/>
  <c r="J875"/>
  <c r="I875"/>
  <c r="H875"/>
  <c r="L875" s="1"/>
  <c r="M875" s="1"/>
  <c r="G875"/>
  <c r="E875"/>
  <c r="D875"/>
  <c r="C875"/>
  <c r="J874"/>
  <c r="H874"/>
  <c r="L874" s="1"/>
  <c r="E874"/>
  <c r="D874"/>
  <c r="C874"/>
  <c r="O872"/>
  <c r="K872"/>
  <c r="J872"/>
  <c r="I872"/>
  <c r="H872"/>
  <c r="L872" s="1"/>
  <c r="G872"/>
  <c r="E872"/>
  <c r="D872"/>
  <c r="C872"/>
  <c r="J871"/>
  <c r="E871"/>
  <c r="D871"/>
  <c r="C871"/>
  <c r="J870"/>
  <c r="I870"/>
  <c r="H870"/>
  <c r="L870" s="1"/>
  <c r="M870" s="1"/>
  <c r="G870"/>
  <c r="E870"/>
  <c r="D870"/>
  <c r="C870"/>
  <c r="J869"/>
  <c r="H869"/>
  <c r="L869" s="1"/>
  <c r="E869"/>
  <c r="D869"/>
  <c r="C869"/>
  <c r="O868"/>
  <c r="K868"/>
  <c r="J868"/>
  <c r="I868"/>
  <c r="H868"/>
  <c r="L868" s="1"/>
  <c r="G868"/>
  <c r="E868"/>
  <c r="D868"/>
  <c r="C868"/>
  <c r="J867"/>
  <c r="E867"/>
  <c r="D867"/>
  <c r="C867"/>
  <c r="J866"/>
  <c r="I866"/>
  <c r="H866"/>
  <c r="L866" s="1"/>
  <c r="M866" s="1"/>
  <c r="G866"/>
  <c r="E866"/>
  <c r="D866"/>
  <c r="C866"/>
  <c r="J865"/>
  <c r="H865"/>
  <c r="L865" s="1"/>
  <c r="E865"/>
  <c r="D865"/>
  <c r="C865"/>
  <c r="O864"/>
  <c r="K864"/>
  <c r="J864"/>
  <c r="I864"/>
  <c r="H864"/>
  <c r="L864" s="1"/>
  <c r="G864"/>
  <c r="E864"/>
  <c r="D864"/>
  <c r="C864"/>
  <c r="J863"/>
  <c r="H863" s="1"/>
  <c r="L863" s="1"/>
  <c r="E863"/>
  <c r="D863"/>
  <c r="C863"/>
  <c r="J862"/>
  <c r="I862"/>
  <c r="H862"/>
  <c r="L862" s="1"/>
  <c r="O862" s="1"/>
  <c r="G862"/>
  <c r="E862"/>
  <c r="D862"/>
  <c r="C862"/>
  <c r="J861"/>
  <c r="H861"/>
  <c r="L861" s="1"/>
  <c r="E861"/>
  <c r="D861"/>
  <c r="C861"/>
  <c r="O859"/>
  <c r="K859"/>
  <c r="J859"/>
  <c r="I859"/>
  <c r="H859"/>
  <c r="L859" s="1"/>
  <c r="G859"/>
  <c r="E859"/>
  <c r="D859"/>
  <c r="C859"/>
  <c r="J858"/>
  <c r="H858" s="1"/>
  <c r="L858" s="1"/>
  <c r="E858"/>
  <c r="D858"/>
  <c r="C858"/>
  <c r="J857"/>
  <c r="I857"/>
  <c r="H857"/>
  <c r="L857" s="1"/>
  <c r="O857" s="1"/>
  <c r="G857"/>
  <c r="E857"/>
  <c r="D857"/>
  <c r="C857"/>
  <c r="J856"/>
  <c r="H856"/>
  <c r="L856" s="1"/>
  <c r="E856"/>
  <c r="D856"/>
  <c r="C856"/>
  <c r="O855"/>
  <c r="K855"/>
  <c r="J855"/>
  <c r="I855"/>
  <c r="H855"/>
  <c r="L855" s="1"/>
  <c r="G855"/>
  <c r="E855"/>
  <c r="D855"/>
  <c r="C855"/>
  <c r="J854"/>
  <c r="H854" s="1"/>
  <c r="L854" s="1"/>
  <c r="E854"/>
  <c r="D854"/>
  <c r="C854"/>
  <c r="J853"/>
  <c r="I853"/>
  <c r="H853"/>
  <c r="L853" s="1"/>
  <c r="O853" s="1"/>
  <c r="G853"/>
  <c r="E853"/>
  <c r="D853"/>
  <c r="C853"/>
  <c r="J852"/>
  <c r="H852"/>
  <c r="L852" s="1"/>
  <c r="E852"/>
  <c r="D852"/>
  <c r="C852"/>
  <c r="O851"/>
  <c r="K851"/>
  <c r="J851"/>
  <c r="I851"/>
  <c r="H851"/>
  <c r="L851" s="1"/>
  <c r="G851"/>
  <c r="E851"/>
  <c r="D851"/>
  <c r="C851"/>
  <c r="J850"/>
  <c r="H850" s="1"/>
  <c r="L850" s="1"/>
  <c r="E850"/>
  <c r="D850"/>
  <c r="C850"/>
  <c r="J849"/>
  <c r="I849"/>
  <c r="H849"/>
  <c r="L849" s="1"/>
  <c r="O849" s="1"/>
  <c r="G849"/>
  <c r="E849"/>
  <c r="D849"/>
  <c r="C849"/>
  <c r="J848"/>
  <c r="H848"/>
  <c r="L848" s="1"/>
  <c r="E848"/>
  <c r="D848"/>
  <c r="C848"/>
  <c r="O847"/>
  <c r="K847"/>
  <c r="J847"/>
  <c r="I847"/>
  <c r="H847"/>
  <c r="L847" s="1"/>
  <c r="G847"/>
  <c r="E847"/>
  <c r="D847"/>
  <c r="C847"/>
  <c r="J845"/>
  <c r="H845" s="1"/>
  <c r="L845" s="1"/>
  <c r="E845"/>
  <c r="D845"/>
  <c r="C845"/>
  <c r="J844"/>
  <c r="I844"/>
  <c r="H844"/>
  <c r="L844" s="1"/>
  <c r="O844" s="1"/>
  <c r="G844"/>
  <c r="E844"/>
  <c r="D844"/>
  <c r="C844"/>
  <c r="J843"/>
  <c r="H843"/>
  <c r="L843" s="1"/>
  <c r="E843"/>
  <c r="D843"/>
  <c r="C843"/>
  <c r="O842"/>
  <c r="K842"/>
  <c r="J842"/>
  <c r="I842"/>
  <c r="H842"/>
  <c r="L842" s="1"/>
  <c r="G842"/>
  <c r="E842"/>
  <c r="D842"/>
  <c r="C842"/>
  <c r="J841"/>
  <c r="H841" s="1"/>
  <c r="L841" s="1"/>
  <c r="E841"/>
  <c r="D841"/>
  <c r="C841"/>
  <c r="J840"/>
  <c r="I840"/>
  <c r="H840"/>
  <c r="L840" s="1"/>
  <c r="O840" s="1"/>
  <c r="G840"/>
  <c r="E840"/>
  <c r="D840"/>
  <c r="C840"/>
  <c r="J839"/>
  <c r="H839"/>
  <c r="L839" s="1"/>
  <c r="E839"/>
  <c r="D839"/>
  <c r="C839"/>
  <c r="O838"/>
  <c r="K838"/>
  <c r="J838"/>
  <c r="I838"/>
  <c r="H838"/>
  <c r="L838" s="1"/>
  <c r="G838"/>
  <c r="E838"/>
  <c r="D838"/>
  <c r="C838"/>
  <c r="J837"/>
  <c r="H837" s="1"/>
  <c r="L837" s="1"/>
  <c r="E837"/>
  <c r="D837"/>
  <c r="C837"/>
  <c r="J836"/>
  <c r="I836"/>
  <c r="H836"/>
  <c r="L836" s="1"/>
  <c r="O836" s="1"/>
  <c r="G836"/>
  <c r="E836"/>
  <c r="D836"/>
  <c r="C836"/>
  <c r="J835"/>
  <c r="H835"/>
  <c r="L835" s="1"/>
  <c r="E835"/>
  <c r="D835"/>
  <c r="C835"/>
  <c r="O834"/>
  <c r="K834"/>
  <c r="J834"/>
  <c r="I834"/>
  <c r="H834"/>
  <c r="L834" s="1"/>
  <c r="G834"/>
  <c r="E834"/>
  <c r="D834"/>
  <c r="C834"/>
  <c r="J833"/>
  <c r="H833" s="1"/>
  <c r="L833" s="1"/>
  <c r="E833"/>
  <c r="D833"/>
  <c r="C833"/>
  <c r="J832"/>
  <c r="I832"/>
  <c r="H832"/>
  <c r="L832" s="1"/>
  <c r="O832" s="1"/>
  <c r="G832"/>
  <c r="E832"/>
  <c r="D832"/>
  <c r="C832"/>
  <c r="J831"/>
  <c r="H831"/>
  <c r="L831" s="1"/>
  <c r="E831"/>
  <c r="D831"/>
  <c r="C831"/>
  <c r="O829"/>
  <c r="K829"/>
  <c r="J829"/>
  <c r="I829"/>
  <c r="H829"/>
  <c r="L829" s="1"/>
  <c r="G829"/>
  <c r="E829"/>
  <c r="D829"/>
  <c r="C829"/>
  <c r="J828"/>
  <c r="H828" s="1"/>
  <c r="L828" s="1"/>
  <c r="E828"/>
  <c r="D828"/>
  <c r="C828"/>
  <c r="J827"/>
  <c r="I827"/>
  <c r="H827"/>
  <c r="L827" s="1"/>
  <c r="O827" s="1"/>
  <c r="G827"/>
  <c r="E827"/>
  <c r="D827"/>
  <c r="C827"/>
  <c r="J826"/>
  <c r="H826"/>
  <c r="L826" s="1"/>
  <c r="E826"/>
  <c r="D826"/>
  <c r="C826"/>
  <c r="O825"/>
  <c r="K825"/>
  <c r="J825"/>
  <c r="I825"/>
  <c r="H825"/>
  <c r="L825" s="1"/>
  <c r="G825"/>
  <c r="E825"/>
  <c r="D825"/>
  <c r="C825"/>
  <c r="J824"/>
  <c r="H824" s="1"/>
  <c r="L824" s="1"/>
  <c r="E824"/>
  <c r="D824"/>
  <c r="C824"/>
  <c r="J823"/>
  <c r="I823"/>
  <c r="H823"/>
  <c r="L823" s="1"/>
  <c r="O823" s="1"/>
  <c r="G823"/>
  <c r="E823"/>
  <c r="D823"/>
  <c r="C823"/>
  <c r="J822"/>
  <c r="H822"/>
  <c r="L822" s="1"/>
  <c r="E822"/>
  <c r="D822"/>
  <c r="C822"/>
  <c r="O821"/>
  <c r="K821"/>
  <c r="J821"/>
  <c r="I821"/>
  <c r="H821"/>
  <c r="L821" s="1"/>
  <c r="G821"/>
  <c r="E821"/>
  <c r="D821"/>
  <c r="C821"/>
  <c r="J820"/>
  <c r="H820" s="1"/>
  <c r="L820" s="1"/>
  <c r="E820"/>
  <c r="D820"/>
  <c r="C820"/>
  <c r="J819"/>
  <c r="I819"/>
  <c r="H819"/>
  <c r="L819" s="1"/>
  <c r="O819" s="1"/>
  <c r="G819"/>
  <c r="E819"/>
  <c r="D819"/>
  <c r="C819"/>
  <c r="J818"/>
  <c r="H818"/>
  <c r="L818" s="1"/>
  <c r="E818"/>
  <c r="D818"/>
  <c r="C818"/>
  <c r="O817"/>
  <c r="K817"/>
  <c r="J817"/>
  <c r="I817"/>
  <c r="H817"/>
  <c r="L817" s="1"/>
  <c r="G817"/>
  <c r="E817"/>
  <c r="D817"/>
  <c r="C817"/>
  <c r="J816"/>
  <c r="H816" s="1"/>
  <c r="L816" s="1"/>
  <c r="E816"/>
  <c r="D816"/>
  <c r="C816"/>
  <c r="J814"/>
  <c r="I814"/>
  <c r="H814"/>
  <c r="L814" s="1"/>
  <c r="O814" s="1"/>
  <c r="G814"/>
  <c r="E814"/>
  <c r="D814"/>
  <c r="C814"/>
  <c r="J813"/>
  <c r="H813"/>
  <c r="L813" s="1"/>
  <c r="E813"/>
  <c r="D813"/>
  <c r="C813"/>
  <c r="O812"/>
  <c r="K812"/>
  <c r="J812"/>
  <c r="I812"/>
  <c r="H812"/>
  <c r="L812" s="1"/>
  <c r="G812"/>
  <c r="E812"/>
  <c r="D812"/>
  <c r="C812"/>
  <c r="J811"/>
  <c r="H811" s="1"/>
  <c r="L811" s="1"/>
  <c r="E811"/>
  <c r="D811"/>
  <c r="C811"/>
  <c r="J810"/>
  <c r="I810"/>
  <c r="H810"/>
  <c r="L810" s="1"/>
  <c r="O810" s="1"/>
  <c r="G810"/>
  <c r="E810"/>
  <c r="D810"/>
  <c r="C810"/>
  <c r="J809"/>
  <c r="H809"/>
  <c r="L809" s="1"/>
  <c r="E809"/>
  <c r="D809"/>
  <c r="C809"/>
  <c r="O808"/>
  <c r="K808"/>
  <c r="J808"/>
  <c r="I808"/>
  <c r="H808"/>
  <c r="L808" s="1"/>
  <c r="G808"/>
  <c r="E808"/>
  <c r="D808"/>
  <c r="C808"/>
  <c r="J807"/>
  <c r="H807" s="1"/>
  <c r="L807" s="1"/>
  <c r="E807"/>
  <c r="D807"/>
  <c r="C807"/>
  <c r="J806"/>
  <c r="I806"/>
  <c r="H806"/>
  <c r="L806" s="1"/>
  <c r="O806" s="1"/>
  <c r="G806"/>
  <c r="E806"/>
  <c r="D806"/>
  <c r="C806"/>
  <c r="J805"/>
  <c r="H805"/>
  <c r="L805" s="1"/>
  <c r="E805"/>
  <c r="D805"/>
  <c r="C805"/>
  <c r="O804"/>
  <c r="K804"/>
  <c r="J804"/>
  <c r="I804"/>
  <c r="H804"/>
  <c r="L804" s="1"/>
  <c r="G804"/>
  <c r="E804"/>
  <c r="D804"/>
  <c r="C804"/>
  <c r="J803"/>
  <c r="H803" s="1"/>
  <c r="L803" s="1"/>
  <c r="E803"/>
  <c r="D803"/>
  <c r="C803"/>
  <c r="J802"/>
  <c r="I802"/>
  <c r="H802"/>
  <c r="L802" s="1"/>
  <c r="O802" s="1"/>
  <c r="G802"/>
  <c r="E802"/>
  <c r="D802"/>
  <c r="C802"/>
  <c r="J800"/>
  <c r="H800"/>
  <c r="L800" s="1"/>
  <c r="E800"/>
  <c r="D800"/>
  <c r="C800"/>
  <c r="O799"/>
  <c r="K799"/>
  <c r="J799"/>
  <c r="I799"/>
  <c r="H799"/>
  <c r="L799" s="1"/>
  <c r="G799"/>
  <c r="E799"/>
  <c r="D799"/>
  <c r="C799"/>
  <c r="J798"/>
  <c r="H798" s="1"/>
  <c r="L798" s="1"/>
  <c r="E798"/>
  <c r="D798"/>
  <c r="C798"/>
  <c r="J797"/>
  <c r="I797"/>
  <c r="H797"/>
  <c r="L797" s="1"/>
  <c r="O797" s="1"/>
  <c r="G797"/>
  <c r="E797"/>
  <c r="D797"/>
  <c r="C797"/>
  <c r="J796"/>
  <c r="H796"/>
  <c r="L796" s="1"/>
  <c r="E796"/>
  <c r="D796"/>
  <c r="C796"/>
  <c r="O795"/>
  <c r="K795"/>
  <c r="J795"/>
  <c r="I795"/>
  <c r="H795"/>
  <c r="L795" s="1"/>
  <c r="G795"/>
  <c r="E795"/>
  <c r="D795"/>
  <c r="C795"/>
  <c r="J794"/>
  <c r="H794" s="1"/>
  <c r="L794" s="1"/>
  <c r="E794"/>
  <c r="D794"/>
  <c r="C794"/>
  <c r="J793"/>
  <c r="I793"/>
  <c r="H793"/>
  <c r="L793" s="1"/>
  <c r="O793" s="1"/>
  <c r="G793"/>
  <c r="E793"/>
  <c r="D793"/>
  <c r="C793"/>
  <c r="J792"/>
  <c r="H792"/>
  <c r="L792" s="1"/>
  <c r="E792"/>
  <c r="D792"/>
  <c r="C792"/>
  <c r="O791"/>
  <c r="K791"/>
  <c r="J791"/>
  <c r="I791"/>
  <c r="H791"/>
  <c r="L791" s="1"/>
  <c r="G791"/>
  <c r="E791"/>
  <c r="D791"/>
  <c r="C791"/>
  <c r="J790"/>
  <c r="H790" s="1"/>
  <c r="L790" s="1"/>
  <c r="E790"/>
  <c r="D790"/>
  <c r="C790"/>
  <c r="J789"/>
  <c r="I789"/>
  <c r="H789"/>
  <c r="L789" s="1"/>
  <c r="O789" s="1"/>
  <c r="G789"/>
  <c r="E789"/>
  <c r="D789"/>
  <c r="C789"/>
  <c r="J788"/>
  <c r="H788"/>
  <c r="L788" s="1"/>
  <c r="E788"/>
  <c r="D788"/>
  <c r="C788"/>
  <c r="O786"/>
  <c r="K786"/>
  <c r="J786"/>
  <c r="I786"/>
  <c r="H786"/>
  <c r="L786" s="1"/>
  <c r="G786"/>
  <c r="E786"/>
  <c r="D786"/>
  <c r="C786"/>
  <c r="J785"/>
  <c r="H785" s="1"/>
  <c r="L785" s="1"/>
  <c r="E785"/>
  <c r="D785"/>
  <c r="C785"/>
  <c r="J784"/>
  <c r="I784"/>
  <c r="H784"/>
  <c r="L784" s="1"/>
  <c r="O784" s="1"/>
  <c r="G784"/>
  <c r="E784"/>
  <c r="D784"/>
  <c r="C784"/>
  <c r="J783"/>
  <c r="H783"/>
  <c r="L783" s="1"/>
  <c r="E783"/>
  <c r="D783"/>
  <c r="C783"/>
  <c r="O782"/>
  <c r="K782"/>
  <c r="J782"/>
  <c r="I782"/>
  <c r="H782"/>
  <c r="L782" s="1"/>
  <c r="G782"/>
  <c r="E782"/>
  <c r="D782"/>
  <c r="C782"/>
  <c r="J781"/>
  <c r="H781" s="1"/>
  <c r="L781" s="1"/>
  <c r="E781"/>
  <c r="D781"/>
  <c r="C781"/>
  <c r="J780"/>
  <c r="I780"/>
  <c r="H780"/>
  <c r="L780" s="1"/>
  <c r="O780" s="1"/>
  <c r="G780"/>
  <c r="E780"/>
  <c r="D780"/>
  <c r="C780"/>
  <c r="J779"/>
  <c r="H779"/>
  <c r="L779" s="1"/>
  <c r="E779"/>
  <c r="D779"/>
  <c r="C779"/>
  <c r="O778"/>
  <c r="K778"/>
  <c r="J778"/>
  <c r="I778"/>
  <c r="H778"/>
  <c r="L778" s="1"/>
  <c r="G778"/>
  <c r="E778"/>
  <c r="D778"/>
  <c r="C778"/>
  <c r="J777"/>
  <c r="H777" s="1"/>
  <c r="L777" s="1"/>
  <c r="E777"/>
  <c r="D777"/>
  <c r="C777"/>
  <c r="J776"/>
  <c r="I776"/>
  <c r="H776"/>
  <c r="L776" s="1"/>
  <c r="O776" s="1"/>
  <c r="G776"/>
  <c r="E776"/>
  <c r="D776"/>
  <c r="C776"/>
  <c r="J775"/>
  <c r="H775"/>
  <c r="L775" s="1"/>
  <c r="E775"/>
  <c r="D775"/>
  <c r="C775"/>
  <c r="O774"/>
  <c r="K774"/>
  <c r="J774"/>
  <c r="I774"/>
  <c r="H774"/>
  <c r="L774" s="1"/>
  <c r="G774"/>
  <c r="E774"/>
  <c r="D774"/>
  <c r="C774"/>
  <c r="J772"/>
  <c r="H772" s="1"/>
  <c r="L772" s="1"/>
  <c r="E772"/>
  <c r="D772"/>
  <c r="C772"/>
  <c r="J771"/>
  <c r="I771"/>
  <c r="H771"/>
  <c r="L771" s="1"/>
  <c r="O771" s="1"/>
  <c r="G771"/>
  <c r="E771"/>
  <c r="D771"/>
  <c r="C771"/>
  <c r="J770"/>
  <c r="H770"/>
  <c r="L770" s="1"/>
  <c r="E770"/>
  <c r="D770"/>
  <c r="C770"/>
  <c r="O769"/>
  <c r="K769"/>
  <c r="J769"/>
  <c r="I769"/>
  <c r="H769"/>
  <c r="L769" s="1"/>
  <c r="G769"/>
  <c r="E769"/>
  <c r="D769"/>
  <c r="C769"/>
  <c r="J768"/>
  <c r="I768" s="1"/>
  <c r="H768"/>
  <c r="L768" s="1"/>
  <c r="E768"/>
  <c r="D768"/>
  <c r="C768"/>
  <c r="J767"/>
  <c r="I767"/>
  <c r="H767"/>
  <c r="L767" s="1"/>
  <c r="G767"/>
  <c r="E767"/>
  <c r="D767"/>
  <c r="C767"/>
  <c r="J766"/>
  <c r="I766" s="1"/>
  <c r="H766"/>
  <c r="L766" s="1"/>
  <c r="E766"/>
  <c r="D766"/>
  <c r="C766"/>
  <c r="J765"/>
  <c r="I765"/>
  <c r="H765"/>
  <c r="L765" s="1"/>
  <c r="G765"/>
  <c r="E765"/>
  <c r="D765"/>
  <c r="C765"/>
  <c r="J764"/>
  <c r="I764" s="1"/>
  <c r="H764"/>
  <c r="L764" s="1"/>
  <c r="E764"/>
  <c r="D764"/>
  <c r="C764"/>
  <c r="J763"/>
  <c r="I763"/>
  <c r="H763"/>
  <c r="L763" s="1"/>
  <c r="G763"/>
  <c r="E763"/>
  <c r="D763"/>
  <c r="C763"/>
  <c r="J762"/>
  <c r="I762" s="1"/>
  <c r="H762"/>
  <c r="L762" s="1"/>
  <c r="E762"/>
  <c r="D762"/>
  <c r="C762"/>
  <c r="J761"/>
  <c r="I761"/>
  <c r="H761"/>
  <c r="L761" s="1"/>
  <c r="G761"/>
  <c r="E761"/>
  <c r="D761"/>
  <c r="C761"/>
  <c r="J759"/>
  <c r="I759" s="1"/>
  <c r="H759"/>
  <c r="L759" s="1"/>
  <c r="E759"/>
  <c r="D759"/>
  <c r="C759"/>
  <c r="J758"/>
  <c r="I758"/>
  <c r="H758"/>
  <c r="L758" s="1"/>
  <c r="G758"/>
  <c r="E758"/>
  <c r="D758"/>
  <c r="C758"/>
  <c r="J757"/>
  <c r="I757" s="1"/>
  <c r="H757"/>
  <c r="L757" s="1"/>
  <c r="E757"/>
  <c r="D757"/>
  <c r="C757"/>
  <c r="J756"/>
  <c r="I756"/>
  <c r="H756"/>
  <c r="L756" s="1"/>
  <c r="G756"/>
  <c r="E756"/>
  <c r="D756"/>
  <c r="C756"/>
  <c r="J755"/>
  <c r="I755" s="1"/>
  <c r="H755"/>
  <c r="L755" s="1"/>
  <c r="E755"/>
  <c r="D755"/>
  <c r="C755"/>
  <c r="J754"/>
  <c r="I754"/>
  <c r="H754"/>
  <c r="L754" s="1"/>
  <c r="G754"/>
  <c r="E754"/>
  <c r="D754"/>
  <c r="C754"/>
  <c r="J753"/>
  <c r="I753" s="1"/>
  <c r="H753"/>
  <c r="L753" s="1"/>
  <c r="E753"/>
  <c r="D753"/>
  <c r="C753"/>
  <c r="J752"/>
  <c r="I752"/>
  <c r="H752"/>
  <c r="L752" s="1"/>
  <c r="G752"/>
  <c r="E752"/>
  <c r="D752"/>
  <c r="C752"/>
  <c r="J751"/>
  <c r="I751" s="1"/>
  <c r="H751"/>
  <c r="L751" s="1"/>
  <c r="E751"/>
  <c r="D751"/>
  <c r="C751"/>
  <c r="J750"/>
  <c r="I750"/>
  <c r="H750"/>
  <c r="L750" s="1"/>
  <c r="G750"/>
  <c r="E750"/>
  <c r="D750"/>
  <c r="C750"/>
  <c r="J749"/>
  <c r="I749" s="1"/>
  <c r="H749"/>
  <c r="L749" s="1"/>
  <c r="E749"/>
  <c r="D749"/>
  <c r="C749"/>
  <c r="J748"/>
  <c r="I748"/>
  <c r="H748"/>
  <c r="L748" s="1"/>
  <c r="G748"/>
  <c r="E748"/>
  <c r="D748"/>
  <c r="C748"/>
  <c r="J746"/>
  <c r="I746" s="1"/>
  <c r="H746"/>
  <c r="L746" s="1"/>
  <c r="E746"/>
  <c r="D746"/>
  <c r="C746"/>
  <c r="J745"/>
  <c r="I745"/>
  <c r="H745"/>
  <c r="L745" s="1"/>
  <c r="G745"/>
  <c r="E745"/>
  <c r="D745"/>
  <c r="C745"/>
  <c r="J744"/>
  <c r="I744" s="1"/>
  <c r="H744"/>
  <c r="L744" s="1"/>
  <c r="E744"/>
  <c r="D744"/>
  <c r="C744"/>
  <c r="J743"/>
  <c r="I743"/>
  <c r="H743"/>
  <c r="L743" s="1"/>
  <c r="G743"/>
  <c r="E743"/>
  <c r="D743"/>
  <c r="C743"/>
  <c r="J742"/>
  <c r="I742" s="1"/>
  <c r="H742"/>
  <c r="L742" s="1"/>
  <c r="E742"/>
  <c r="D742"/>
  <c r="C742"/>
  <c r="J741"/>
  <c r="I741"/>
  <c r="H741"/>
  <c r="L741" s="1"/>
  <c r="G741"/>
  <c r="E741"/>
  <c r="D741"/>
  <c r="C741"/>
  <c r="J740"/>
  <c r="I740" s="1"/>
  <c r="H740"/>
  <c r="L740" s="1"/>
  <c r="E740"/>
  <c r="D740"/>
  <c r="C740"/>
  <c r="J739"/>
  <c r="I739"/>
  <c r="H739"/>
  <c r="L739" s="1"/>
  <c r="G739"/>
  <c r="E739"/>
  <c r="D739"/>
  <c r="C739"/>
  <c r="J738"/>
  <c r="I738" s="1"/>
  <c r="H738"/>
  <c r="L738" s="1"/>
  <c r="E738"/>
  <c r="D738"/>
  <c r="C738"/>
  <c r="K737"/>
  <c r="J737"/>
  <c r="I737"/>
  <c r="H737"/>
  <c r="L737" s="1"/>
  <c r="G737"/>
  <c r="E737"/>
  <c r="D737"/>
  <c r="C737"/>
  <c r="J736"/>
  <c r="H736" s="1"/>
  <c r="L736" s="1"/>
  <c r="E736"/>
  <c r="D736"/>
  <c r="C736"/>
  <c r="J734"/>
  <c r="I734"/>
  <c r="H734"/>
  <c r="L734" s="1"/>
  <c r="O734" s="1"/>
  <c r="G734"/>
  <c r="E734"/>
  <c r="D734"/>
  <c r="C734"/>
  <c r="J733"/>
  <c r="H733"/>
  <c r="L733" s="1"/>
  <c r="E733"/>
  <c r="D733"/>
  <c r="C733"/>
  <c r="O732"/>
  <c r="K732"/>
  <c r="J732"/>
  <c r="I732"/>
  <c r="H732"/>
  <c r="L732" s="1"/>
  <c r="G732"/>
  <c r="E732"/>
  <c r="D732"/>
  <c r="C732"/>
  <c r="J731"/>
  <c r="H731" s="1"/>
  <c r="L731" s="1"/>
  <c r="E731"/>
  <c r="D731"/>
  <c r="C731"/>
  <c r="J730"/>
  <c r="I730"/>
  <c r="H730"/>
  <c r="L730" s="1"/>
  <c r="O730" s="1"/>
  <c r="G730"/>
  <c r="E730"/>
  <c r="D730"/>
  <c r="C730"/>
  <c r="J729"/>
  <c r="H729"/>
  <c r="L729" s="1"/>
  <c r="E729"/>
  <c r="D729"/>
  <c r="C729"/>
  <c r="O728"/>
  <c r="K728"/>
  <c r="J728"/>
  <c r="I728"/>
  <c r="H728"/>
  <c r="L728" s="1"/>
  <c r="G728"/>
  <c r="E728"/>
  <c r="D728"/>
  <c r="C728"/>
  <c r="J727"/>
  <c r="H727" s="1"/>
  <c r="L727" s="1"/>
  <c r="E727"/>
  <c r="D727"/>
  <c r="C727"/>
  <c r="J726"/>
  <c r="I726"/>
  <c r="H726"/>
  <c r="L726" s="1"/>
  <c r="O726" s="1"/>
  <c r="G726"/>
  <c r="E726"/>
  <c r="D726"/>
  <c r="C726"/>
  <c r="J725"/>
  <c r="H725"/>
  <c r="L725" s="1"/>
  <c r="E725"/>
  <c r="D725"/>
  <c r="C725"/>
  <c r="O724"/>
  <c r="K724"/>
  <c r="J724"/>
  <c r="I724"/>
  <c r="H724"/>
  <c r="L724" s="1"/>
  <c r="G724"/>
  <c r="E724"/>
  <c r="D724"/>
  <c r="C724"/>
  <c r="J722"/>
  <c r="H722" s="1"/>
  <c r="L722" s="1"/>
  <c r="E722"/>
  <c r="D722"/>
  <c r="C722"/>
  <c r="J721"/>
  <c r="I721"/>
  <c r="H721"/>
  <c r="L721" s="1"/>
  <c r="O721" s="1"/>
  <c r="G721"/>
  <c r="E721"/>
  <c r="D721"/>
  <c r="C721"/>
  <c r="J720"/>
  <c r="H720"/>
  <c r="L720" s="1"/>
  <c r="E720"/>
  <c r="D720"/>
  <c r="C720"/>
  <c r="O719"/>
  <c r="K719"/>
  <c r="J719"/>
  <c r="I719"/>
  <c r="H719"/>
  <c r="L719" s="1"/>
  <c r="G719"/>
  <c r="E719"/>
  <c r="D719"/>
  <c r="C719"/>
  <c r="J718"/>
  <c r="H718" s="1"/>
  <c r="L718" s="1"/>
  <c r="E718"/>
  <c r="D718"/>
  <c r="C718"/>
  <c r="J717"/>
  <c r="I717"/>
  <c r="H717"/>
  <c r="L717" s="1"/>
  <c r="O717" s="1"/>
  <c r="G717"/>
  <c r="E717"/>
  <c r="D717"/>
  <c r="C717"/>
  <c r="J716"/>
  <c r="H716"/>
  <c r="L716" s="1"/>
  <c r="E716"/>
  <c r="D716"/>
  <c r="C716"/>
  <c r="O715"/>
  <c r="K715"/>
  <c r="J715"/>
  <c r="I715"/>
  <c r="H715"/>
  <c r="L715" s="1"/>
  <c r="G715"/>
  <c r="E715"/>
  <c r="D715"/>
  <c r="C715"/>
  <c r="J714"/>
  <c r="H714" s="1"/>
  <c r="L714" s="1"/>
  <c r="E714"/>
  <c r="D714"/>
  <c r="C714"/>
  <c r="J713"/>
  <c r="I713"/>
  <c r="H713"/>
  <c r="L713" s="1"/>
  <c r="O713" s="1"/>
  <c r="G713"/>
  <c r="E713"/>
  <c r="D713"/>
  <c r="C713"/>
  <c r="J712"/>
  <c r="H712"/>
  <c r="L712" s="1"/>
  <c r="E712"/>
  <c r="D712"/>
  <c r="C712"/>
  <c r="O710"/>
  <c r="K710"/>
  <c r="J710"/>
  <c r="I710"/>
  <c r="H710"/>
  <c r="L710" s="1"/>
  <c r="G710"/>
  <c r="E710"/>
  <c r="D710"/>
  <c r="C710"/>
  <c r="J709"/>
  <c r="H709" s="1"/>
  <c r="L709" s="1"/>
  <c r="E709"/>
  <c r="D709"/>
  <c r="C709"/>
  <c r="J708"/>
  <c r="I708"/>
  <c r="H708"/>
  <c r="L708" s="1"/>
  <c r="O708" s="1"/>
  <c r="G708"/>
  <c r="E708"/>
  <c r="D708"/>
  <c r="C708"/>
  <c r="J707"/>
  <c r="H707"/>
  <c r="L707" s="1"/>
  <c r="E707"/>
  <c r="D707"/>
  <c r="C707"/>
  <c r="O706"/>
  <c r="K706"/>
  <c r="J706"/>
  <c r="I706"/>
  <c r="H706"/>
  <c r="L706" s="1"/>
  <c r="G706"/>
  <c r="E706"/>
  <c r="D706"/>
  <c r="C706"/>
  <c r="J705"/>
  <c r="H705" s="1"/>
  <c r="L705" s="1"/>
  <c r="E705"/>
  <c r="D705"/>
  <c r="C705"/>
  <c r="J704"/>
  <c r="I704"/>
  <c r="H704"/>
  <c r="L704" s="1"/>
  <c r="O704" s="1"/>
  <c r="G704"/>
  <c r="E704"/>
  <c r="D704"/>
  <c r="C704"/>
  <c r="J703"/>
  <c r="H703"/>
  <c r="L703" s="1"/>
  <c r="E703"/>
  <c r="D703"/>
  <c r="C703"/>
  <c r="O702"/>
  <c r="K702"/>
  <c r="J702"/>
  <c r="I702"/>
  <c r="H702"/>
  <c r="L702" s="1"/>
  <c r="G702"/>
  <c r="E702"/>
  <c r="D702"/>
  <c r="C702"/>
  <c r="J701"/>
  <c r="H701" s="1"/>
  <c r="L701" s="1"/>
  <c r="E701"/>
  <c r="D701"/>
  <c r="C701"/>
  <c r="J699"/>
  <c r="I699"/>
  <c r="H699"/>
  <c r="L699" s="1"/>
  <c r="O699" s="1"/>
  <c r="G699"/>
  <c r="E699"/>
  <c r="D699"/>
  <c r="C699"/>
  <c r="J698"/>
  <c r="H698"/>
  <c r="L698" s="1"/>
  <c r="E698"/>
  <c r="D698"/>
  <c r="C698"/>
  <c r="O697"/>
  <c r="K697"/>
  <c r="J697"/>
  <c r="I697"/>
  <c r="H697"/>
  <c r="L697" s="1"/>
  <c r="G697"/>
  <c r="E697"/>
  <c r="D697"/>
  <c r="C697"/>
  <c r="J696"/>
  <c r="H696" s="1"/>
  <c r="L696" s="1"/>
  <c r="E696"/>
  <c r="D696"/>
  <c r="C696"/>
  <c r="J695"/>
  <c r="I695"/>
  <c r="H695"/>
  <c r="L695" s="1"/>
  <c r="O695" s="1"/>
  <c r="G695"/>
  <c r="E695"/>
  <c r="D695"/>
  <c r="C695"/>
  <c r="J694"/>
  <c r="H694"/>
  <c r="L694" s="1"/>
  <c r="E694"/>
  <c r="D694"/>
  <c r="C694"/>
  <c r="O693"/>
  <c r="K693"/>
  <c r="J693"/>
  <c r="I693"/>
  <c r="H693"/>
  <c r="L693" s="1"/>
  <c r="G693"/>
  <c r="E693"/>
  <c r="D693"/>
  <c r="C693"/>
  <c r="J692"/>
  <c r="H692" s="1"/>
  <c r="L692" s="1"/>
  <c r="E692"/>
  <c r="D692"/>
  <c r="C692"/>
  <c r="J691"/>
  <c r="I691"/>
  <c r="H691"/>
  <c r="L691" s="1"/>
  <c r="O691" s="1"/>
  <c r="G691"/>
  <c r="E691"/>
  <c r="D691"/>
  <c r="C691"/>
  <c r="J690"/>
  <c r="H690"/>
  <c r="L690" s="1"/>
  <c r="E690"/>
  <c r="D690"/>
  <c r="C690"/>
  <c r="O688"/>
  <c r="K688"/>
  <c r="J688"/>
  <c r="I688"/>
  <c r="H688"/>
  <c r="L688" s="1"/>
  <c r="G688"/>
  <c r="E688"/>
  <c r="D688"/>
  <c r="C688"/>
  <c r="J687"/>
  <c r="H687" s="1"/>
  <c r="L687" s="1"/>
  <c r="E687"/>
  <c r="D687"/>
  <c r="C687"/>
  <c r="J686"/>
  <c r="I686"/>
  <c r="H686"/>
  <c r="L686" s="1"/>
  <c r="O686" s="1"/>
  <c r="G686"/>
  <c r="E686"/>
  <c r="D686"/>
  <c r="C686"/>
  <c r="J685"/>
  <c r="H685"/>
  <c r="L685" s="1"/>
  <c r="E685"/>
  <c r="D685"/>
  <c r="C685"/>
  <c r="O684"/>
  <c r="K684"/>
  <c r="J684"/>
  <c r="I684"/>
  <c r="H684"/>
  <c r="L684" s="1"/>
  <c r="G684"/>
  <c r="E684"/>
  <c r="D684"/>
  <c r="C684"/>
  <c r="J683"/>
  <c r="H683" s="1"/>
  <c r="L683" s="1"/>
  <c r="E683"/>
  <c r="D683"/>
  <c r="C683"/>
  <c r="J682"/>
  <c r="I682"/>
  <c r="H682"/>
  <c r="L682" s="1"/>
  <c r="O682" s="1"/>
  <c r="G682"/>
  <c r="E682"/>
  <c r="D682"/>
  <c r="C682"/>
  <c r="J681"/>
  <c r="H681"/>
  <c r="L681" s="1"/>
  <c r="E681"/>
  <c r="D681"/>
  <c r="C681"/>
  <c r="O680"/>
  <c r="K680"/>
  <c r="J680"/>
  <c r="I680"/>
  <c r="H680"/>
  <c r="L680" s="1"/>
  <c r="G680"/>
  <c r="E680"/>
  <c r="D680"/>
  <c r="C680"/>
  <c r="J679"/>
  <c r="H679" s="1"/>
  <c r="L679" s="1"/>
  <c r="E679"/>
  <c r="D679"/>
  <c r="C679"/>
  <c r="J677"/>
  <c r="I677"/>
  <c r="H677"/>
  <c r="L677" s="1"/>
  <c r="O677" s="1"/>
  <c r="G677"/>
  <c r="E677"/>
  <c r="D677"/>
  <c r="C677"/>
  <c r="J676"/>
  <c r="H676"/>
  <c r="L676" s="1"/>
  <c r="E676"/>
  <c r="D676"/>
  <c r="C676"/>
  <c r="O675"/>
  <c r="K675"/>
  <c r="J675"/>
  <c r="I675"/>
  <c r="H675"/>
  <c r="L675" s="1"/>
  <c r="G675"/>
  <c r="E675"/>
  <c r="D675"/>
  <c r="C675"/>
  <c r="J674"/>
  <c r="H674" s="1"/>
  <c r="L674" s="1"/>
  <c r="E674"/>
  <c r="D674"/>
  <c r="C674"/>
  <c r="J673"/>
  <c r="I673"/>
  <c r="H673"/>
  <c r="L673" s="1"/>
  <c r="O673" s="1"/>
  <c r="G673"/>
  <c r="E673"/>
  <c r="D673"/>
  <c r="C673"/>
  <c r="J672"/>
  <c r="H672"/>
  <c r="L672" s="1"/>
  <c r="E672"/>
  <c r="D672"/>
  <c r="C672"/>
  <c r="O671"/>
  <c r="K671"/>
  <c r="J671"/>
  <c r="I671"/>
  <c r="H671"/>
  <c r="L671" s="1"/>
  <c r="G671"/>
  <c r="E671"/>
  <c r="D671"/>
  <c r="C671"/>
  <c r="J670"/>
  <c r="H670" s="1"/>
  <c r="L670" s="1"/>
  <c r="E670"/>
  <c r="D670"/>
  <c r="C670"/>
  <c r="J669"/>
  <c r="I669"/>
  <c r="H669"/>
  <c r="L669" s="1"/>
  <c r="O669" s="1"/>
  <c r="G669"/>
  <c r="E669"/>
  <c r="D669"/>
  <c r="C669"/>
  <c r="J667"/>
  <c r="H667"/>
  <c r="L667" s="1"/>
  <c r="E667"/>
  <c r="D667"/>
  <c r="C667"/>
  <c r="O666"/>
  <c r="K666"/>
  <c r="J666"/>
  <c r="I666"/>
  <c r="H666"/>
  <c r="L666" s="1"/>
  <c r="G666"/>
  <c r="E666"/>
  <c r="D666"/>
  <c r="C666"/>
  <c r="J665"/>
  <c r="H665" s="1"/>
  <c r="L665" s="1"/>
  <c r="E665"/>
  <c r="D665"/>
  <c r="C665"/>
  <c r="J664"/>
  <c r="I664"/>
  <c r="H664"/>
  <c r="L664" s="1"/>
  <c r="O664" s="1"/>
  <c r="G664"/>
  <c r="E664"/>
  <c r="D664"/>
  <c r="C664"/>
  <c r="J663"/>
  <c r="H663"/>
  <c r="L663" s="1"/>
  <c r="E663"/>
  <c r="D663"/>
  <c r="C663"/>
  <c r="O662"/>
  <c r="K662"/>
  <c r="J662"/>
  <c r="I662"/>
  <c r="H662"/>
  <c r="L662" s="1"/>
  <c r="G662"/>
  <c r="E662"/>
  <c r="D662"/>
  <c r="C662"/>
  <c r="J661"/>
  <c r="H661" s="1"/>
  <c r="L661" s="1"/>
  <c r="E661"/>
  <c r="D661"/>
  <c r="C661"/>
  <c r="J660"/>
  <c r="I660"/>
  <c r="H660"/>
  <c r="L660" s="1"/>
  <c r="O660" s="1"/>
  <c r="G660"/>
  <c r="E660"/>
  <c r="D660"/>
  <c r="C660"/>
  <c r="J658"/>
  <c r="H658"/>
  <c r="L658" s="1"/>
  <c r="E658"/>
  <c r="D658"/>
  <c r="C658"/>
  <c r="O657"/>
  <c r="K657"/>
  <c r="J657"/>
  <c r="I657"/>
  <c r="H657"/>
  <c r="L657" s="1"/>
  <c r="G657"/>
  <c r="E657"/>
  <c r="D657"/>
  <c r="C657"/>
  <c r="J656"/>
  <c r="H656" s="1"/>
  <c r="L656" s="1"/>
  <c r="E656"/>
  <c r="D656"/>
  <c r="C656"/>
  <c r="J655"/>
  <c r="I655"/>
  <c r="H655"/>
  <c r="L655" s="1"/>
  <c r="O655" s="1"/>
  <c r="G655"/>
  <c r="E655"/>
  <c r="D655"/>
  <c r="C655"/>
  <c r="J654"/>
  <c r="H654"/>
  <c r="L654" s="1"/>
  <c r="E654"/>
  <c r="D654"/>
  <c r="C654"/>
  <c r="O653"/>
  <c r="K653"/>
  <c r="J653"/>
  <c r="I653"/>
  <c r="H653"/>
  <c r="L653" s="1"/>
  <c r="G653"/>
  <c r="E653"/>
  <c r="D653"/>
  <c r="C653"/>
  <c r="J652"/>
  <c r="H652" s="1"/>
  <c r="L652" s="1"/>
  <c r="E652"/>
  <c r="D652"/>
  <c r="C652"/>
  <c r="J651"/>
  <c r="I651"/>
  <c r="H651"/>
  <c r="L651" s="1"/>
  <c r="O651" s="1"/>
  <c r="G651"/>
  <c r="E651"/>
  <c r="D651"/>
  <c r="C651"/>
  <c r="J650"/>
  <c r="H650"/>
  <c r="L650" s="1"/>
  <c r="E650"/>
  <c r="D650"/>
  <c r="C650"/>
  <c r="O648"/>
  <c r="K648"/>
  <c r="J648"/>
  <c r="I648"/>
  <c r="H648"/>
  <c r="L648" s="1"/>
  <c r="G648"/>
  <c r="E648"/>
  <c r="D648"/>
  <c r="C648"/>
  <c r="J647"/>
  <c r="H647" s="1"/>
  <c r="L647" s="1"/>
  <c r="E647"/>
  <c r="D647"/>
  <c r="C647"/>
  <c r="J646"/>
  <c r="I646"/>
  <c r="H646"/>
  <c r="L646" s="1"/>
  <c r="O646" s="1"/>
  <c r="G646"/>
  <c r="E646"/>
  <c r="D646"/>
  <c r="C646"/>
  <c r="J645"/>
  <c r="H645"/>
  <c r="L645" s="1"/>
  <c r="E645"/>
  <c r="D645"/>
  <c r="C645"/>
  <c r="O644"/>
  <c r="K644"/>
  <c r="J644"/>
  <c r="I644"/>
  <c r="H644"/>
  <c r="L644" s="1"/>
  <c r="G644"/>
  <c r="E644"/>
  <c r="D644"/>
  <c r="C644"/>
  <c r="J643"/>
  <c r="H643" s="1"/>
  <c r="L643" s="1"/>
  <c r="E643"/>
  <c r="D643"/>
  <c r="C643"/>
  <c r="J642"/>
  <c r="I642"/>
  <c r="H642"/>
  <c r="L642" s="1"/>
  <c r="O642" s="1"/>
  <c r="G642"/>
  <c r="E642"/>
  <c r="D642"/>
  <c r="C642"/>
  <c r="J641"/>
  <c r="H641"/>
  <c r="L641" s="1"/>
  <c r="E641"/>
  <c r="D641"/>
  <c r="C641"/>
  <c r="O639"/>
  <c r="K639"/>
  <c r="J639"/>
  <c r="I639"/>
  <c r="H639"/>
  <c r="L639" s="1"/>
  <c r="G639"/>
  <c r="E639"/>
  <c r="D639"/>
  <c r="C639"/>
  <c r="J638"/>
  <c r="H638" s="1"/>
  <c r="L638" s="1"/>
  <c r="E638"/>
  <c r="D638"/>
  <c r="C638"/>
  <c r="J637"/>
  <c r="I637"/>
  <c r="H637"/>
  <c r="L637" s="1"/>
  <c r="O637" s="1"/>
  <c r="G637"/>
  <c r="E637"/>
  <c r="D637"/>
  <c r="C637"/>
  <c r="J636"/>
  <c r="H636"/>
  <c r="L636" s="1"/>
  <c r="E636"/>
  <c r="D636"/>
  <c r="C636"/>
  <c r="O635"/>
  <c r="K635"/>
  <c r="J635"/>
  <c r="I635"/>
  <c r="H635"/>
  <c r="L635" s="1"/>
  <c r="G635"/>
  <c r="E635"/>
  <c r="D635"/>
  <c r="C635"/>
  <c r="J634"/>
  <c r="H634" s="1"/>
  <c r="L634" s="1"/>
  <c r="E634"/>
  <c r="D634"/>
  <c r="C634"/>
  <c r="J633"/>
  <c r="I633"/>
  <c r="H633"/>
  <c r="L633" s="1"/>
  <c r="O633" s="1"/>
  <c r="G633"/>
  <c r="E633"/>
  <c r="D633"/>
  <c r="C633"/>
  <c r="J631"/>
  <c r="H631"/>
  <c r="L631" s="1"/>
  <c r="E631"/>
  <c r="D631"/>
  <c r="C631"/>
  <c r="O630"/>
  <c r="K630"/>
  <c r="J630"/>
  <c r="I630"/>
  <c r="H630"/>
  <c r="L630" s="1"/>
  <c r="G630"/>
  <c r="E630"/>
  <c r="D630"/>
  <c r="C630"/>
  <c r="J629"/>
  <c r="H629" s="1"/>
  <c r="L629" s="1"/>
  <c r="E629"/>
  <c r="D629"/>
  <c r="C629"/>
  <c r="J628"/>
  <c r="I628"/>
  <c r="H628"/>
  <c r="L628" s="1"/>
  <c r="O628" s="1"/>
  <c r="G628"/>
  <c r="E628"/>
  <c r="D628"/>
  <c r="C628"/>
  <c r="J627"/>
  <c r="H627"/>
  <c r="L627" s="1"/>
  <c r="E627"/>
  <c r="D627"/>
  <c r="C627"/>
  <c r="O626"/>
  <c r="K626"/>
  <c r="J626"/>
  <c r="I626"/>
  <c r="H626"/>
  <c r="L626" s="1"/>
  <c r="G626"/>
  <c r="E626"/>
  <c r="D626"/>
  <c r="C626"/>
  <c r="J625"/>
  <c r="H625" s="1"/>
  <c r="L625" s="1"/>
  <c r="E625"/>
  <c r="D625"/>
  <c r="C625"/>
  <c r="J623"/>
  <c r="I623"/>
  <c r="H623"/>
  <c r="L623" s="1"/>
  <c r="O623" s="1"/>
  <c r="G623"/>
  <c r="E623"/>
  <c r="D623"/>
  <c r="C623"/>
  <c r="J622"/>
  <c r="H622"/>
  <c r="L622" s="1"/>
  <c r="E622"/>
  <c r="D622"/>
  <c r="C622"/>
  <c r="O621"/>
  <c r="K621"/>
  <c r="J621"/>
  <c r="I621"/>
  <c r="H621"/>
  <c r="L621" s="1"/>
  <c r="G621"/>
  <c r="E621"/>
  <c r="D621"/>
  <c r="C621"/>
  <c r="J620"/>
  <c r="H620" s="1"/>
  <c r="L620" s="1"/>
  <c r="E620"/>
  <c r="D620"/>
  <c r="C620"/>
  <c r="J619"/>
  <c r="I619"/>
  <c r="H619"/>
  <c r="L619" s="1"/>
  <c r="O619" s="1"/>
  <c r="G619"/>
  <c r="E619"/>
  <c r="D619"/>
  <c r="C619"/>
  <c r="J618"/>
  <c r="H618"/>
  <c r="L618" s="1"/>
  <c r="E618"/>
  <c r="D618"/>
  <c r="C618"/>
  <c r="O616"/>
  <c r="K616"/>
  <c r="J616"/>
  <c r="I616"/>
  <c r="H616"/>
  <c r="L616" s="1"/>
  <c r="G616"/>
  <c r="E616"/>
  <c r="D616"/>
  <c r="C616"/>
  <c r="J615"/>
  <c r="H615" s="1"/>
  <c r="L615" s="1"/>
  <c r="E615"/>
  <c r="D615"/>
  <c r="C615"/>
  <c r="J614"/>
  <c r="I614"/>
  <c r="H614"/>
  <c r="L614" s="1"/>
  <c r="G614"/>
  <c r="E614"/>
  <c r="D614"/>
  <c r="C614"/>
  <c r="J613"/>
  <c r="I613" s="1"/>
  <c r="H613"/>
  <c r="L613" s="1"/>
  <c r="E613"/>
  <c r="D613"/>
  <c r="C613"/>
  <c r="J611"/>
  <c r="I611"/>
  <c r="H611"/>
  <c r="L611" s="1"/>
  <c r="G611"/>
  <c r="E611"/>
  <c r="D611"/>
  <c r="C611"/>
  <c r="J610"/>
  <c r="I610" s="1"/>
  <c r="H610"/>
  <c r="L610" s="1"/>
  <c r="E610"/>
  <c r="D610"/>
  <c r="C610"/>
  <c r="J608"/>
  <c r="I608"/>
  <c r="H608"/>
  <c r="L608" s="1"/>
  <c r="G608"/>
  <c r="E608"/>
  <c r="D608"/>
  <c r="C608"/>
  <c r="Q602"/>
  <c r="P602"/>
  <c r="O602"/>
  <c r="M602"/>
  <c r="L602"/>
  <c r="K602"/>
  <c r="I602"/>
  <c r="H602"/>
  <c r="G602"/>
  <c r="E602"/>
  <c r="D602"/>
  <c r="C602"/>
  <c r="B596"/>
  <c r="B932" s="1"/>
  <c r="F932" i="16"/>
  <c r="D932"/>
  <c r="F291"/>
  <c r="D291"/>
  <c r="D596"/>
  <c r="F596"/>
  <c r="F930"/>
  <c r="D930"/>
  <c r="B932"/>
  <c r="B930"/>
  <c r="B596"/>
  <c r="B291"/>
  <c r="J594" i="17"/>
  <c r="M594" s="1"/>
  <c r="H594"/>
  <c r="E594"/>
  <c r="D594"/>
  <c r="C594"/>
  <c r="J592"/>
  <c r="M592" s="1"/>
  <c r="H592"/>
  <c r="E592"/>
  <c r="D592"/>
  <c r="C592"/>
  <c r="J591"/>
  <c r="M591" s="1"/>
  <c r="H591"/>
  <c r="E591"/>
  <c r="D591"/>
  <c r="C591"/>
  <c r="J590"/>
  <c r="H590"/>
  <c r="E590"/>
  <c r="D590"/>
  <c r="C590"/>
  <c r="J588"/>
  <c r="M588" s="1"/>
  <c r="H588"/>
  <c r="E588"/>
  <c r="D588"/>
  <c r="C588"/>
  <c r="J587"/>
  <c r="M587" s="1"/>
  <c r="H587"/>
  <c r="E587"/>
  <c r="D587"/>
  <c r="C587"/>
  <c r="J586"/>
  <c r="M586" s="1"/>
  <c r="H586"/>
  <c r="E586"/>
  <c r="D586"/>
  <c r="C586"/>
  <c r="J585"/>
  <c r="M585" s="1"/>
  <c r="H585"/>
  <c r="E585"/>
  <c r="D585"/>
  <c r="C585"/>
  <c r="J583"/>
  <c r="M583" s="1"/>
  <c r="H583"/>
  <c r="E583"/>
  <c r="D583"/>
  <c r="C583"/>
  <c r="J582"/>
  <c r="M582" s="1"/>
  <c r="H582"/>
  <c r="E582"/>
  <c r="D582"/>
  <c r="C582"/>
  <c r="J581"/>
  <c r="M581" s="1"/>
  <c r="H581"/>
  <c r="E581"/>
  <c r="D581"/>
  <c r="C581"/>
  <c r="J580"/>
  <c r="M580" s="1"/>
  <c r="H580"/>
  <c r="E580"/>
  <c r="D580"/>
  <c r="C580"/>
  <c r="J579"/>
  <c r="M579" s="1"/>
  <c r="H579"/>
  <c r="E579"/>
  <c r="D579"/>
  <c r="C579"/>
  <c r="J577"/>
  <c r="M577" s="1"/>
  <c r="H577"/>
  <c r="E577"/>
  <c r="D577"/>
  <c r="C577"/>
  <c r="J576"/>
  <c r="M576" s="1"/>
  <c r="H576"/>
  <c r="G576"/>
  <c r="E576"/>
  <c r="D576"/>
  <c r="C576"/>
  <c r="J575"/>
  <c r="M575" s="1"/>
  <c r="H575"/>
  <c r="E575"/>
  <c r="D575"/>
  <c r="C575"/>
  <c r="M574"/>
  <c r="Q574" s="1"/>
  <c r="K574"/>
  <c r="J574"/>
  <c r="I574"/>
  <c r="H574"/>
  <c r="G574"/>
  <c r="E574"/>
  <c r="D574"/>
  <c r="C574"/>
  <c r="J573"/>
  <c r="M573" s="1"/>
  <c r="H573"/>
  <c r="E573"/>
  <c r="D573"/>
  <c r="C573"/>
  <c r="M572"/>
  <c r="Q572" s="1"/>
  <c r="K572"/>
  <c r="J572"/>
  <c r="I572"/>
  <c r="H572"/>
  <c r="G572"/>
  <c r="E572"/>
  <c r="D572"/>
  <c r="C572"/>
  <c r="J571"/>
  <c r="H571"/>
  <c r="E571"/>
  <c r="D571"/>
  <c r="C571"/>
  <c r="M569"/>
  <c r="Q569" s="1"/>
  <c r="K569"/>
  <c r="J569"/>
  <c r="I569"/>
  <c r="H569"/>
  <c r="G569"/>
  <c r="E569"/>
  <c r="D569"/>
  <c r="C569"/>
  <c r="J568"/>
  <c r="M568" s="1"/>
  <c r="H568"/>
  <c r="E568"/>
  <c r="D568"/>
  <c r="C568"/>
  <c r="M567"/>
  <c r="Q567" s="1"/>
  <c r="K567"/>
  <c r="J567"/>
  <c r="I567"/>
  <c r="H567"/>
  <c r="G567"/>
  <c r="E567"/>
  <c r="D567"/>
  <c r="C567"/>
  <c r="J566"/>
  <c r="M566" s="1"/>
  <c r="H566"/>
  <c r="E566"/>
  <c r="D566"/>
  <c r="C566"/>
  <c r="M565"/>
  <c r="Q565" s="1"/>
  <c r="K565"/>
  <c r="J565"/>
  <c r="I565"/>
  <c r="H565"/>
  <c r="G565"/>
  <c r="E565"/>
  <c r="D565"/>
  <c r="C565"/>
  <c r="J564"/>
  <c r="M564" s="1"/>
  <c r="H564"/>
  <c r="E564"/>
  <c r="D564"/>
  <c r="C564"/>
  <c r="M563"/>
  <c r="Q563" s="1"/>
  <c r="K563"/>
  <c r="J563"/>
  <c r="I563"/>
  <c r="H563"/>
  <c r="G563"/>
  <c r="E563"/>
  <c r="D563"/>
  <c r="C563"/>
  <c r="J562"/>
  <c r="M562" s="1"/>
  <c r="H562"/>
  <c r="E562"/>
  <c r="D562"/>
  <c r="C562"/>
  <c r="M560"/>
  <c r="Q560" s="1"/>
  <c r="K560"/>
  <c r="J560"/>
  <c r="I560"/>
  <c r="H560"/>
  <c r="G560"/>
  <c r="E560"/>
  <c r="D560"/>
  <c r="C560"/>
  <c r="J559"/>
  <c r="M559" s="1"/>
  <c r="H559"/>
  <c r="E559"/>
  <c r="D559"/>
  <c r="C559"/>
  <c r="M558"/>
  <c r="Q558" s="1"/>
  <c r="K558"/>
  <c r="J558"/>
  <c r="I558"/>
  <c r="H558"/>
  <c r="G558"/>
  <c r="E558"/>
  <c r="D558"/>
  <c r="C558"/>
  <c r="J557"/>
  <c r="M557" s="1"/>
  <c r="H557"/>
  <c r="E557"/>
  <c r="D557"/>
  <c r="C557"/>
  <c r="M556"/>
  <c r="Q556" s="1"/>
  <c r="K556"/>
  <c r="J556"/>
  <c r="I556"/>
  <c r="H556"/>
  <c r="G556"/>
  <c r="E556"/>
  <c r="D556"/>
  <c r="C556"/>
  <c r="J555"/>
  <c r="M555" s="1"/>
  <c r="H555"/>
  <c r="E555"/>
  <c r="D555"/>
  <c r="C555"/>
  <c r="M554"/>
  <c r="Q554" s="1"/>
  <c r="K554"/>
  <c r="J554"/>
  <c r="I554"/>
  <c r="H554"/>
  <c r="G554"/>
  <c r="E554"/>
  <c r="D554"/>
  <c r="C554"/>
  <c r="J553"/>
  <c r="M553" s="1"/>
  <c r="H553"/>
  <c r="E553"/>
  <c r="D553"/>
  <c r="C553"/>
  <c r="M552"/>
  <c r="Q552" s="1"/>
  <c r="K552"/>
  <c r="J552"/>
  <c r="I552"/>
  <c r="H552"/>
  <c r="G552"/>
  <c r="E552"/>
  <c r="D552"/>
  <c r="C552"/>
  <c r="J550"/>
  <c r="M550" s="1"/>
  <c r="H550"/>
  <c r="E550"/>
  <c r="D550"/>
  <c r="C550"/>
  <c r="M549"/>
  <c r="Q549" s="1"/>
  <c r="K549"/>
  <c r="J549"/>
  <c r="I549"/>
  <c r="H549"/>
  <c r="G549"/>
  <c r="E549"/>
  <c r="D549"/>
  <c r="C549"/>
  <c r="J548"/>
  <c r="M548" s="1"/>
  <c r="H548"/>
  <c r="E548"/>
  <c r="D548"/>
  <c r="C548"/>
  <c r="M547"/>
  <c r="Q547" s="1"/>
  <c r="K547"/>
  <c r="J547"/>
  <c r="I547"/>
  <c r="H547"/>
  <c r="G547"/>
  <c r="E547"/>
  <c r="D547"/>
  <c r="C547"/>
  <c r="J546"/>
  <c r="M546" s="1"/>
  <c r="H546"/>
  <c r="E546"/>
  <c r="D546"/>
  <c r="C546"/>
  <c r="M545"/>
  <c r="Q545" s="1"/>
  <c r="K545"/>
  <c r="J545"/>
  <c r="I545"/>
  <c r="H545"/>
  <c r="G545"/>
  <c r="E545"/>
  <c r="D545"/>
  <c r="C545"/>
  <c r="J544"/>
  <c r="M544" s="1"/>
  <c r="H544"/>
  <c r="E544"/>
  <c r="D544"/>
  <c r="C544"/>
  <c r="M543"/>
  <c r="Q543" s="1"/>
  <c r="K543"/>
  <c r="J543"/>
  <c r="I543"/>
  <c r="H543"/>
  <c r="G543"/>
  <c r="E543"/>
  <c r="D543"/>
  <c r="C543"/>
  <c r="J542"/>
  <c r="M542" s="1"/>
  <c r="H542"/>
  <c r="E542"/>
  <c r="D542"/>
  <c r="C542"/>
  <c r="M541"/>
  <c r="Q541" s="1"/>
  <c r="K541"/>
  <c r="J541"/>
  <c r="I541"/>
  <c r="H541"/>
  <c r="G541"/>
  <c r="E541"/>
  <c r="D541"/>
  <c r="C541"/>
  <c r="J540"/>
  <c r="H540"/>
  <c r="E540"/>
  <c r="D540"/>
  <c r="C540"/>
  <c r="M538"/>
  <c r="Q538" s="1"/>
  <c r="K538"/>
  <c r="J538"/>
  <c r="I538"/>
  <c r="H538"/>
  <c r="G538"/>
  <c r="E538"/>
  <c r="D538"/>
  <c r="C538"/>
  <c r="J537"/>
  <c r="M537" s="1"/>
  <c r="H537"/>
  <c r="E537"/>
  <c r="D537"/>
  <c r="C537"/>
  <c r="M536"/>
  <c r="O536" s="1"/>
  <c r="J536"/>
  <c r="I536"/>
  <c r="H536"/>
  <c r="G536"/>
  <c r="E536"/>
  <c r="D536"/>
  <c r="C536"/>
  <c r="J535"/>
  <c r="E535"/>
  <c r="D535"/>
  <c r="C535"/>
  <c r="M534"/>
  <c r="J534"/>
  <c r="I534"/>
  <c r="H534"/>
  <c r="G534"/>
  <c r="E534"/>
  <c r="D534"/>
  <c r="C534"/>
  <c r="J533"/>
  <c r="H533" s="1"/>
  <c r="E533"/>
  <c r="D533"/>
  <c r="C533"/>
  <c r="M532"/>
  <c r="O532" s="1"/>
  <c r="J532"/>
  <c r="I532"/>
  <c r="H532"/>
  <c r="G532"/>
  <c r="E532"/>
  <c r="D532"/>
  <c r="C532"/>
  <c r="J531"/>
  <c r="H531"/>
  <c r="E531"/>
  <c r="D531"/>
  <c r="C531"/>
  <c r="M530"/>
  <c r="J530"/>
  <c r="I530"/>
  <c r="H530"/>
  <c r="G530"/>
  <c r="E530"/>
  <c r="D530"/>
  <c r="C530"/>
  <c r="M529"/>
  <c r="Q529" s="1"/>
  <c r="K529"/>
  <c r="J529"/>
  <c r="I529"/>
  <c r="H529"/>
  <c r="G529"/>
  <c r="E529"/>
  <c r="D529"/>
  <c r="C529"/>
  <c r="J528"/>
  <c r="M528" s="1"/>
  <c r="H528"/>
  <c r="E528"/>
  <c r="D528"/>
  <c r="C528"/>
  <c r="M527"/>
  <c r="Q527" s="1"/>
  <c r="K527"/>
  <c r="J527"/>
  <c r="I527"/>
  <c r="H527"/>
  <c r="G527"/>
  <c r="E527"/>
  <c r="D527"/>
  <c r="C527"/>
  <c r="J525"/>
  <c r="M525" s="1"/>
  <c r="H525"/>
  <c r="E525"/>
  <c r="D525"/>
  <c r="C525"/>
  <c r="M524"/>
  <c r="Q524" s="1"/>
  <c r="K524"/>
  <c r="J524"/>
  <c r="I524"/>
  <c r="H524"/>
  <c r="G524"/>
  <c r="E524"/>
  <c r="D524"/>
  <c r="C524"/>
  <c r="J523"/>
  <c r="M523" s="1"/>
  <c r="H523"/>
  <c r="E523"/>
  <c r="D523"/>
  <c r="C523"/>
  <c r="M522"/>
  <c r="Q522" s="1"/>
  <c r="K522"/>
  <c r="J522"/>
  <c r="I522"/>
  <c r="H522"/>
  <c r="G522"/>
  <c r="E522"/>
  <c r="D522"/>
  <c r="C522"/>
  <c r="J521"/>
  <c r="M521" s="1"/>
  <c r="H521"/>
  <c r="E521"/>
  <c r="D521"/>
  <c r="C521"/>
  <c r="M520"/>
  <c r="Q520" s="1"/>
  <c r="K520"/>
  <c r="J520"/>
  <c r="I520"/>
  <c r="H520"/>
  <c r="G520"/>
  <c r="E520"/>
  <c r="D520"/>
  <c r="C520"/>
  <c r="J519"/>
  <c r="M519" s="1"/>
  <c r="H519"/>
  <c r="E519"/>
  <c r="D519"/>
  <c r="C519"/>
  <c r="M518"/>
  <c r="Q518" s="1"/>
  <c r="K518"/>
  <c r="J518"/>
  <c r="I518"/>
  <c r="H518"/>
  <c r="G518"/>
  <c r="E518"/>
  <c r="D518"/>
  <c r="C518"/>
  <c r="J517"/>
  <c r="M517" s="1"/>
  <c r="H517"/>
  <c r="E517"/>
  <c r="D517"/>
  <c r="C517"/>
  <c r="M516"/>
  <c r="Q516" s="1"/>
  <c r="K516"/>
  <c r="J516"/>
  <c r="I516"/>
  <c r="H516"/>
  <c r="G516"/>
  <c r="E516"/>
  <c r="D516"/>
  <c r="C516"/>
  <c r="J515"/>
  <c r="M515" s="1"/>
  <c r="H515"/>
  <c r="E515"/>
  <c r="D515"/>
  <c r="C515"/>
  <c r="M514"/>
  <c r="Q514" s="1"/>
  <c r="K514"/>
  <c r="J514"/>
  <c r="I514"/>
  <c r="H514"/>
  <c r="G514"/>
  <c r="E514"/>
  <c r="D514"/>
  <c r="C514"/>
  <c r="J512"/>
  <c r="M512" s="1"/>
  <c r="H512"/>
  <c r="E512"/>
  <c r="D512"/>
  <c r="C512"/>
  <c r="M511"/>
  <c r="Q511" s="1"/>
  <c r="K511"/>
  <c r="J511"/>
  <c r="I511"/>
  <c r="H511"/>
  <c r="G511"/>
  <c r="E511"/>
  <c r="D511"/>
  <c r="C511"/>
  <c r="J510"/>
  <c r="M510" s="1"/>
  <c r="H510"/>
  <c r="E510"/>
  <c r="D510"/>
  <c r="C510"/>
  <c r="M509"/>
  <c r="Q509" s="1"/>
  <c r="K509"/>
  <c r="J509"/>
  <c r="I509"/>
  <c r="H509"/>
  <c r="G509"/>
  <c r="E509"/>
  <c r="D509"/>
  <c r="C509"/>
  <c r="J508"/>
  <c r="M508" s="1"/>
  <c r="H508"/>
  <c r="E508"/>
  <c r="D508"/>
  <c r="C508"/>
  <c r="M507"/>
  <c r="Q507" s="1"/>
  <c r="K507"/>
  <c r="J507"/>
  <c r="I507"/>
  <c r="H507"/>
  <c r="G507"/>
  <c r="E507"/>
  <c r="D507"/>
  <c r="C507"/>
  <c r="J506"/>
  <c r="M506" s="1"/>
  <c r="H506"/>
  <c r="E506"/>
  <c r="D506"/>
  <c r="C506"/>
  <c r="M505"/>
  <c r="Q505" s="1"/>
  <c r="K505"/>
  <c r="J505"/>
  <c r="I505"/>
  <c r="H505"/>
  <c r="G505"/>
  <c r="E505"/>
  <c r="D505"/>
  <c r="C505"/>
  <c r="J504"/>
  <c r="M504" s="1"/>
  <c r="H504"/>
  <c r="E504"/>
  <c r="D504"/>
  <c r="C504"/>
  <c r="M503"/>
  <c r="Q503" s="1"/>
  <c r="K503"/>
  <c r="J503"/>
  <c r="I503"/>
  <c r="H503"/>
  <c r="G503"/>
  <c r="E503"/>
  <c r="D503"/>
  <c r="C503"/>
  <c r="J502"/>
  <c r="M502" s="1"/>
  <c r="H502"/>
  <c r="E502"/>
  <c r="D502"/>
  <c r="C502"/>
  <c r="J501"/>
  <c r="I501"/>
  <c r="H501"/>
  <c r="G501"/>
  <c r="M501" s="1"/>
  <c r="E501"/>
  <c r="D501"/>
  <c r="C501"/>
  <c r="J499"/>
  <c r="M499" s="1"/>
  <c r="H499"/>
  <c r="E499"/>
  <c r="D499"/>
  <c r="C499"/>
  <c r="M498"/>
  <c r="Q498" s="1"/>
  <c r="K498"/>
  <c r="J498"/>
  <c r="I498"/>
  <c r="H498"/>
  <c r="G498"/>
  <c r="E498"/>
  <c r="D498"/>
  <c r="C498"/>
  <c r="J497"/>
  <c r="M497" s="1"/>
  <c r="H497"/>
  <c r="E497"/>
  <c r="D497"/>
  <c r="C497"/>
  <c r="M496"/>
  <c r="Q496" s="1"/>
  <c r="K496"/>
  <c r="J496"/>
  <c r="I496"/>
  <c r="H496"/>
  <c r="G496"/>
  <c r="E496"/>
  <c r="D496"/>
  <c r="C496"/>
  <c r="J495"/>
  <c r="M495" s="1"/>
  <c r="H495"/>
  <c r="E495"/>
  <c r="D495"/>
  <c r="C495"/>
  <c r="M494"/>
  <c r="Q494" s="1"/>
  <c r="K494"/>
  <c r="J494"/>
  <c r="I494"/>
  <c r="H494"/>
  <c r="G494"/>
  <c r="E494"/>
  <c r="D494"/>
  <c r="C494"/>
  <c r="J493"/>
  <c r="M493" s="1"/>
  <c r="H493"/>
  <c r="E493"/>
  <c r="D493"/>
  <c r="C493"/>
  <c r="M492"/>
  <c r="Q492" s="1"/>
  <c r="K492"/>
  <c r="J492"/>
  <c r="I492"/>
  <c r="H492"/>
  <c r="G492"/>
  <c r="E492"/>
  <c r="D492"/>
  <c r="C492"/>
  <c r="J491"/>
  <c r="M491" s="1"/>
  <c r="H491"/>
  <c r="E491"/>
  <c r="D491"/>
  <c r="C491"/>
  <c r="M490"/>
  <c r="Q490" s="1"/>
  <c r="K490"/>
  <c r="J490"/>
  <c r="I490"/>
  <c r="H490"/>
  <c r="G490"/>
  <c r="E490"/>
  <c r="D490"/>
  <c r="C490"/>
  <c r="J489"/>
  <c r="M489" s="1"/>
  <c r="H489"/>
  <c r="E489"/>
  <c r="D489"/>
  <c r="C489"/>
  <c r="M488"/>
  <c r="Q488" s="1"/>
  <c r="K488"/>
  <c r="J488"/>
  <c r="I488"/>
  <c r="H488"/>
  <c r="G488"/>
  <c r="E488"/>
  <c r="D488"/>
  <c r="C488"/>
  <c r="J486"/>
  <c r="M486" s="1"/>
  <c r="H486"/>
  <c r="E486"/>
  <c r="D486"/>
  <c r="C486"/>
  <c r="M485"/>
  <c r="Q485" s="1"/>
  <c r="K485"/>
  <c r="J485"/>
  <c r="I485"/>
  <c r="H485"/>
  <c r="G485"/>
  <c r="E485"/>
  <c r="D485"/>
  <c r="C485"/>
  <c r="J484"/>
  <c r="M484" s="1"/>
  <c r="H484"/>
  <c r="E484"/>
  <c r="D484"/>
  <c r="C484"/>
  <c r="M483"/>
  <c r="Q483" s="1"/>
  <c r="K483"/>
  <c r="J483"/>
  <c r="I483"/>
  <c r="H483"/>
  <c r="G483"/>
  <c r="E483"/>
  <c r="D483"/>
  <c r="C483"/>
  <c r="J482"/>
  <c r="M482" s="1"/>
  <c r="H482"/>
  <c r="E482"/>
  <c r="D482"/>
  <c r="C482"/>
  <c r="M481"/>
  <c r="Q481" s="1"/>
  <c r="K481"/>
  <c r="J481"/>
  <c r="I481"/>
  <c r="H481"/>
  <c r="G481"/>
  <c r="E481"/>
  <c r="D481"/>
  <c r="C481"/>
  <c r="J480"/>
  <c r="M480" s="1"/>
  <c r="H480"/>
  <c r="E480"/>
  <c r="D480"/>
  <c r="C480"/>
  <c r="M479"/>
  <c r="Q479" s="1"/>
  <c r="K479"/>
  <c r="J479"/>
  <c r="I479"/>
  <c r="H479"/>
  <c r="G479"/>
  <c r="E479"/>
  <c r="D479"/>
  <c r="C479"/>
  <c r="J478"/>
  <c r="M478" s="1"/>
  <c r="H478"/>
  <c r="E478"/>
  <c r="D478"/>
  <c r="C478"/>
  <c r="M477"/>
  <c r="Q477" s="1"/>
  <c r="K477"/>
  <c r="J477"/>
  <c r="I477"/>
  <c r="H477"/>
  <c r="G477"/>
  <c r="E477"/>
  <c r="D477"/>
  <c r="C477"/>
  <c r="J476"/>
  <c r="M476" s="1"/>
  <c r="H476"/>
  <c r="E476"/>
  <c r="D476"/>
  <c r="C476"/>
  <c r="M474"/>
  <c r="Q474" s="1"/>
  <c r="K474"/>
  <c r="J474"/>
  <c r="I474"/>
  <c r="H474"/>
  <c r="G474"/>
  <c r="E474"/>
  <c r="D474"/>
  <c r="C474"/>
  <c r="J473"/>
  <c r="M473" s="1"/>
  <c r="H473"/>
  <c r="E473"/>
  <c r="D473"/>
  <c r="C473"/>
  <c r="M472"/>
  <c r="Q472" s="1"/>
  <c r="K472"/>
  <c r="J472"/>
  <c r="I472"/>
  <c r="H472"/>
  <c r="G472"/>
  <c r="E472"/>
  <c r="D472"/>
  <c r="C472"/>
  <c r="J471"/>
  <c r="M471" s="1"/>
  <c r="H471"/>
  <c r="E471"/>
  <c r="D471"/>
  <c r="C471"/>
  <c r="M470"/>
  <c r="Q470" s="1"/>
  <c r="K470"/>
  <c r="J470"/>
  <c r="I470"/>
  <c r="H470"/>
  <c r="G470"/>
  <c r="E470"/>
  <c r="D470"/>
  <c r="C470"/>
  <c r="J469"/>
  <c r="M469" s="1"/>
  <c r="H469"/>
  <c r="E469"/>
  <c r="D469"/>
  <c r="C469"/>
  <c r="M468"/>
  <c r="Q468" s="1"/>
  <c r="K468"/>
  <c r="J468"/>
  <c r="I468"/>
  <c r="H468"/>
  <c r="G468"/>
  <c r="E468"/>
  <c r="D468"/>
  <c r="C468"/>
  <c r="J467"/>
  <c r="M467" s="1"/>
  <c r="H467"/>
  <c r="E467"/>
  <c r="D467"/>
  <c r="C467"/>
  <c r="M466"/>
  <c r="Q466" s="1"/>
  <c r="K466"/>
  <c r="J466"/>
  <c r="I466"/>
  <c r="H466"/>
  <c r="G466"/>
  <c r="E466"/>
  <c r="D466"/>
  <c r="C466"/>
  <c r="J465"/>
  <c r="M465" s="1"/>
  <c r="H465"/>
  <c r="E465"/>
  <c r="D465"/>
  <c r="C465"/>
  <c r="J464"/>
  <c r="I464"/>
  <c r="H464"/>
  <c r="G464"/>
  <c r="M464" s="1"/>
  <c r="E464"/>
  <c r="D464"/>
  <c r="C464"/>
  <c r="J462"/>
  <c r="M462" s="1"/>
  <c r="H462"/>
  <c r="E462"/>
  <c r="D462"/>
  <c r="C462"/>
  <c r="M461"/>
  <c r="Q461" s="1"/>
  <c r="K461"/>
  <c r="J461"/>
  <c r="I461"/>
  <c r="H461"/>
  <c r="G461"/>
  <c r="E461"/>
  <c r="D461"/>
  <c r="C461"/>
  <c r="J460"/>
  <c r="M460" s="1"/>
  <c r="H460"/>
  <c r="E460"/>
  <c r="D460"/>
  <c r="C460"/>
  <c r="M459"/>
  <c r="Q459" s="1"/>
  <c r="K459"/>
  <c r="J459"/>
  <c r="I459"/>
  <c r="H459"/>
  <c r="G459"/>
  <c r="E459"/>
  <c r="D459"/>
  <c r="C459"/>
  <c r="J458"/>
  <c r="M458" s="1"/>
  <c r="H458"/>
  <c r="E458"/>
  <c r="D458"/>
  <c r="C458"/>
  <c r="M457"/>
  <c r="Q457" s="1"/>
  <c r="K457"/>
  <c r="J457"/>
  <c r="I457"/>
  <c r="H457"/>
  <c r="G457"/>
  <c r="E457"/>
  <c r="D457"/>
  <c r="C457"/>
  <c r="J456"/>
  <c r="M456" s="1"/>
  <c r="H456"/>
  <c r="E456"/>
  <c r="D456"/>
  <c r="C456"/>
  <c r="M455"/>
  <c r="Q455" s="1"/>
  <c r="K455"/>
  <c r="J455"/>
  <c r="I455"/>
  <c r="H455"/>
  <c r="G455"/>
  <c r="E455"/>
  <c r="D455"/>
  <c r="C455"/>
  <c r="J454"/>
  <c r="M454" s="1"/>
  <c r="H454"/>
  <c r="E454"/>
  <c r="D454"/>
  <c r="C454"/>
  <c r="M453"/>
  <c r="Q453" s="1"/>
  <c r="K453"/>
  <c r="J453"/>
  <c r="I453"/>
  <c r="H453"/>
  <c r="G453"/>
  <c r="E453"/>
  <c r="D453"/>
  <c r="C453"/>
  <c r="J452"/>
  <c r="M452" s="1"/>
  <c r="H452"/>
  <c r="E452"/>
  <c r="D452"/>
  <c r="C452"/>
  <c r="M450"/>
  <c r="Q450" s="1"/>
  <c r="K450"/>
  <c r="J450"/>
  <c r="I450"/>
  <c r="H450"/>
  <c r="G450"/>
  <c r="E450"/>
  <c r="D450"/>
  <c r="C450"/>
  <c r="J449"/>
  <c r="M449" s="1"/>
  <c r="H449"/>
  <c r="E449"/>
  <c r="D449"/>
  <c r="C449"/>
  <c r="M448"/>
  <c r="Q448" s="1"/>
  <c r="K448"/>
  <c r="J448"/>
  <c r="I448"/>
  <c r="H448"/>
  <c r="G448"/>
  <c r="E448"/>
  <c r="D448"/>
  <c r="C448"/>
  <c r="J447"/>
  <c r="M447" s="1"/>
  <c r="H447"/>
  <c r="E447"/>
  <c r="D447"/>
  <c r="C447"/>
  <c r="M446"/>
  <c r="Q446" s="1"/>
  <c r="K446"/>
  <c r="J446"/>
  <c r="I446"/>
  <c r="H446"/>
  <c r="G446"/>
  <c r="E446"/>
  <c r="D446"/>
  <c r="C446"/>
  <c r="J445"/>
  <c r="M445" s="1"/>
  <c r="H445"/>
  <c r="E445"/>
  <c r="D445"/>
  <c r="C445"/>
  <c r="M444"/>
  <c r="Q444" s="1"/>
  <c r="K444"/>
  <c r="J444"/>
  <c r="I444"/>
  <c r="H444"/>
  <c r="G444"/>
  <c r="E444"/>
  <c r="D444"/>
  <c r="C444"/>
  <c r="J443"/>
  <c r="M443" s="1"/>
  <c r="H443"/>
  <c r="E443"/>
  <c r="D443"/>
  <c r="C443"/>
  <c r="M442"/>
  <c r="Q442" s="1"/>
  <c r="K442"/>
  <c r="J442"/>
  <c r="I442"/>
  <c r="H442"/>
  <c r="G442"/>
  <c r="E442"/>
  <c r="D442"/>
  <c r="C442"/>
  <c r="J441"/>
  <c r="M441" s="1"/>
  <c r="H441"/>
  <c r="E441"/>
  <c r="D441"/>
  <c r="C441"/>
  <c r="M439"/>
  <c r="Q439" s="1"/>
  <c r="K439"/>
  <c r="J439"/>
  <c r="I439"/>
  <c r="H439"/>
  <c r="G439"/>
  <c r="E439"/>
  <c r="D439"/>
  <c r="C439"/>
  <c r="J438"/>
  <c r="M438" s="1"/>
  <c r="H438"/>
  <c r="E438"/>
  <c r="D438"/>
  <c r="C438"/>
  <c r="M437"/>
  <c r="Q437" s="1"/>
  <c r="K437"/>
  <c r="J437"/>
  <c r="I437"/>
  <c r="H437"/>
  <c r="G437"/>
  <c r="E437"/>
  <c r="D437"/>
  <c r="C437"/>
  <c r="J436"/>
  <c r="M436" s="1"/>
  <c r="H436"/>
  <c r="E436"/>
  <c r="D436"/>
  <c r="C436"/>
  <c r="M435"/>
  <c r="Q435" s="1"/>
  <c r="K435"/>
  <c r="J435"/>
  <c r="I435"/>
  <c r="H435"/>
  <c r="G435"/>
  <c r="E435"/>
  <c r="D435"/>
  <c r="C435"/>
  <c r="J434"/>
  <c r="M434" s="1"/>
  <c r="H434"/>
  <c r="E434"/>
  <c r="D434"/>
  <c r="C434"/>
  <c r="M433"/>
  <c r="Q433" s="1"/>
  <c r="K433"/>
  <c r="J433"/>
  <c r="I433"/>
  <c r="H433"/>
  <c r="G433"/>
  <c r="E433"/>
  <c r="D433"/>
  <c r="C433"/>
  <c r="J432"/>
  <c r="M432" s="1"/>
  <c r="H432"/>
  <c r="E432"/>
  <c r="D432"/>
  <c r="C432"/>
  <c r="M431"/>
  <c r="Q431" s="1"/>
  <c r="K431"/>
  <c r="J431"/>
  <c r="I431"/>
  <c r="H431"/>
  <c r="G431"/>
  <c r="E431"/>
  <c r="D431"/>
  <c r="C431"/>
  <c r="J430"/>
  <c r="H430"/>
  <c r="E430"/>
  <c r="D430"/>
  <c r="C430"/>
  <c r="J428"/>
  <c r="M428" s="1"/>
  <c r="H428"/>
  <c r="E428"/>
  <c r="D428"/>
  <c r="C428"/>
  <c r="J427"/>
  <c r="M427" s="1"/>
  <c r="H427"/>
  <c r="E427"/>
  <c r="D427"/>
  <c r="C427"/>
  <c r="M426"/>
  <c r="Q426" s="1"/>
  <c r="K426"/>
  <c r="J426"/>
  <c r="I426"/>
  <c r="H426"/>
  <c r="G426"/>
  <c r="E426"/>
  <c r="D426"/>
  <c r="C426"/>
  <c r="J425"/>
  <c r="M425" s="1"/>
  <c r="H425"/>
  <c r="E425"/>
  <c r="D425"/>
  <c r="C425"/>
  <c r="M424"/>
  <c r="Q424" s="1"/>
  <c r="K424"/>
  <c r="J424"/>
  <c r="I424"/>
  <c r="H424"/>
  <c r="G424"/>
  <c r="E424"/>
  <c r="D424"/>
  <c r="C424"/>
  <c r="J423"/>
  <c r="M423" s="1"/>
  <c r="H423"/>
  <c r="E423"/>
  <c r="D423"/>
  <c r="C423"/>
  <c r="M422"/>
  <c r="Q422" s="1"/>
  <c r="K422"/>
  <c r="J422"/>
  <c r="I422"/>
  <c r="H422"/>
  <c r="G422"/>
  <c r="E422"/>
  <c r="D422"/>
  <c r="C422"/>
  <c r="J421"/>
  <c r="M421" s="1"/>
  <c r="H421"/>
  <c r="E421"/>
  <c r="D421"/>
  <c r="C421"/>
  <c r="M420"/>
  <c r="Q420" s="1"/>
  <c r="K420"/>
  <c r="J420"/>
  <c r="I420"/>
  <c r="H420"/>
  <c r="G420"/>
  <c r="E420"/>
  <c r="D420"/>
  <c r="C420"/>
  <c r="J419"/>
  <c r="M419" s="1"/>
  <c r="H419"/>
  <c r="E419"/>
  <c r="D419"/>
  <c r="C419"/>
  <c r="M417"/>
  <c r="Q417" s="1"/>
  <c r="K417"/>
  <c r="J417"/>
  <c r="I417"/>
  <c r="H417"/>
  <c r="G417"/>
  <c r="E417"/>
  <c r="D417"/>
  <c r="C417"/>
  <c r="J416"/>
  <c r="M416" s="1"/>
  <c r="H416"/>
  <c r="E416"/>
  <c r="D416"/>
  <c r="C416"/>
  <c r="M415"/>
  <c r="Q415" s="1"/>
  <c r="K415"/>
  <c r="J415"/>
  <c r="I415"/>
  <c r="H415"/>
  <c r="G415"/>
  <c r="E415"/>
  <c r="D415"/>
  <c r="C415"/>
  <c r="J414"/>
  <c r="M414" s="1"/>
  <c r="H414"/>
  <c r="E414"/>
  <c r="D414"/>
  <c r="C414"/>
  <c r="M413"/>
  <c r="Q413" s="1"/>
  <c r="K413"/>
  <c r="J413"/>
  <c r="I413"/>
  <c r="H413"/>
  <c r="G413"/>
  <c r="E413"/>
  <c r="D413"/>
  <c r="C413"/>
  <c r="J412"/>
  <c r="M412" s="1"/>
  <c r="H412"/>
  <c r="E412"/>
  <c r="D412"/>
  <c r="C412"/>
  <c r="M411"/>
  <c r="Q411" s="1"/>
  <c r="K411"/>
  <c r="J411"/>
  <c r="I411"/>
  <c r="H411"/>
  <c r="G411"/>
  <c r="E411"/>
  <c r="D411"/>
  <c r="C411"/>
  <c r="J410"/>
  <c r="M410" s="1"/>
  <c r="H410"/>
  <c r="E410"/>
  <c r="D410"/>
  <c r="C410"/>
  <c r="M409"/>
  <c r="Q409" s="1"/>
  <c r="K409"/>
  <c r="J409"/>
  <c r="I409"/>
  <c r="H409"/>
  <c r="G409"/>
  <c r="E409"/>
  <c r="D409"/>
  <c r="C409"/>
  <c r="J407"/>
  <c r="M407" s="1"/>
  <c r="H407"/>
  <c r="E407"/>
  <c r="D407"/>
  <c r="C407"/>
  <c r="M406"/>
  <c r="Q406" s="1"/>
  <c r="K406"/>
  <c r="J406"/>
  <c r="I406"/>
  <c r="H406"/>
  <c r="G406"/>
  <c r="E406"/>
  <c r="D406"/>
  <c r="C406"/>
  <c r="J405"/>
  <c r="M405" s="1"/>
  <c r="H405"/>
  <c r="E405"/>
  <c r="D405"/>
  <c r="C405"/>
  <c r="M404"/>
  <c r="Q404" s="1"/>
  <c r="K404"/>
  <c r="J404"/>
  <c r="I404"/>
  <c r="H404"/>
  <c r="G404"/>
  <c r="E404"/>
  <c r="D404"/>
  <c r="C404"/>
  <c r="J403"/>
  <c r="M403" s="1"/>
  <c r="H403"/>
  <c r="E403"/>
  <c r="D403"/>
  <c r="C403"/>
  <c r="M402"/>
  <c r="Q402" s="1"/>
  <c r="K402"/>
  <c r="J402"/>
  <c r="I402"/>
  <c r="H402"/>
  <c r="G402"/>
  <c r="E402"/>
  <c r="D402"/>
  <c r="C402"/>
  <c r="J401"/>
  <c r="M401" s="1"/>
  <c r="H401"/>
  <c r="E401"/>
  <c r="D401"/>
  <c r="C401"/>
  <c r="M400"/>
  <c r="Q400" s="1"/>
  <c r="K400"/>
  <c r="J400"/>
  <c r="I400"/>
  <c r="H400"/>
  <c r="G400"/>
  <c r="E400"/>
  <c r="D400"/>
  <c r="C400"/>
  <c r="J399"/>
  <c r="M399" s="1"/>
  <c r="H399"/>
  <c r="E399"/>
  <c r="D399"/>
  <c r="C399"/>
  <c r="J398"/>
  <c r="I398"/>
  <c r="H398"/>
  <c r="G398"/>
  <c r="M398" s="1"/>
  <c r="E398"/>
  <c r="D398"/>
  <c r="C398"/>
  <c r="J396"/>
  <c r="M396" s="1"/>
  <c r="H396"/>
  <c r="E396"/>
  <c r="D396"/>
  <c r="C396"/>
  <c r="M395"/>
  <c r="Q395" s="1"/>
  <c r="K395"/>
  <c r="J395"/>
  <c r="I395"/>
  <c r="H395"/>
  <c r="G395"/>
  <c r="E395"/>
  <c r="D395"/>
  <c r="C395"/>
  <c r="J394"/>
  <c r="M394" s="1"/>
  <c r="H394"/>
  <c r="E394"/>
  <c r="D394"/>
  <c r="C394"/>
  <c r="M393"/>
  <c r="Q393" s="1"/>
  <c r="K393"/>
  <c r="J393"/>
  <c r="I393"/>
  <c r="H393"/>
  <c r="G393"/>
  <c r="E393"/>
  <c r="D393"/>
  <c r="C393"/>
  <c r="J392"/>
  <c r="M392" s="1"/>
  <c r="H392"/>
  <c r="E392"/>
  <c r="D392"/>
  <c r="C392"/>
  <c r="M391"/>
  <c r="Q391" s="1"/>
  <c r="K391"/>
  <c r="J391"/>
  <c r="I391"/>
  <c r="H391"/>
  <c r="G391"/>
  <c r="E391"/>
  <c r="D391"/>
  <c r="C391"/>
  <c r="J390"/>
  <c r="M390" s="1"/>
  <c r="H390"/>
  <c r="E390"/>
  <c r="D390"/>
  <c r="C390"/>
  <c r="M389"/>
  <c r="Q389" s="1"/>
  <c r="K389"/>
  <c r="J389"/>
  <c r="I389"/>
  <c r="H389"/>
  <c r="G389"/>
  <c r="E389"/>
  <c r="D389"/>
  <c r="C389"/>
  <c r="J388"/>
  <c r="M388" s="1"/>
  <c r="H388"/>
  <c r="E388"/>
  <c r="D388"/>
  <c r="C388"/>
  <c r="M386"/>
  <c r="Q386" s="1"/>
  <c r="K386"/>
  <c r="J386"/>
  <c r="I386"/>
  <c r="H386"/>
  <c r="G386"/>
  <c r="E386"/>
  <c r="D386"/>
  <c r="C386"/>
  <c r="J385"/>
  <c r="M385" s="1"/>
  <c r="H385"/>
  <c r="E385"/>
  <c r="D385"/>
  <c r="C385"/>
  <c r="M384"/>
  <c r="Q384" s="1"/>
  <c r="K384"/>
  <c r="J384"/>
  <c r="I384"/>
  <c r="H384"/>
  <c r="G384"/>
  <c r="E384"/>
  <c r="D384"/>
  <c r="C384"/>
  <c r="J383"/>
  <c r="M383" s="1"/>
  <c r="H383"/>
  <c r="E383"/>
  <c r="D383"/>
  <c r="C383"/>
  <c r="M382"/>
  <c r="O382" s="1"/>
  <c r="J382"/>
  <c r="I382"/>
  <c r="H382"/>
  <c r="G382"/>
  <c r="E382"/>
  <c r="D382"/>
  <c r="C382"/>
  <c r="J381"/>
  <c r="H381"/>
  <c r="E381"/>
  <c r="D381"/>
  <c r="C381"/>
  <c r="O380"/>
  <c r="M380"/>
  <c r="K380"/>
  <c r="J380"/>
  <c r="I380"/>
  <c r="H380"/>
  <c r="G380"/>
  <c r="E380"/>
  <c r="D380"/>
  <c r="C380"/>
  <c r="J379"/>
  <c r="H379" s="1"/>
  <c r="E379"/>
  <c r="D379"/>
  <c r="C379"/>
  <c r="M377"/>
  <c r="O377" s="1"/>
  <c r="J377"/>
  <c r="I377"/>
  <c r="H377"/>
  <c r="G377"/>
  <c r="E377"/>
  <c r="D377"/>
  <c r="C377"/>
  <c r="J376"/>
  <c r="H376"/>
  <c r="E376"/>
  <c r="D376"/>
  <c r="C376"/>
  <c r="O375"/>
  <c r="M375"/>
  <c r="K375"/>
  <c r="J375"/>
  <c r="I375"/>
  <c r="H375"/>
  <c r="G375"/>
  <c r="E375"/>
  <c r="D375"/>
  <c r="C375"/>
  <c r="J374"/>
  <c r="H374" s="1"/>
  <c r="E374"/>
  <c r="D374"/>
  <c r="C374"/>
  <c r="M373"/>
  <c r="O373" s="1"/>
  <c r="J373"/>
  <c r="I373"/>
  <c r="H373"/>
  <c r="G373"/>
  <c r="E373"/>
  <c r="D373"/>
  <c r="C373"/>
  <c r="J372"/>
  <c r="H372"/>
  <c r="E372"/>
  <c r="D372"/>
  <c r="C372"/>
  <c r="O371"/>
  <c r="M371"/>
  <c r="K371"/>
  <c r="J371"/>
  <c r="I371"/>
  <c r="H371"/>
  <c r="G371"/>
  <c r="E371"/>
  <c r="D371"/>
  <c r="C371"/>
  <c r="J370"/>
  <c r="H370" s="1"/>
  <c r="E370"/>
  <c r="D370"/>
  <c r="C370"/>
  <c r="M369"/>
  <c r="O369" s="1"/>
  <c r="J369"/>
  <c r="I369"/>
  <c r="H369"/>
  <c r="G369"/>
  <c r="E369"/>
  <c r="D369"/>
  <c r="C369"/>
  <c r="J367"/>
  <c r="H367"/>
  <c r="E367"/>
  <c r="D367"/>
  <c r="C367"/>
  <c r="O366"/>
  <c r="M366"/>
  <c r="K366"/>
  <c r="J366"/>
  <c r="I366"/>
  <c r="H366"/>
  <c r="G366"/>
  <c r="E366"/>
  <c r="D366"/>
  <c r="C366"/>
  <c r="M365"/>
  <c r="Q365" s="1"/>
  <c r="K365"/>
  <c r="J365"/>
  <c r="I365"/>
  <c r="H365"/>
  <c r="G365"/>
  <c r="E365"/>
  <c r="D365"/>
  <c r="C365"/>
  <c r="J364"/>
  <c r="M364" s="1"/>
  <c r="H364"/>
  <c r="E364"/>
  <c r="D364"/>
  <c r="C364"/>
  <c r="M363"/>
  <c r="Q363" s="1"/>
  <c r="K363"/>
  <c r="J363"/>
  <c r="I363"/>
  <c r="H363"/>
  <c r="G363"/>
  <c r="E363"/>
  <c r="D363"/>
  <c r="C363"/>
  <c r="J362"/>
  <c r="M362" s="1"/>
  <c r="H362"/>
  <c r="E362"/>
  <c r="D362"/>
  <c r="C362"/>
  <c r="M361"/>
  <c r="Q361" s="1"/>
  <c r="K361"/>
  <c r="J361"/>
  <c r="I361"/>
  <c r="H361"/>
  <c r="G361"/>
  <c r="E361"/>
  <c r="D361"/>
  <c r="C361"/>
  <c r="J360"/>
  <c r="M360" s="1"/>
  <c r="H360"/>
  <c r="E360"/>
  <c r="D360"/>
  <c r="C360"/>
  <c r="M358"/>
  <c r="Q358" s="1"/>
  <c r="K358"/>
  <c r="J358"/>
  <c r="I358"/>
  <c r="H358"/>
  <c r="G358"/>
  <c r="E358"/>
  <c r="D358"/>
  <c r="C358"/>
  <c r="J357"/>
  <c r="M357" s="1"/>
  <c r="H357"/>
  <c r="E357"/>
  <c r="D357"/>
  <c r="C357"/>
  <c r="M356"/>
  <c r="Q356" s="1"/>
  <c r="K356"/>
  <c r="J356"/>
  <c r="I356"/>
  <c r="H356"/>
  <c r="G356"/>
  <c r="E356"/>
  <c r="D356"/>
  <c r="C356"/>
  <c r="J355"/>
  <c r="M355" s="1"/>
  <c r="H355"/>
  <c r="E355"/>
  <c r="D355"/>
  <c r="C355"/>
  <c r="M354"/>
  <c r="Q354" s="1"/>
  <c r="K354"/>
  <c r="J354"/>
  <c r="I354"/>
  <c r="H354"/>
  <c r="G354"/>
  <c r="E354"/>
  <c r="D354"/>
  <c r="C354"/>
  <c r="J353"/>
  <c r="M353" s="1"/>
  <c r="H353"/>
  <c r="E353"/>
  <c r="D353"/>
  <c r="C353"/>
  <c r="M352"/>
  <c r="Q352" s="1"/>
  <c r="K352"/>
  <c r="J352"/>
  <c r="I352"/>
  <c r="H352"/>
  <c r="G352"/>
  <c r="E352"/>
  <c r="D352"/>
  <c r="C352"/>
  <c r="J351"/>
  <c r="M351" s="1"/>
  <c r="H351"/>
  <c r="E351"/>
  <c r="D351"/>
  <c r="C351"/>
  <c r="M349"/>
  <c r="Q349" s="1"/>
  <c r="K349"/>
  <c r="J349"/>
  <c r="I349"/>
  <c r="H349"/>
  <c r="G349"/>
  <c r="E349"/>
  <c r="D349"/>
  <c r="C349"/>
  <c r="J348"/>
  <c r="M348" s="1"/>
  <c r="H348"/>
  <c r="E348"/>
  <c r="D348"/>
  <c r="C348"/>
  <c r="M347"/>
  <c r="Q347" s="1"/>
  <c r="K347"/>
  <c r="J347"/>
  <c r="I347"/>
  <c r="H347"/>
  <c r="G347"/>
  <c r="E347"/>
  <c r="D347"/>
  <c r="C347"/>
  <c r="J346"/>
  <c r="M346" s="1"/>
  <c r="H346"/>
  <c r="E346"/>
  <c r="D346"/>
  <c r="C346"/>
  <c r="M345"/>
  <c r="Q345" s="1"/>
  <c r="K345"/>
  <c r="J345"/>
  <c r="I345"/>
  <c r="H345"/>
  <c r="G345"/>
  <c r="E345"/>
  <c r="D345"/>
  <c r="C345"/>
  <c r="J344"/>
  <c r="M344" s="1"/>
  <c r="H344"/>
  <c r="E344"/>
  <c r="D344"/>
  <c r="C344"/>
  <c r="M343"/>
  <c r="Q343" s="1"/>
  <c r="K343"/>
  <c r="J343"/>
  <c r="I343"/>
  <c r="H343"/>
  <c r="G343"/>
  <c r="E343"/>
  <c r="D343"/>
  <c r="C343"/>
  <c r="J342"/>
  <c r="H342"/>
  <c r="E342"/>
  <c r="D342"/>
  <c r="C342"/>
  <c r="M340"/>
  <c r="Q340" s="1"/>
  <c r="K340"/>
  <c r="J340"/>
  <c r="I340"/>
  <c r="H340"/>
  <c r="G340"/>
  <c r="E340"/>
  <c r="D340"/>
  <c r="C340"/>
  <c r="J339"/>
  <c r="M339" s="1"/>
  <c r="H339"/>
  <c r="E339"/>
  <c r="D339"/>
  <c r="C339"/>
  <c r="M338"/>
  <c r="Q338" s="1"/>
  <c r="K338"/>
  <c r="J338"/>
  <c r="I338"/>
  <c r="H338"/>
  <c r="G338"/>
  <c r="E338"/>
  <c r="D338"/>
  <c r="C338"/>
  <c r="J337"/>
  <c r="M337" s="1"/>
  <c r="H337"/>
  <c r="E337"/>
  <c r="D337"/>
  <c r="C337"/>
  <c r="M336"/>
  <c r="Q336" s="1"/>
  <c r="K336"/>
  <c r="J336"/>
  <c r="I336"/>
  <c r="H336"/>
  <c r="G336"/>
  <c r="E336"/>
  <c r="D336"/>
  <c r="C336"/>
  <c r="J335"/>
  <c r="M335" s="1"/>
  <c r="H335"/>
  <c r="E335"/>
  <c r="D335"/>
  <c r="C335"/>
  <c r="M334"/>
  <c r="Q334" s="1"/>
  <c r="K334"/>
  <c r="J334"/>
  <c r="I334"/>
  <c r="H334"/>
  <c r="G334"/>
  <c r="E334"/>
  <c r="D334"/>
  <c r="C334"/>
  <c r="J332"/>
  <c r="M332" s="1"/>
  <c r="H332"/>
  <c r="E332"/>
  <c r="D332"/>
  <c r="C332"/>
  <c r="M331"/>
  <c r="Q331" s="1"/>
  <c r="K331"/>
  <c r="J331"/>
  <c r="I331"/>
  <c r="H331"/>
  <c r="G331"/>
  <c r="E331"/>
  <c r="D331"/>
  <c r="C331"/>
  <c r="J330"/>
  <c r="M330" s="1"/>
  <c r="H330"/>
  <c r="E330"/>
  <c r="D330"/>
  <c r="C330"/>
  <c r="M329"/>
  <c r="Q329" s="1"/>
  <c r="K329"/>
  <c r="J329"/>
  <c r="I329"/>
  <c r="H329"/>
  <c r="G329"/>
  <c r="E329"/>
  <c r="D329"/>
  <c r="C329"/>
  <c r="J328"/>
  <c r="M328" s="1"/>
  <c r="H328"/>
  <c r="E328"/>
  <c r="D328"/>
  <c r="C328"/>
  <c r="M327"/>
  <c r="Q327" s="1"/>
  <c r="K327"/>
  <c r="J327"/>
  <c r="I327"/>
  <c r="H327"/>
  <c r="G327"/>
  <c r="E327"/>
  <c r="D327"/>
  <c r="C327"/>
  <c r="J326"/>
  <c r="M326" s="1"/>
  <c r="H326"/>
  <c r="E326"/>
  <c r="D326"/>
  <c r="C326"/>
  <c r="M324"/>
  <c r="Q324" s="1"/>
  <c r="K324"/>
  <c r="J324"/>
  <c r="I324"/>
  <c r="H324"/>
  <c r="G324"/>
  <c r="E324"/>
  <c r="D324"/>
  <c r="C324"/>
  <c r="J323"/>
  <c r="M323" s="1"/>
  <c r="H323"/>
  <c r="E323"/>
  <c r="D323"/>
  <c r="C323"/>
  <c r="M322"/>
  <c r="Q322" s="1"/>
  <c r="K322"/>
  <c r="J322"/>
  <c r="I322"/>
  <c r="H322"/>
  <c r="G322"/>
  <c r="E322"/>
  <c r="D322"/>
  <c r="C322"/>
  <c r="J321"/>
  <c r="M321" s="1"/>
  <c r="H321"/>
  <c r="E321"/>
  <c r="D321"/>
  <c r="C321"/>
  <c r="M320"/>
  <c r="Q320" s="1"/>
  <c r="K320"/>
  <c r="J320"/>
  <c r="I320"/>
  <c r="H320"/>
  <c r="G320"/>
  <c r="E320"/>
  <c r="D320"/>
  <c r="C320"/>
  <c r="J319"/>
  <c r="M319" s="1"/>
  <c r="H319"/>
  <c r="E319"/>
  <c r="D319"/>
  <c r="C319"/>
  <c r="J318"/>
  <c r="I318"/>
  <c r="H318"/>
  <c r="G318"/>
  <c r="M318" s="1"/>
  <c r="E318"/>
  <c r="D318"/>
  <c r="C318"/>
  <c r="J316"/>
  <c r="M316" s="1"/>
  <c r="H316"/>
  <c r="E316"/>
  <c r="D316"/>
  <c r="C316"/>
  <c r="M315"/>
  <c r="Q315" s="1"/>
  <c r="K315"/>
  <c r="J315"/>
  <c r="I315"/>
  <c r="H315"/>
  <c r="G315"/>
  <c r="E315"/>
  <c r="D315"/>
  <c r="C315"/>
  <c r="J314"/>
  <c r="M314" s="1"/>
  <c r="H314"/>
  <c r="E314"/>
  <c r="D314"/>
  <c r="C314"/>
  <c r="M313"/>
  <c r="Q313" s="1"/>
  <c r="K313"/>
  <c r="J313"/>
  <c r="I313"/>
  <c r="H313"/>
  <c r="G313"/>
  <c r="E313"/>
  <c r="D313"/>
  <c r="C313"/>
  <c r="J312"/>
  <c r="M312" s="1"/>
  <c r="H312"/>
  <c r="E312"/>
  <c r="D312"/>
  <c r="C312"/>
  <c r="M310"/>
  <c r="Q310" s="1"/>
  <c r="K310"/>
  <c r="J310"/>
  <c r="I310"/>
  <c r="H310"/>
  <c r="G310"/>
  <c r="E310"/>
  <c r="D310"/>
  <c r="C310"/>
  <c r="J309"/>
  <c r="M309" s="1"/>
  <c r="H309"/>
  <c r="E309"/>
  <c r="D309"/>
  <c r="C309"/>
  <c r="M308"/>
  <c r="Q308" s="1"/>
  <c r="K308"/>
  <c r="J308"/>
  <c r="I308"/>
  <c r="H308"/>
  <c r="G308"/>
  <c r="E308"/>
  <c r="D308"/>
  <c r="C308"/>
  <c r="J307"/>
  <c r="M307" s="1"/>
  <c r="H307"/>
  <c r="E307"/>
  <c r="D307"/>
  <c r="C307"/>
  <c r="M305"/>
  <c r="Q305" s="1"/>
  <c r="K305"/>
  <c r="J305"/>
  <c r="I305"/>
  <c r="H305"/>
  <c r="G305"/>
  <c r="E305"/>
  <c r="D305"/>
  <c r="C305"/>
  <c r="J304"/>
  <c r="M304" s="1"/>
  <c r="H304"/>
  <c r="E304"/>
  <c r="D304"/>
  <c r="C304"/>
  <c r="M302"/>
  <c r="Q302" s="1"/>
  <c r="K302"/>
  <c r="J302"/>
  <c r="I302"/>
  <c r="H302"/>
  <c r="G302"/>
  <c r="E302"/>
  <c r="D302"/>
  <c r="C302"/>
  <c r="Q296"/>
  <c r="P296"/>
  <c r="O296"/>
  <c r="M296"/>
  <c r="L296"/>
  <c r="K296"/>
  <c r="I296"/>
  <c r="H296"/>
  <c r="G296"/>
  <c r="E296"/>
  <c r="D296"/>
  <c r="C296"/>
  <c r="J289"/>
  <c r="I289" s="1"/>
  <c r="H289"/>
  <c r="E289"/>
  <c r="D289"/>
  <c r="C289"/>
  <c r="J287"/>
  <c r="N287" s="1"/>
  <c r="H287"/>
  <c r="E287"/>
  <c r="D287"/>
  <c r="C287"/>
  <c r="J286"/>
  <c r="N286" s="1"/>
  <c r="I286"/>
  <c r="H286"/>
  <c r="G286"/>
  <c r="E286"/>
  <c r="D286"/>
  <c r="C286"/>
  <c r="J285"/>
  <c r="N285" s="1"/>
  <c r="H285"/>
  <c r="E285"/>
  <c r="D285"/>
  <c r="C285"/>
  <c r="J283"/>
  <c r="N283" s="1"/>
  <c r="I283"/>
  <c r="H283"/>
  <c r="G283"/>
  <c r="E283"/>
  <c r="D283"/>
  <c r="C283"/>
  <c r="J282"/>
  <c r="N282" s="1"/>
  <c r="H282"/>
  <c r="E282"/>
  <c r="D282"/>
  <c r="C282"/>
  <c r="J281"/>
  <c r="N281" s="1"/>
  <c r="I281"/>
  <c r="H281"/>
  <c r="G281"/>
  <c r="E281"/>
  <c r="D281"/>
  <c r="C281"/>
  <c r="J280"/>
  <c r="N280" s="1"/>
  <c r="H280"/>
  <c r="E280"/>
  <c r="D280"/>
  <c r="C280"/>
  <c r="J278"/>
  <c r="N278" s="1"/>
  <c r="I278"/>
  <c r="H278"/>
  <c r="G278"/>
  <c r="E278"/>
  <c r="D278"/>
  <c r="C278"/>
  <c r="J277"/>
  <c r="N277" s="1"/>
  <c r="H277"/>
  <c r="E277"/>
  <c r="D277"/>
  <c r="C277"/>
  <c r="J276"/>
  <c r="N276" s="1"/>
  <c r="I276"/>
  <c r="H276"/>
  <c r="G276"/>
  <c r="E276"/>
  <c r="D276"/>
  <c r="C276"/>
  <c r="J275"/>
  <c r="N275" s="1"/>
  <c r="H275"/>
  <c r="E275"/>
  <c r="D275"/>
  <c r="C275"/>
  <c r="J274"/>
  <c r="N274" s="1"/>
  <c r="I274"/>
  <c r="H274"/>
  <c r="G274"/>
  <c r="E274"/>
  <c r="D274"/>
  <c r="C274"/>
  <c r="J272"/>
  <c r="N272" s="1"/>
  <c r="H272"/>
  <c r="E272"/>
  <c r="D272"/>
  <c r="C272"/>
  <c r="J271"/>
  <c r="N271" s="1"/>
  <c r="I271"/>
  <c r="H271"/>
  <c r="G271"/>
  <c r="E271"/>
  <c r="D271"/>
  <c r="C271"/>
  <c r="J270"/>
  <c r="N270" s="1"/>
  <c r="H270"/>
  <c r="E270"/>
  <c r="D270"/>
  <c r="C270"/>
  <c r="J269"/>
  <c r="N269" s="1"/>
  <c r="I269"/>
  <c r="H269"/>
  <c r="G269"/>
  <c r="E269"/>
  <c r="D269"/>
  <c r="C269"/>
  <c r="J268"/>
  <c r="N268" s="1"/>
  <c r="H268"/>
  <c r="E268"/>
  <c r="D268"/>
  <c r="C268"/>
  <c r="J267"/>
  <c r="N267" s="1"/>
  <c r="I267"/>
  <c r="H267"/>
  <c r="G267"/>
  <c r="E267"/>
  <c r="D267"/>
  <c r="C267"/>
  <c r="J266"/>
  <c r="N266" s="1"/>
  <c r="H266"/>
  <c r="E266"/>
  <c r="D266"/>
  <c r="C266"/>
  <c r="J264"/>
  <c r="N264" s="1"/>
  <c r="I264"/>
  <c r="H264"/>
  <c r="G264"/>
  <c r="E264"/>
  <c r="D264"/>
  <c r="C264"/>
  <c r="J263"/>
  <c r="N263" s="1"/>
  <c r="H263"/>
  <c r="E263"/>
  <c r="D263"/>
  <c r="C263"/>
  <c r="J262"/>
  <c r="N262" s="1"/>
  <c r="I262"/>
  <c r="H262"/>
  <c r="G262"/>
  <c r="E262"/>
  <c r="D262"/>
  <c r="C262"/>
  <c r="J261"/>
  <c r="N261" s="1"/>
  <c r="H261"/>
  <c r="E261"/>
  <c r="D261"/>
  <c r="C261"/>
  <c r="J260"/>
  <c r="N260" s="1"/>
  <c r="I260"/>
  <c r="H260"/>
  <c r="G260"/>
  <c r="E260"/>
  <c r="D260"/>
  <c r="C260"/>
  <c r="J259"/>
  <c r="N259" s="1"/>
  <c r="H259"/>
  <c r="E259"/>
  <c r="D259"/>
  <c r="C259"/>
  <c r="J258"/>
  <c r="N258" s="1"/>
  <c r="I258"/>
  <c r="H258"/>
  <c r="G258"/>
  <c r="E258"/>
  <c r="D258"/>
  <c r="C258"/>
  <c r="J257"/>
  <c r="N257" s="1"/>
  <c r="H257"/>
  <c r="E257"/>
  <c r="D257"/>
  <c r="C257"/>
  <c r="J255"/>
  <c r="N255" s="1"/>
  <c r="I255"/>
  <c r="H255"/>
  <c r="G255"/>
  <c r="E255"/>
  <c r="D255"/>
  <c r="C255"/>
  <c r="J254"/>
  <c r="N254" s="1"/>
  <c r="H254"/>
  <c r="E254"/>
  <c r="D254"/>
  <c r="C254"/>
  <c r="J253"/>
  <c r="N253" s="1"/>
  <c r="I253"/>
  <c r="H253"/>
  <c r="G253"/>
  <c r="E253"/>
  <c r="D253"/>
  <c r="C253"/>
  <c r="J252"/>
  <c r="N252" s="1"/>
  <c r="H252"/>
  <c r="E252"/>
  <c r="D252"/>
  <c r="C252"/>
  <c r="J251"/>
  <c r="N251" s="1"/>
  <c r="I251"/>
  <c r="H251"/>
  <c r="G251"/>
  <c r="E251"/>
  <c r="D251"/>
  <c r="C251"/>
  <c r="J250"/>
  <c r="N250" s="1"/>
  <c r="H250"/>
  <c r="E250"/>
  <c r="D250"/>
  <c r="C250"/>
  <c r="J249"/>
  <c r="N249" s="1"/>
  <c r="I249"/>
  <c r="H249"/>
  <c r="G249"/>
  <c r="E249"/>
  <c r="D249"/>
  <c r="C249"/>
  <c r="J248"/>
  <c r="N248" s="1"/>
  <c r="H248"/>
  <c r="E248"/>
  <c r="D248"/>
  <c r="C248"/>
  <c r="J247"/>
  <c r="N247" s="1"/>
  <c r="I247"/>
  <c r="H247"/>
  <c r="G247"/>
  <c r="E247"/>
  <c r="D247"/>
  <c r="C247"/>
  <c r="J245"/>
  <c r="N245" s="1"/>
  <c r="H245"/>
  <c r="E245"/>
  <c r="D245"/>
  <c r="C245"/>
  <c r="J244"/>
  <c r="N244" s="1"/>
  <c r="I244"/>
  <c r="H244"/>
  <c r="G244"/>
  <c r="E244"/>
  <c r="D244"/>
  <c r="C244"/>
  <c r="J243"/>
  <c r="N243" s="1"/>
  <c r="H243"/>
  <c r="E243"/>
  <c r="D243"/>
  <c r="C243"/>
  <c r="J242"/>
  <c r="N242" s="1"/>
  <c r="I242"/>
  <c r="H242"/>
  <c r="G242"/>
  <c r="E242"/>
  <c r="D242"/>
  <c r="C242"/>
  <c r="J241"/>
  <c r="H241" s="1"/>
  <c r="E241"/>
  <c r="D241"/>
  <c r="C241"/>
  <c r="O240"/>
  <c r="K240"/>
  <c r="J240"/>
  <c r="N240" s="1"/>
  <c r="I240"/>
  <c r="H240"/>
  <c r="G240"/>
  <c r="E240"/>
  <c r="D240"/>
  <c r="C240"/>
  <c r="J239"/>
  <c r="H239" s="1"/>
  <c r="E239"/>
  <c r="D239"/>
  <c r="C239"/>
  <c r="O238"/>
  <c r="K238"/>
  <c r="J238"/>
  <c r="N238" s="1"/>
  <c r="I238"/>
  <c r="H238"/>
  <c r="G238"/>
  <c r="E238"/>
  <c r="D238"/>
  <c r="C238"/>
  <c r="J237"/>
  <c r="H237" s="1"/>
  <c r="E237"/>
  <c r="D237"/>
  <c r="C237"/>
  <c r="O236"/>
  <c r="K236"/>
  <c r="J236"/>
  <c r="N236" s="1"/>
  <c r="I236"/>
  <c r="H236"/>
  <c r="G236"/>
  <c r="E236"/>
  <c r="D236"/>
  <c r="C236"/>
  <c r="J235"/>
  <c r="H235" s="1"/>
  <c r="E235"/>
  <c r="D235"/>
  <c r="C235"/>
  <c r="O233"/>
  <c r="K233"/>
  <c r="J233"/>
  <c r="N233" s="1"/>
  <c r="I233"/>
  <c r="H233"/>
  <c r="G233"/>
  <c r="E233"/>
  <c r="D233"/>
  <c r="C233"/>
  <c r="J232"/>
  <c r="H232" s="1"/>
  <c r="E232"/>
  <c r="D232"/>
  <c r="C232"/>
  <c r="O231"/>
  <c r="K231"/>
  <c r="J231"/>
  <c r="N231" s="1"/>
  <c r="I231"/>
  <c r="H231"/>
  <c r="G231"/>
  <c r="E231"/>
  <c r="D231"/>
  <c r="C231"/>
  <c r="J230"/>
  <c r="N230" s="1"/>
  <c r="H230"/>
  <c r="E230"/>
  <c r="D230"/>
  <c r="C230"/>
  <c r="J229"/>
  <c r="N229" s="1"/>
  <c r="I229"/>
  <c r="H229"/>
  <c r="G229"/>
  <c r="E229"/>
  <c r="D229"/>
  <c r="C229"/>
  <c r="J228"/>
  <c r="N228" s="1"/>
  <c r="H228"/>
  <c r="E228"/>
  <c r="D228"/>
  <c r="C228"/>
  <c r="J227"/>
  <c r="N227" s="1"/>
  <c r="I227"/>
  <c r="H227"/>
  <c r="G227"/>
  <c r="E227"/>
  <c r="D227"/>
  <c r="C227"/>
  <c r="J226"/>
  <c r="N226" s="1"/>
  <c r="H226"/>
  <c r="E226"/>
  <c r="D226"/>
  <c r="C226"/>
  <c r="J225"/>
  <c r="N225" s="1"/>
  <c r="I225"/>
  <c r="H225"/>
  <c r="G225"/>
  <c r="E225"/>
  <c r="D225"/>
  <c r="C225"/>
  <c r="J224"/>
  <c r="N224" s="1"/>
  <c r="H224"/>
  <c r="E224"/>
  <c r="D224"/>
  <c r="C224"/>
  <c r="J223"/>
  <c r="N223" s="1"/>
  <c r="I223"/>
  <c r="H223"/>
  <c r="G223"/>
  <c r="E223"/>
  <c r="D223"/>
  <c r="C223"/>
  <c r="J221"/>
  <c r="N221" s="1"/>
  <c r="H221"/>
  <c r="E221"/>
  <c r="D221"/>
  <c r="C221"/>
  <c r="J220"/>
  <c r="N220" s="1"/>
  <c r="I220"/>
  <c r="H220"/>
  <c r="G220"/>
  <c r="E220"/>
  <c r="D220"/>
  <c r="C220"/>
  <c r="J219"/>
  <c r="N219" s="1"/>
  <c r="H219"/>
  <c r="E219"/>
  <c r="D219"/>
  <c r="C219"/>
  <c r="J218"/>
  <c r="N218" s="1"/>
  <c r="I218"/>
  <c r="H218"/>
  <c r="G218"/>
  <c r="E218"/>
  <c r="D218"/>
  <c r="C218"/>
  <c r="J217"/>
  <c r="N217" s="1"/>
  <c r="H217"/>
  <c r="E217"/>
  <c r="D217"/>
  <c r="C217"/>
  <c r="J216"/>
  <c r="N216" s="1"/>
  <c r="I216"/>
  <c r="H216"/>
  <c r="G216"/>
  <c r="E216"/>
  <c r="D216"/>
  <c r="C216"/>
  <c r="J215"/>
  <c r="N215" s="1"/>
  <c r="H215"/>
  <c r="E215"/>
  <c r="D215"/>
  <c r="C215"/>
  <c r="J214"/>
  <c r="N214" s="1"/>
  <c r="I214"/>
  <c r="H214"/>
  <c r="G214"/>
  <c r="E214"/>
  <c r="D214"/>
  <c r="C214"/>
  <c r="J213"/>
  <c r="N213" s="1"/>
  <c r="H213"/>
  <c r="E213"/>
  <c r="D213"/>
  <c r="C213"/>
  <c r="J212"/>
  <c r="N212" s="1"/>
  <c r="I212"/>
  <c r="H212"/>
  <c r="G212"/>
  <c r="E212"/>
  <c r="D212"/>
  <c r="C212"/>
  <c r="J211"/>
  <c r="N211" s="1"/>
  <c r="H211"/>
  <c r="E211"/>
  <c r="D211"/>
  <c r="C211"/>
  <c r="J209"/>
  <c r="N209" s="1"/>
  <c r="I209"/>
  <c r="H209"/>
  <c r="G209"/>
  <c r="E209"/>
  <c r="D209"/>
  <c r="C209"/>
  <c r="J208"/>
  <c r="N208" s="1"/>
  <c r="H208"/>
  <c r="E208"/>
  <c r="D208"/>
  <c r="C208"/>
  <c r="J207"/>
  <c r="N207" s="1"/>
  <c r="I207"/>
  <c r="H207"/>
  <c r="G207"/>
  <c r="E207"/>
  <c r="D207"/>
  <c r="C207"/>
  <c r="J206"/>
  <c r="N206" s="1"/>
  <c r="H206"/>
  <c r="E206"/>
  <c r="D206"/>
  <c r="C206"/>
  <c r="J205"/>
  <c r="N205" s="1"/>
  <c r="I205"/>
  <c r="H205"/>
  <c r="G205"/>
  <c r="E205"/>
  <c r="D205"/>
  <c r="C205"/>
  <c r="J204"/>
  <c r="N204" s="1"/>
  <c r="H204"/>
  <c r="E204"/>
  <c r="D204"/>
  <c r="C204"/>
  <c r="J203"/>
  <c r="N203" s="1"/>
  <c r="I203"/>
  <c r="H203"/>
  <c r="G203"/>
  <c r="E203"/>
  <c r="D203"/>
  <c r="C203"/>
  <c r="J202"/>
  <c r="N202" s="1"/>
  <c r="H202"/>
  <c r="E202"/>
  <c r="D202"/>
  <c r="C202"/>
  <c r="J201"/>
  <c r="N201" s="1"/>
  <c r="I201"/>
  <c r="H201"/>
  <c r="G201"/>
  <c r="E201"/>
  <c r="D201"/>
  <c r="C201"/>
  <c r="J200"/>
  <c r="N200" s="1"/>
  <c r="H200"/>
  <c r="E200"/>
  <c r="D200"/>
  <c r="C200"/>
  <c r="J199"/>
  <c r="N199" s="1"/>
  <c r="I199"/>
  <c r="H199"/>
  <c r="G199"/>
  <c r="E199"/>
  <c r="D199"/>
  <c r="C199"/>
  <c r="J197"/>
  <c r="N197" s="1"/>
  <c r="H197"/>
  <c r="E197"/>
  <c r="D197"/>
  <c r="C197"/>
  <c r="J196"/>
  <c r="N196" s="1"/>
  <c r="I196"/>
  <c r="H196"/>
  <c r="G196"/>
  <c r="E196"/>
  <c r="D196"/>
  <c r="C196"/>
  <c r="J195"/>
  <c r="N195" s="1"/>
  <c r="H195"/>
  <c r="E195"/>
  <c r="D195"/>
  <c r="C195"/>
  <c r="J194"/>
  <c r="N194" s="1"/>
  <c r="O194" s="1"/>
  <c r="I194"/>
  <c r="H194"/>
  <c r="G194"/>
  <c r="E194"/>
  <c r="D194"/>
  <c r="C194"/>
  <c r="J193"/>
  <c r="H193"/>
  <c r="E193"/>
  <c r="D193"/>
  <c r="C193"/>
  <c r="J192"/>
  <c r="N192" s="1"/>
  <c r="O192" s="1"/>
  <c r="I192"/>
  <c r="H192"/>
  <c r="G192"/>
  <c r="E192"/>
  <c r="D192"/>
  <c r="C192"/>
  <c r="J191"/>
  <c r="H191"/>
  <c r="E191"/>
  <c r="D191"/>
  <c r="C191"/>
  <c r="J190"/>
  <c r="N190" s="1"/>
  <c r="O190" s="1"/>
  <c r="I190"/>
  <c r="H190"/>
  <c r="G190"/>
  <c r="E190"/>
  <c r="D190"/>
  <c r="C190"/>
  <c r="J189"/>
  <c r="H189"/>
  <c r="E189"/>
  <c r="D189"/>
  <c r="C189"/>
  <c r="J188"/>
  <c r="N188" s="1"/>
  <c r="O188" s="1"/>
  <c r="I188"/>
  <c r="H188"/>
  <c r="G188"/>
  <c r="E188"/>
  <c r="D188"/>
  <c r="C188"/>
  <c r="J187"/>
  <c r="H187"/>
  <c r="E187"/>
  <c r="D187"/>
  <c r="C187"/>
  <c r="J185"/>
  <c r="N185" s="1"/>
  <c r="O185" s="1"/>
  <c r="I185"/>
  <c r="H185"/>
  <c r="G185"/>
  <c r="E185"/>
  <c r="D185"/>
  <c r="C185"/>
  <c r="J184"/>
  <c r="H184"/>
  <c r="E184"/>
  <c r="D184"/>
  <c r="C184"/>
  <c r="J183"/>
  <c r="N183" s="1"/>
  <c r="O183" s="1"/>
  <c r="I183"/>
  <c r="H183"/>
  <c r="G183"/>
  <c r="E183"/>
  <c r="D183"/>
  <c r="C183"/>
  <c r="J182"/>
  <c r="H182"/>
  <c r="E182"/>
  <c r="D182"/>
  <c r="C182"/>
  <c r="J181"/>
  <c r="N181" s="1"/>
  <c r="O181" s="1"/>
  <c r="I181"/>
  <c r="H181"/>
  <c r="G181"/>
  <c r="E181"/>
  <c r="D181"/>
  <c r="C181"/>
  <c r="J180"/>
  <c r="H180"/>
  <c r="E180"/>
  <c r="D180"/>
  <c r="C180"/>
  <c r="J179"/>
  <c r="N179" s="1"/>
  <c r="O179" s="1"/>
  <c r="I179"/>
  <c r="H179"/>
  <c r="G179"/>
  <c r="E179"/>
  <c r="D179"/>
  <c r="C179"/>
  <c r="J178"/>
  <c r="H178"/>
  <c r="E178"/>
  <c r="D178"/>
  <c r="C178"/>
  <c r="J177"/>
  <c r="N177" s="1"/>
  <c r="O177" s="1"/>
  <c r="I177"/>
  <c r="H177"/>
  <c r="G177"/>
  <c r="E177"/>
  <c r="D177"/>
  <c r="C177"/>
  <c r="J176"/>
  <c r="H176"/>
  <c r="E176"/>
  <c r="D176"/>
  <c r="C176"/>
  <c r="J174"/>
  <c r="N174" s="1"/>
  <c r="O174" s="1"/>
  <c r="I174"/>
  <c r="H174"/>
  <c r="G174"/>
  <c r="E174"/>
  <c r="D174"/>
  <c r="C174"/>
  <c r="J173"/>
  <c r="H173"/>
  <c r="E173"/>
  <c r="D173"/>
  <c r="C173"/>
  <c r="J172"/>
  <c r="N172" s="1"/>
  <c r="O172" s="1"/>
  <c r="I172"/>
  <c r="H172"/>
  <c r="G172"/>
  <c r="E172"/>
  <c r="D172"/>
  <c r="C172"/>
  <c r="J171"/>
  <c r="H171"/>
  <c r="E171"/>
  <c r="D171"/>
  <c r="C171"/>
  <c r="J170"/>
  <c r="N170" s="1"/>
  <c r="O170" s="1"/>
  <c r="I170"/>
  <c r="H170"/>
  <c r="G170"/>
  <c r="E170"/>
  <c r="D170"/>
  <c r="C170"/>
  <c r="J169"/>
  <c r="H169"/>
  <c r="E169"/>
  <c r="D169"/>
  <c r="C169"/>
  <c r="J168"/>
  <c r="N168" s="1"/>
  <c r="O168" s="1"/>
  <c r="I168"/>
  <c r="H168"/>
  <c r="G168"/>
  <c r="E168"/>
  <c r="D168"/>
  <c r="C168"/>
  <c r="J167"/>
  <c r="H167"/>
  <c r="E167"/>
  <c r="D167"/>
  <c r="C167"/>
  <c r="J166"/>
  <c r="N166" s="1"/>
  <c r="O166" s="1"/>
  <c r="I166"/>
  <c r="H166"/>
  <c r="G166"/>
  <c r="E166"/>
  <c r="D166"/>
  <c r="C166"/>
  <c r="J165"/>
  <c r="H165"/>
  <c r="E165"/>
  <c r="D165"/>
  <c r="C165"/>
  <c r="J163"/>
  <c r="N163" s="1"/>
  <c r="O163" s="1"/>
  <c r="I163"/>
  <c r="H163"/>
  <c r="G163"/>
  <c r="E163"/>
  <c r="D163"/>
  <c r="C163"/>
  <c r="J162"/>
  <c r="H162"/>
  <c r="E162"/>
  <c r="D162"/>
  <c r="C162"/>
  <c r="J161"/>
  <c r="N161" s="1"/>
  <c r="O161" s="1"/>
  <c r="I161"/>
  <c r="H161"/>
  <c r="G161"/>
  <c r="E161"/>
  <c r="D161"/>
  <c r="C161"/>
  <c r="J160"/>
  <c r="H160"/>
  <c r="E160"/>
  <c r="D160"/>
  <c r="C160"/>
  <c r="J159"/>
  <c r="N159" s="1"/>
  <c r="O159" s="1"/>
  <c r="I159"/>
  <c r="H159"/>
  <c r="G159"/>
  <c r="E159"/>
  <c r="D159"/>
  <c r="C159"/>
  <c r="J158"/>
  <c r="H158"/>
  <c r="E158"/>
  <c r="D158"/>
  <c r="C158"/>
  <c r="J157"/>
  <c r="N157" s="1"/>
  <c r="O157" s="1"/>
  <c r="I157"/>
  <c r="H157"/>
  <c r="G157"/>
  <c r="E157"/>
  <c r="D157"/>
  <c r="C157"/>
  <c r="J156"/>
  <c r="H156"/>
  <c r="E156"/>
  <c r="D156"/>
  <c r="C156"/>
  <c r="J155"/>
  <c r="N155" s="1"/>
  <c r="O155" s="1"/>
  <c r="I155"/>
  <c r="H155"/>
  <c r="G155"/>
  <c r="E155"/>
  <c r="D155"/>
  <c r="C155"/>
  <c r="J154"/>
  <c r="H154"/>
  <c r="E154"/>
  <c r="D154"/>
  <c r="C154"/>
  <c r="J152"/>
  <c r="N152" s="1"/>
  <c r="O152" s="1"/>
  <c r="I152"/>
  <c r="H152"/>
  <c r="G152"/>
  <c r="E152"/>
  <c r="D152"/>
  <c r="C152"/>
  <c r="J151"/>
  <c r="H151"/>
  <c r="E151"/>
  <c r="D151"/>
  <c r="C151"/>
  <c r="J150"/>
  <c r="N150" s="1"/>
  <c r="O150" s="1"/>
  <c r="I150"/>
  <c r="H150"/>
  <c r="G150"/>
  <c r="E150"/>
  <c r="D150"/>
  <c r="C150"/>
  <c r="J149"/>
  <c r="H149"/>
  <c r="E149"/>
  <c r="D149"/>
  <c r="C149"/>
  <c r="J148"/>
  <c r="N148" s="1"/>
  <c r="O148" s="1"/>
  <c r="I148"/>
  <c r="H148"/>
  <c r="G148"/>
  <c r="E148"/>
  <c r="D148"/>
  <c r="C148"/>
  <c r="J147"/>
  <c r="H147"/>
  <c r="E147"/>
  <c r="D147"/>
  <c r="C147"/>
  <c r="J146"/>
  <c r="N146" s="1"/>
  <c r="O146" s="1"/>
  <c r="I146"/>
  <c r="H146"/>
  <c r="G146"/>
  <c r="E146"/>
  <c r="D146"/>
  <c r="C146"/>
  <c r="J145"/>
  <c r="H145"/>
  <c r="E145"/>
  <c r="D145"/>
  <c r="C145"/>
  <c r="J144"/>
  <c r="N144" s="1"/>
  <c r="O144" s="1"/>
  <c r="I144"/>
  <c r="H144"/>
  <c r="G144"/>
  <c r="E144"/>
  <c r="D144"/>
  <c r="C144"/>
  <c r="J142"/>
  <c r="H142"/>
  <c r="E142"/>
  <c r="D142"/>
  <c r="C142"/>
  <c r="J141"/>
  <c r="N141" s="1"/>
  <c r="O141" s="1"/>
  <c r="I141"/>
  <c r="H141"/>
  <c r="G141"/>
  <c r="E141"/>
  <c r="D141"/>
  <c r="C141"/>
  <c r="J140"/>
  <c r="H140"/>
  <c r="E140"/>
  <c r="D140"/>
  <c r="C140"/>
  <c r="J139"/>
  <c r="N139" s="1"/>
  <c r="O139" s="1"/>
  <c r="I139"/>
  <c r="H139"/>
  <c r="G139"/>
  <c r="E139"/>
  <c r="D139"/>
  <c r="C139"/>
  <c r="J138"/>
  <c r="H138"/>
  <c r="E138"/>
  <c r="D138"/>
  <c r="C138"/>
  <c r="J137"/>
  <c r="N137" s="1"/>
  <c r="O137" s="1"/>
  <c r="I137"/>
  <c r="H137"/>
  <c r="G137"/>
  <c r="E137"/>
  <c r="D137"/>
  <c r="C137"/>
  <c r="J136"/>
  <c r="H136"/>
  <c r="E136"/>
  <c r="D136"/>
  <c r="C136"/>
  <c r="J135"/>
  <c r="N135" s="1"/>
  <c r="O135" s="1"/>
  <c r="I135"/>
  <c r="H135"/>
  <c r="G135"/>
  <c r="E135"/>
  <c r="D135"/>
  <c r="C135"/>
  <c r="J134"/>
  <c r="H134"/>
  <c r="E134"/>
  <c r="D134"/>
  <c r="C134"/>
  <c r="J133"/>
  <c r="N133" s="1"/>
  <c r="O133" s="1"/>
  <c r="I133"/>
  <c r="H133"/>
  <c r="G133"/>
  <c r="E133"/>
  <c r="D133"/>
  <c r="C133"/>
  <c r="J131"/>
  <c r="H131"/>
  <c r="E131"/>
  <c r="D131"/>
  <c r="C131"/>
  <c r="J130"/>
  <c r="N130" s="1"/>
  <c r="O130" s="1"/>
  <c r="I130"/>
  <c r="H130"/>
  <c r="G130"/>
  <c r="E130"/>
  <c r="D130"/>
  <c r="C130"/>
  <c r="J129"/>
  <c r="H129"/>
  <c r="E129"/>
  <c r="D129"/>
  <c r="C129"/>
  <c r="J128"/>
  <c r="N128" s="1"/>
  <c r="O128" s="1"/>
  <c r="I128"/>
  <c r="H128"/>
  <c r="G128"/>
  <c r="E128"/>
  <c r="D128"/>
  <c r="C128"/>
  <c r="J127"/>
  <c r="H127"/>
  <c r="E127"/>
  <c r="D127"/>
  <c r="C127"/>
  <c r="J126"/>
  <c r="N126" s="1"/>
  <c r="O126" s="1"/>
  <c r="I126"/>
  <c r="H126"/>
  <c r="G126"/>
  <c r="E126"/>
  <c r="D126"/>
  <c r="C126"/>
  <c r="J125"/>
  <c r="H125"/>
  <c r="E125"/>
  <c r="D125"/>
  <c r="C125"/>
  <c r="J124"/>
  <c r="N124" s="1"/>
  <c r="H124"/>
  <c r="E124"/>
  <c r="D124"/>
  <c r="C124"/>
  <c r="J123"/>
  <c r="N123" s="1"/>
  <c r="I123"/>
  <c r="H123"/>
  <c r="G123"/>
  <c r="E123"/>
  <c r="D123"/>
  <c r="C123"/>
  <c r="J121"/>
  <c r="N121" s="1"/>
  <c r="H121"/>
  <c r="E121"/>
  <c r="D121"/>
  <c r="C121"/>
  <c r="J120"/>
  <c r="N120" s="1"/>
  <c r="I120"/>
  <c r="H120"/>
  <c r="G120"/>
  <c r="E120"/>
  <c r="D120"/>
  <c r="C120"/>
  <c r="J119"/>
  <c r="N119" s="1"/>
  <c r="H119"/>
  <c r="E119"/>
  <c r="D119"/>
  <c r="C119"/>
  <c r="J118"/>
  <c r="N118" s="1"/>
  <c r="I118"/>
  <c r="H118"/>
  <c r="G118"/>
  <c r="E118"/>
  <c r="D118"/>
  <c r="C118"/>
  <c r="J117"/>
  <c r="N117" s="1"/>
  <c r="H117"/>
  <c r="E117"/>
  <c r="D117"/>
  <c r="C117"/>
  <c r="J116"/>
  <c r="N116" s="1"/>
  <c r="I116"/>
  <c r="H116"/>
  <c r="G116"/>
  <c r="E116"/>
  <c r="D116"/>
  <c r="C116"/>
  <c r="J115"/>
  <c r="N115" s="1"/>
  <c r="H115"/>
  <c r="E115"/>
  <c r="D115"/>
  <c r="C115"/>
  <c r="J114"/>
  <c r="N114" s="1"/>
  <c r="I114"/>
  <c r="H114"/>
  <c r="G114"/>
  <c r="E114"/>
  <c r="D114"/>
  <c r="C114"/>
  <c r="J113"/>
  <c r="N113" s="1"/>
  <c r="H113"/>
  <c r="E113"/>
  <c r="D113"/>
  <c r="C113"/>
  <c r="J111"/>
  <c r="N111" s="1"/>
  <c r="I111"/>
  <c r="H111"/>
  <c r="G111"/>
  <c r="E111"/>
  <c r="D111"/>
  <c r="C111"/>
  <c r="J110"/>
  <c r="N110" s="1"/>
  <c r="H110"/>
  <c r="E110"/>
  <c r="D110"/>
  <c r="C110"/>
  <c r="J109"/>
  <c r="N109" s="1"/>
  <c r="I109"/>
  <c r="H109"/>
  <c r="G109"/>
  <c r="E109"/>
  <c r="D109"/>
  <c r="C109"/>
  <c r="J108"/>
  <c r="N108" s="1"/>
  <c r="H108"/>
  <c r="E108"/>
  <c r="D108"/>
  <c r="C108"/>
  <c r="J107"/>
  <c r="N107" s="1"/>
  <c r="I107"/>
  <c r="H107"/>
  <c r="G107"/>
  <c r="E107"/>
  <c r="D107"/>
  <c r="C107"/>
  <c r="J106"/>
  <c r="N106" s="1"/>
  <c r="H106"/>
  <c r="E106"/>
  <c r="D106"/>
  <c r="C106"/>
  <c r="J105"/>
  <c r="N105" s="1"/>
  <c r="I105"/>
  <c r="H105"/>
  <c r="G105"/>
  <c r="E105"/>
  <c r="D105"/>
  <c r="C105"/>
  <c r="J104"/>
  <c r="N104" s="1"/>
  <c r="H104"/>
  <c r="E104"/>
  <c r="D104"/>
  <c r="C104"/>
  <c r="J103"/>
  <c r="N103" s="1"/>
  <c r="I103"/>
  <c r="H103"/>
  <c r="G103"/>
  <c r="E103"/>
  <c r="D103"/>
  <c r="C103"/>
  <c r="J101"/>
  <c r="N101" s="1"/>
  <c r="H101"/>
  <c r="E101"/>
  <c r="D101"/>
  <c r="C101"/>
  <c r="J100"/>
  <c r="N100" s="1"/>
  <c r="I100"/>
  <c r="H100"/>
  <c r="G100"/>
  <c r="E100"/>
  <c r="D100"/>
  <c r="C100"/>
  <c r="J99"/>
  <c r="N99" s="1"/>
  <c r="H99"/>
  <c r="E99"/>
  <c r="D99"/>
  <c r="C99"/>
  <c r="J98"/>
  <c r="N98" s="1"/>
  <c r="I98"/>
  <c r="H98"/>
  <c r="G98"/>
  <c r="E98"/>
  <c r="D98"/>
  <c r="C98"/>
  <c r="J97"/>
  <c r="N97" s="1"/>
  <c r="H97"/>
  <c r="E97"/>
  <c r="D97"/>
  <c r="C97"/>
  <c r="J96"/>
  <c r="N96" s="1"/>
  <c r="I96"/>
  <c r="H96"/>
  <c r="G96"/>
  <c r="E96"/>
  <c r="D96"/>
  <c r="C96"/>
  <c r="J95"/>
  <c r="N95" s="1"/>
  <c r="H95"/>
  <c r="E95"/>
  <c r="D95"/>
  <c r="C95"/>
  <c r="J94"/>
  <c r="N94" s="1"/>
  <c r="I94"/>
  <c r="H94"/>
  <c r="G94"/>
  <c r="E94"/>
  <c r="D94"/>
  <c r="C94"/>
  <c r="J92"/>
  <c r="N92" s="1"/>
  <c r="H92"/>
  <c r="E92"/>
  <c r="D92"/>
  <c r="C92"/>
  <c r="J91"/>
  <c r="N91" s="1"/>
  <c r="I91"/>
  <c r="H91"/>
  <c r="G91"/>
  <c r="E91"/>
  <c r="D91"/>
  <c r="C91"/>
  <c r="J90"/>
  <c r="N90" s="1"/>
  <c r="H90"/>
  <c r="E90"/>
  <c r="D90"/>
  <c r="C90"/>
  <c r="J89"/>
  <c r="N89" s="1"/>
  <c r="I89"/>
  <c r="H89"/>
  <c r="G89"/>
  <c r="E89"/>
  <c r="D89"/>
  <c r="C89"/>
  <c r="J88"/>
  <c r="H88"/>
  <c r="E88"/>
  <c r="D88"/>
  <c r="C88"/>
  <c r="J87"/>
  <c r="N87" s="1"/>
  <c r="O87" s="1"/>
  <c r="I87"/>
  <c r="H87"/>
  <c r="G87"/>
  <c r="E87"/>
  <c r="D87"/>
  <c r="C87"/>
  <c r="J86"/>
  <c r="H86"/>
  <c r="E86"/>
  <c r="D86"/>
  <c r="C86"/>
  <c r="J85"/>
  <c r="N85" s="1"/>
  <c r="O85" s="1"/>
  <c r="I85"/>
  <c r="H85"/>
  <c r="G85"/>
  <c r="E85"/>
  <c r="D85"/>
  <c r="C85"/>
  <c r="J83"/>
  <c r="H83"/>
  <c r="E83"/>
  <c r="D83"/>
  <c r="C83"/>
  <c r="J82"/>
  <c r="N82" s="1"/>
  <c r="O82" s="1"/>
  <c r="I82"/>
  <c r="H82"/>
  <c r="G82"/>
  <c r="E82"/>
  <c r="D82"/>
  <c r="C82"/>
  <c r="J81"/>
  <c r="H81"/>
  <c r="E81"/>
  <c r="D81"/>
  <c r="C81"/>
  <c r="J80"/>
  <c r="N80" s="1"/>
  <c r="O80" s="1"/>
  <c r="I80"/>
  <c r="H80"/>
  <c r="G80"/>
  <c r="E80"/>
  <c r="D80"/>
  <c r="C80"/>
  <c r="J79"/>
  <c r="N79" s="1"/>
  <c r="H79"/>
  <c r="E79"/>
  <c r="D79"/>
  <c r="C79"/>
  <c r="J78"/>
  <c r="N78" s="1"/>
  <c r="I78"/>
  <c r="H78"/>
  <c r="G78"/>
  <c r="E78"/>
  <c r="D78"/>
  <c r="C78"/>
  <c r="J77"/>
  <c r="N77" s="1"/>
  <c r="H77"/>
  <c r="E77"/>
  <c r="D77"/>
  <c r="C77"/>
  <c r="J76"/>
  <c r="N76" s="1"/>
  <c r="I76"/>
  <c r="H76"/>
  <c r="G76"/>
  <c r="E76"/>
  <c r="D76"/>
  <c r="C76"/>
  <c r="J74"/>
  <c r="N74" s="1"/>
  <c r="H74"/>
  <c r="E74"/>
  <c r="D74"/>
  <c r="C74"/>
  <c r="J73"/>
  <c r="N73" s="1"/>
  <c r="I73"/>
  <c r="H73"/>
  <c r="G73"/>
  <c r="E73"/>
  <c r="D73"/>
  <c r="C73"/>
  <c r="J72"/>
  <c r="N72" s="1"/>
  <c r="H72"/>
  <c r="E72"/>
  <c r="D72"/>
  <c r="C72"/>
  <c r="J71"/>
  <c r="N71" s="1"/>
  <c r="I71"/>
  <c r="H71"/>
  <c r="G71"/>
  <c r="E71"/>
  <c r="D71"/>
  <c r="C71"/>
  <c r="J70"/>
  <c r="N70" s="1"/>
  <c r="H70"/>
  <c r="E70"/>
  <c r="D70"/>
  <c r="C70"/>
  <c r="J69"/>
  <c r="N69" s="1"/>
  <c r="I69"/>
  <c r="H69"/>
  <c r="G69"/>
  <c r="E69"/>
  <c r="D69"/>
  <c r="C69"/>
  <c r="J68"/>
  <c r="N68" s="1"/>
  <c r="H68"/>
  <c r="E68"/>
  <c r="D68"/>
  <c r="C68"/>
  <c r="J67"/>
  <c r="N67" s="1"/>
  <c r="I67"/>
  <c r="H67"/>
  <c r="G67"/>
  <c r="E67"/>
  <c r="D67"/>
  <c r="C67"/>
  <c r="J65"/>
  <c r="N65" s="1"/>
  <c r="H65"/>
  <c r="E65"/>
  <c r="D65"/>
  <c r="C65"/>
  <c r="J64"/>
  <c r="N64" s="1"/>
  <c r="I64"/>
  <c r="H64"/>
  <c r="G64"/>
  <c r="E64"/>
  <c r="D64"/>
  <c r="C64"/>
  <c r="J63"/>
  <c r="N63" s="1"/>
  <c r="H63"/>
  <c r="E63"/>
  <c r="D63"/>
  <c r="C63"/>
  <c r="J62"/>
  <c r="N62" s="1"/>
  <c r="I62"/>
  <c r="H62"/>
  <c r="G62"/>
  <c r="E62"/>
  <c r="D62"/>
  <c r="C62"/>
  <c r="J61"/>
  <c r="N61" s="1"/>
  <c r="H61"/>
  <c r="E61"/>
  <c r="D61"/>
  <c r="C61"/>
  <c r="J60"/>
  <c r="N60" s="1"/>
  <c r="I60"/>
  <c r="H60"/>
  <c r="G60"/>
  <c r="E60"/>
  <c r="D60"/>
  <c r="C60"/>
  <c r="J59"/>
  <c r="N59" s="1"/>
  <c r="H59"/>
  <c r="E59"/>
  <c r="D59"/>
  <c r="C59"/>
  <c r="J57"/>
  <c r="N57" s="1"/>
  <c r="I57"/>
  <c r="H57"/>
  <c r="G57"/>
  <c r="E57"/>
  <c r="D57"/>
  <c r="C57"/>
  <c r="J56"/>
  <c r="N56" s="1"/>
  <c r="H56"/>
  <c r="E56"/>
  <c r="D56"/>
  <c r="C56"/>
  <c r="J55"/>
  <c r="N55" s="1"/>
  <c r="I55"/>
  <c r="H55"/>
  <c r="G55"/>
  <c r="E55"/>
  <c r="D55"/>
  <c r="C55"/>
  <c r="J54"/>
  <c r="N54" s="1"/>
  <c r="H54"/>
  <c r="E54"/>
  <c r="D54"/>
  <c r="C54"/>
  <c r="J53"/>
  <c r="N53" s="1"/>
  <c r="I53"/>
  <c r="H53"/>
  <c r="G53"/>
  <c r="E53"/>
  <c r="D53"/>
  <c r="C53"/>
  <c r="J52"/>
  <c r="N52" s="1"/>
  <c r="H52"/>
  <c r="E52"/>
  <c r="D52"/>
  <c r="C52"/>
  <c r="J51"/>
  <c r="N51" s="1"/>
  <c r="I51"/>
  <c r="H51"/>
  <c r="G51"/>
  <c r="E51"/>
  <c r="D51"/>
  <c r="C51"/>
  <c r="J50"/>
  <c r="N50" s="1"/>
  <c r="H50"/>
  <c r="E50"/>
  <c r="D50"/>
  <c r="C50"/>
  <c r="J48"/>
  <c r="N48" s="1"/>
  <c r="I48"/>
  <c r="H48"/>
  <c r="G48"/>
  <c r="E48"/>
  <c r="D48"/>
  <c r="C48"/>
  <c r="J47"/>
  <c r="N47" s="1"/>
  <c r="H47"/>
  <c r="E47"/>
  <c r="D47"/>
  <c r="C47"/>
  <c r="J46"/>
  <c r="N46" s="1"/>
  <c r="I46"/>
  <c r="H46"/>
  <c r="G46"/>
  <c r="E46"/>
  <c r="D46"/>
  <c r="C46"/>
  <c r="J45"/>
  <c r="N45" s="1"/>
  <c r="H45"/>
  <c r="E45"/>
  <c r="D45"/>
  <c r="C45"/>
  <c r="J44"/>
  <c r="N44" s="1"/>
  <c r="I44"/>
  <c r="H44"/>
  <c r="G44"/>
  <c r="E44"/>
  <c r="D44"/>
  <c r="C44"/>
  <c r="J43"/>
  <c r="N43" s="1"/>
  <c r="H43"/>
  <c r="E43"/>
  <c r="D43"/>
  <c r="C43"/>
  <c r="J42"/>
  <c r="N42" s="1"/>
  <c r="I42"/>
  <c r="H42"/>
  <c r="G42"/>
  <c r="E42"/>
  <c r="D42"/>
  <c r="C42"/>
  <c r="J40"/>
  <c r="N40" s="1"/>
  <c r="H40"/>
  <c r="E40"/>
  <c r="D40"/>
  <c r="C40"/>
  <c r="J39"/>
  <c r="N39" s="1"/>
  <c r="I39"/>
  <c r="H39"/>
  <c r="G39"/>
  <c r="E39"/>
  <c r="D39"/>
  <c r="C39"/>
  <c r="J38"/>
  <c r="N38" s="1"/>
  <c r="H38"/>
  <c r="E38"/>
  <c r="D38"/>
  <c r="C38"/>
  <c r="J37"/>
  <c r="N37" s="1"/>
  <c r="I37"/>
  <c r="H37"/>
  <c r="G37"/>
  <c r="E37"/>
  <c r="D37"/>
  <c r="C37"/>
  <c r="J36"/>
  <c r="N36" s="1"/>
  <c r="H36"/>
  <c r="E36"/>
  <c r="D36"/>
  <c r="C36"/>
  <c r="J35"/>
  <c r="N35" s="1"/>
  <c r="I35"/>
  <c r="H35"/>
  <c r="G35"/>
  <c r="E35"/>
  <c r="D35"/>
  <c r="C35"/>
  <c r="J33"/>
  <c r="N33" s="1"/>
  <c r="H33"/>
  <c r="E33"/>
  <c r="D33"/>
  <c r="C33"/>
  <c r="J32"/>
  <c r="N32" s="1"/>
  <c r="I32"/>
  <c r="H32"/>
  <c r="G32"/>
  <c r="E32"/>
  <c r="D32"/>
  <c r="C32"/>
  <c r="J31"/>
  <c r="N31" s="1"/>
  <c r="H31"/>
  <c r="E31"/>
  <c r="D31"/>
  <c r="C31"/>
  <c r="J30"/>
  <c r="N30" s="1"/>
  <c r="I30"/>
  <c r="H30"/>
  <c r="G30"/>
  <c r="E30"/>
  <c r="D30"/>
  <c r="C30"/>
  <c r="J29"/>
  <c r="N29" s="1"/>
  <c r="H29"/>
  <c r="E29"/>
  <c r="D29"/>
  <c r="C29"/>
  <c r="J28"/>
  <c r="N28" s="1"/>
  <c r="I28"/>
  <c r="H28"/>
  <c r="G28"/>
  <c r="E28"/>
  <c r="D28"/>
  <c r="C28"/>
  <c r="J27"/>
  <c r="N27" s="1"/>
  <c r="H27"/>
  <c r="E27"/>
  <c r="D27"/>
  <c r="C27"/>
  <c r="J25"/>
  <c r="N25" s="1"/>
  <c r="I25"/>
  <c r="H25"/>
  <c r="G25"/>
  <c r="E25"/>
  <c r="D25"/>
  <c r="C25"/>
  <c r="J24"/>
  <c r="N24" s="1"/>
  <c r="H24"/>
  <c r="E24"/>
  <c r="D24"/>
  <c r="C24"/>
  <c r="J23"/>
  <c r="N23" s="1"/>
  <c r="I23"/>
  <c r="H23"/>
  <c r="G23"/>
  <c r="E23"/>
  <c r="D23"/>
  <c r="C23"/>
  <c r="J22"/>
  <c r="N22" s="1"/>
  <c r="H22"/>
  <c r="E22"/>
  <c r="D22"/>
  <c r="C22"/>
  <c r="AC21"/>
  <c r="AB21"/>
  <c r="AA21"/>
  <c r="Z21"/>
  <c r="Y21"/>
  <c r="X21"/>
  <c r="J21"/>
  <c r="N21" s="1"/>
  <c r="H21"/>
  <c r="E21"/>
  <c r="D21"/>
  <c r="C21"/>
  <c r="AC20"/>
  <c r="AB20"/>
  <c r="AA20"/>
  <c r="Z20"/>
  <c r="Y20"/>
  <c r="X20"/>
  <c r="AC19"/>
  <c r="AB19"/>
  <c r="AA19"/>
  <c r="Z19"/>
  <c r="Y19"/>
  <c r="X19"/>
  <c r="J19"/>
  <c r="N19" s="1"/>
  <c r="I19"/>
  <c r="H19"/>
  <c r="G19"/>
  <c r="E19"/>
  <c r="D19"/>
  <c r="C19"/>
  <c r="AC18"/>
  <c r="AB18"/>
  <c r="AA18"/>
  <c r="Z18"/>
  <c r="Y18"/>
  <c r="X18"/>
  <c r="J18"/>
  <c r="N18" s="1"/>
  <c r="I18"/>
  <c r="H18"/>
  <c r="G18"/>
  <c r="E18"/>
  <c r="D18"/>
  <c r="C18"/>
  <c r="AC17"/>
  <c r="AB17"/>
  <c r="AA17"/>
  <c r="Z17"/>
  <c r="Y17"/>
  <c r="X17"/>
  <c r="J17"/>
  <c r="N17" s="1"/>
  <c r="I17"/>
  <c r="H17"/>
  <c r="G17"/>
  <c r="E17"/>
  <c r="D17"/>
  <c r="C17"/>
  <c r="AC16"/>
  <c r="AB16"/>
  <c r="AA16"/>
  <c r="Z16"/>
  <c r="Y16"/>
  <c r="X16"/>
  <c r="J16"/>
  <c r="N16" s="1"/>
  <c r="I16"/>
  <c r="H16"/>
  <c r="G16"/>
  <c r="E16"/>
  <c r="D16"/>
  <c r="C16"/>
  <c r="AC15"/>
  <c r="AB15"/>
  <c r="AA15"/>
  <c r="Z15"/>
  <c r="Y15"/>
  <c r="X15"/>
  <c r="AC14"/>
  <c r="AB14"/>
  <c r="AA14"/>
  <c r="Z14"/>
  <c r="Y14"/>
  <c r="X14"/>
  <c r="J14"/>
  <c r="N14" s="1"/>
  <c r="H14"/>
  <c r="E14"/>
  <c r="D14"/>
  <c r="C14"/>
  <c r="AC13"/>
  <c r="AB13"/>
  <c r="AA13"/>
  <c r="Z13"/>
  <c r="Y13"/>
  <c r="X13"/>
  <c r="J13"/>
  <c r="N13" s="1"/>
  <c r="H13"/>
  <c r="E13"/>
  <c r="D13"/>
  <c r="C13"/>
  <c r="AC12"/>
  <c r="AB12"/>
  <c r="AA12"/>
  <c r="Z12"/>
  <c r="Y12"/>
  <c r="X12"/>
  <c r="AC11"/>
  <c r="AB11"/>
  <c r="AA11"/>
  <c r="Z11"/>
  <c r="Y11"/>
  <c r="X11"/>
  <c r="J11"/>
  <c r="N11" s="1"/>
  <c r="I11"/>
  <c r="H11"/>
  <c r="G11"/>
  <c r="E11"/>
  <c r="D11"/>
  <c r="C11"/>
  <c r="AC10"/>
  <c r="AB10"/>
  <c r="AA10"/>
  <c r="Z10"/>
  <c r="Y10"/>
  <c r="X10"/>
  <c r="AC9"/>
  <c r="AB9"/>
  <c r="AA9"/>
  <c r="Z9"/>
  <c r="Y9"/>
  <c r="X9"/>
  <c r="AC8"/>
  <c r="AB8"/>
  <c r="AA8"/>
  <c r="Z8"/>
  <c r="Y8"/>
  <c r="X8"/>
  <c r="AC7"/>
  <c r="AB7"/>
  <c r="AA7"/>
  <c r="Z7"/>
  <c r="Y7"/>
  <c r="X7"/>
  <c r="AC6"/>
  <c r="AB6"/>
  <c r="AA6"/>
  <c r="Z6"/>
  <c r="Y6"/>
  <c r="X6"/>
  <c r="AC5"/>
  <c r="AB5"/>
  <c r="AA5"/>
  <c r="Z5"/>
  <c r="Y5"/>
  <c r="X5"/>
  <c r="Q5"/>
  <c r="P5"/>
  <c r="O5"/>
  <c r="M5"/>
  <c r="L5"/>
  <c r="K5"/>
  <c r="I5"/>
  <c r="H5"/>
  <c r="G5"/>
  <c r="E5"/>
  <c r="D5"/>
  <c r="C5"/>
  <c r="AC4"/>
  <c r="AB4"/>
  <c r="AA4"/>
  <c r="Z4"/>
  <c r="Y4"/>
  <c r="X4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CX3"/>
  <c r="CY3"/>
  <c r="CZ3"/>
  <c r="DA3"/>
  <c r="DB3"/>
  <c r="AC3"/>
  <c r="AB3"/>
  <c r="AA3"/>
  <c r="Z3"/>
  <c r="Y3"/>
  <c r="X3"/>
  <c r="M430" i="16"/>
  <c r="M369"/>
  <c r="N538"/>
  <c r="O538"/>
  <c r="P538"/>
  <c r="Q538"/>
  <c r="C538"/>
  <c r="D538"/>
  <c r="E538"/>
  <c r="J538"/>
  <c r="G538" s="1"/>
  <c r="H538"/>
  <c r="M538"/>
  <c r="K538" s="1"/>
  <c r="L538"/>
  <c r="N525"/>
  <c r="O525"/>
  <c r="P525"/>
  <c r="Q525"/>
  <c r="C525"/>
  <c r="D525"/>
  <c r="E525"/>
  <c r="J525"/>
  <c r="G525"/>
  <c r="H525"/>
  <c r="I525"/>
  <c r="M525"/>
  <c r="K525"/>
  <c r="L525"/>
  <c r="N524"/>
  <c r="O524"/>
  <c r="P524"/>
  <c r="Q524"/>
  <c r="C524"/>
  <c r="D524"/>
  <c r="E524"/>
  <c r="J524"/>
  <c r="G524" s="1"/>
  <c r="H524"/>
  <c r="I524"/>
  <c r="M524"/>
  <c r="K524" s="1"/>
  <c r="L524"/>
  <c r="N512"/>
  <c r="O512"/>
  <c r="P512"/>
  <c r="Q512"/>
  <c r="C512"/>
  <c r="D512"/>
  <c r="E512"/>
  <c r="J512"/>
  <c r="G512"/>
  <c r="H512"/>
  <c r="I512"/>
  <c r="M512"/>
  <c r="K512" s="1"/>
  <c r="L512"/>
  <c r="N499"/>
  <c r="O499"/>
  <c r="P499"/>
  <c r="Q499"/>
  <c r="C499"/>
  <c r="D499"/>
  <c r="E499"/>
  <c r="J499"/>
  <c r="G499" s="1"/>
  <c r="H499"/>
  <c r="M499"/>
  <c r="K499" s="1"/>
  <c r="L499"/>
  <c r="N498"/>
  <c r="O498"/>
  <c r="P498"/>
  <c r="Q498"/>
  <c r="C498"/>
  <c r="D498"/>
  <c r="E498"/>
  <c r="J498"/>
  <c r="G498" s="1"/>
  <c r="H498"/>
  <c r="I498"/>
  <c r="M498"/>
  <c r="K498" s="1"/>
  <c r="L498"/>
  <c r="N486"/>
  <c r="O486"/>
  <c r="P486"/>
  <c r="Q486"/>
  <c r="C486"/>
  <c r="D486"/>
  <c r="E486"/>
  <c r="J486"/>
  <c r="G486" s="1"/>
  <c r="H486"/>
  <c r="I486"/>
  <c r="M486"/>
  <c r="K486" s="1"/>
  <c r="L486"/>
  <c r="N474"/>
  <c r="O474"/>
  <c r="P474"/>
  <c r="Q474"/>
  <c r="C474"/>
  <c r="D474"/>
  <c r="E474"/>
  <c r="J474"/>
  <c r="G474" s="1"/>
  <c r="H474"/>
  <c r="I474"/>
  <c r="M474"/>
  <c r="K474" s="1"/>
  <c r="L474"/>
  <c r="N462"/>
  <c r="O462"/>
  <c r="P462"/>
  <c r="Q462"/>
  <c r="C462"/>
  <c r="D462"/>
  <c r="E462"/>
  <c r="J462"/>
  <c r="G462" s="1"/>
  <c r="H462"/>
  <c r="M462"/>
  <c r="K462" s="1"/>
  <c r="L462"/>
  <c r="N450"/>
  <c r="O450"/>
  <c r="P450"/>
  <c r="Q450"/>
  <c r="C450"/>
  <c r="D450"/>
  <c r="E450"/>
  <c r="J450"/>
  <c r="G450" s="1"/>
  <c r="H450"/>
  <c r="I450"/>
  <c r="M450"/>
  <c r="K450" s="1"/>
  <c r="L450"/>
  <c r="N439"/>
  <c r="O439"/>
  <c r="P439"/>
  <c r="Q439"/>
  <c r="C439"/>
  <c r="D439"/>
  <c r="E439"/>
  <c r="J439"/>
  <c r="G439"/>
  <c r="H439"/>
  <c r="I439"/>
  <c r="M439"/>
  <c r="K439"/>
  <c r="L439"/>
  <c r="N428"/>
  <c r="O428"/>
  <c r="P428"/>
  <c r="Q428"/>
  <c r="C428"/>
  <c r="D428"/>
  <c r="E428"/>
  <c r="J428"/>
  <c r="G428" s="1"/>
  <c r="H428"/>
  <c r="I428"/>
  <c r="M428"/>
  <c r="K428" s="1"/>
  <c r="L428"/>
  <c r="N417"/>
  <c r="O417"/>
  <c r="P417"/>
  <c r="Q417"/>
  <c r="C417"/>
  <c r="D417"/>
  <c r="E417"/>
  <c r="J417"/>
  <c r="G417" s="1"/>
  <c r="H417"/>
  <c r="I417"/>
  <c r="M417"/>
  <c r="K417" s="1"/>
  <c r="L417"/>
  <c r="N407"/>
  <c r="O407"/>
  <c r="P407"/>
  <c r="Q407"/>
  <c r="C407"/>
  <c r="D407"/>
  <c r="E407"/>
  <c r="J407"/>
  <c r="G407" s="1"/>
  <c r="H407"/>
  <c r="I407"/>
  <c r="M407"/>
  <c r="K407" s="1"/>
  <c r="L407"/>
  <c r="N396"/>
  <c r="O396"/>
  <c r="P396"/>
  <c r="Q396"/>
  <c r="C396"/>
  <c r="D396"/>
  <c r="E396"/>
  <c r="J396"/>
  <c r="G396" s="1"/>
  <c r="H396"/>
  <c r="I396"/>
  <c r="M396"/>
  <c r="K396" s="1"/>
  <c r="L396"/>
  <c r="N377"/>
  <c r="O377"/>
  <c r="P377"/>
  <c r="Q377"/>
  <c r="C377"/>
  <c r="D377"/>
  <c r="E377"/>
  <c r="J377"/>
  <c r="G377" s="1"/>
  <c r="H377"/>
  <c r="M377"/>
  <c r="K377" s="1"/>
  <c r="L377"/>
  <c r="C358"/>
  <c r="D358"/>
  <c r="E358"/>
  <c r="J358"/>
  <c r="G358" s="1"/>
  <c r="C349"/>
  <c r="D349"/>
  <c r="E349"/>
  <c r="J349"/>
  <c r="G349" s="1"/>
  <c r="C332"/>
  <c r="D332"/>
  <c r="E332"/>
  <c r="J332"/>
  <c r="G332" s="1"/>
  <c r="M537"/>
  <c r="C233"/>
  <c r="D233"/>
  <c r="E233"/>
  <c r="J233"/>
  <c r="G233" s="1"/>
  <c r="C221"/>
  <c r="D221"/>
  <c r="E221"/>
  <c r="J221"/>
  <c r="G221" s="1"/>
  <c r="I221"/>
  <c r="C209"/>
  <c r="D209"/>
  <c r="E209"/>
  <c r="J209"/>
  <c r="G209" s="1"/>
  <c r="C197"/>
  <c r="D197"/>
  <c r="E197"/>
  <c r="J197"/>
  <c r="G197" s="1"/>
  <c r="C185"/>
  <c r="D185"/>
  <c r="E185"/>
  <c r="J185"/>
  <c r="G185" s="1"/>
  <c r="C163"/>
  <c r="D163"/>
  <c r="E163"/>
  <c r="J163"/>
  <c r="G163" s="1"/>
  <c r="C142"/>
  <c r="D142"/>
  <c r="E142"/>
  <c r="J142"/>
  <c r="G142" s="1"/>
  <c r="C121"/>
  <c r="D121"/>
  <c r="E121"/>
  <c r="J121"/>
  <c r="G121" s="1"/>
  <c r="C845"/>
  <c r="D845"/>
  <c r="E845"/>
  <c r="J845"/>
  <c r="G845" s="1"/>
  <c r="C829"/>
  <c r="D829"/>
  <c r="E829"/>
  <c r="J829"/>
  <c r="G829" s="1"/>
  <c r="C814"/>
  <c r="D814"/>
  <c r="E814"/>
  <c r="J814"/>
  <c r="G814" s="1"/>
  <c r="C786"/>
  <c r="D786"/>
  <c r="E786"/>
  <c r="J786"/>
  <c r="G786" s="1"/>
  <c r="C772"/>
  <c r="D772"/>
  <c r="E772"/>
  <c r="J772"/>
  <c r="G772" s="1"/>
  <c r="C734"/>
  <c r="D734"/>
  <c r="E734"/>
  <c r="J734"/>
  <c r="G734" s="1"/>
  <c r="C699"/>
  <c r="D699"/>
  <c r="E699"/>
  <c r="J699"/>
  <c r="G699" s="1"/>
  <c r="C537"/>
  <c r="D537"/>
  <c r="E537"/>
  <c r="J537"/>
  <c r="H537" s="1"/>
  <c r="C511"/>
  <c r="D511"/>
  <c r="E511"/>
  <c r="J511"/>
  <c r="M511" s="1"/>
  <c r="C485"/>
  <c r="D485"/>
  <c r="E485"/>
  <c r="J485"/>
  <c r="G485" s="1"/>
  <c r="C461"/>
  <c r="D461"/>
  <c r="E461"/>
  <c r="J461"/>
  <c r="M461" s="1"/>
  <c r="BF3"/>
  <c r="DB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CX3"/>
  <c r="CY3"/>
  <c r="CZ3"/>
  <c r="DA3"/>
  <c r="X4"/>
  <c r="Y4"/>
  <c r="Z4"/>
  <c r="AA4"/>
  <c r="AB4"/>
  <c r="AC4"/>
  <c r="X5"/>
  <c r="Y5"/>
  <c r="Z5"/>
  <c r="AA5"/>
  <c r="AB5"/>
  <c r="AC5"/>
  <c r="X6"/>
  <c r="Y6"/>
  <c r="Z6"/>
  <c r="AA6"/>
  <c r="AB6"/>
  <c r="AC6"/>
  <c r="X7"/>
  <c r="Y7"/>
  <c r="Z7"/>
  <c r="AA7"/>
  <c r="AB7"/>
  <c r="AC7"/>
  <c r="X8"/>
  <c r="Y8"/>
  <c r="Z8"/>
  <c r="AA8"/>
  <c r="AB8"/>
  <c r="AC8"/>
  <c r="X9"/>
  <c r="Y9"/>
  <c r="Z9"/>
  <c r="AA9"/>
  <c r="AB9"/>
  <c r="AC9"/>
  <c r="X10"/>
  <c r="Y10"/>
  <c r="Z10"/>
  <c r="AA10"/>
  <c r="AB10"/>
  <c r="AC10"/>
  <c r="X11"/>
  <c r="Y11"/>
  <c r="Z11"/>
  <c r="AA11"/>
  <c r="AB11"/>
  <c r="AC11"/>
  <c r="X12"/>
  <c r="Y12"/>
  <c r="Z12"/>
  <c r="AA12"/>
  <c r="AB12"/>
  <c r="AC12"/>
  <c r="X13"/>
  <c r="Y13"/>
  <c r="Z13"/>
  <c r="AA13"/>
  <c r="AB13"/>
  <c r="AC13"/>
  <c r="X14"/>
  <c r="Y14"/>
  <c r="Z14"/>
  <c r="AA14"/>
  <c r="AB14"/>
  <c r="AC14"/>
  <c r="X15"/>
  <c r="Y15"/>
  <c r="Z15"/>
  <c r="AA15"/>
  <c r="AB15"/>
  <c r="AC15"/>
  <c r="X16"/>
  <c r="Y16"/>
  <c r="Z16"/>
  <c r="AA16"/>
  <c r="AB16"/>
  <c r="AC16"/>
  <c r="X17"/>
  <c r="Y17"/>
  <c r="Z17"/>
  <c r="AA17"/>
  <c r="AB17"/>
  <c r="AC17"/>
  <c r="X18"/>
  <c r="Y18"/>
  <c r="Z18"/>
  <c r="AA18"/>
  <c r="AB18"/>
  <c r="AC18"/>
  <c r="X19"/>
  <c r="Y19"/>
  <c r="Z19"/>
  <c r="AA19"/>
  <c r="AB19"/>
  <c r="AC19"/>
  <c r="X20"/>
  <c r="Y20"/>
  <c r="Z20"/>
  <c r="AA20"/>
  <c r="AB20"/>
  <c r="AC20"/>
  <c r="X21"/>
  <c r="Y21"/>
  <c r="Z21"/>
  <c r="AA21"/>
  <c r="AB21"/>
  <c r="AC21"/>
  <c r="J928"/>
  <c r="E928"/>
  <c r="D928"/>
  <c r="C928"/>
  <c r="J926"/>
  <c r="E926"/>
  <c r="D926"/>
  <c r="C926"/>
  <c r="J925"/>
  <c r="E925"/>
  <c r="D925"/>
  <c r="C925"/>
  <c r="J924"/>
  <c r="E924"/>
  <c r="D924"/>
  <c r="C924"/>
  <c r="J922"/>
  <c r="E922"/>
  <c r="D922"/>
  <c r="C922"/>
  <c r="J921"/>
  <c r="E921"/>
  <c r="D921"/>
  <c r="C921"/>
  <c r="J920"/>
  <c r="E920"/>
  <c r="D920"/>
  <c r="C920"/>
  <c r="J919"/>
  <c r="E919"/>
  <c r="D919"/>
  <c r="C919"/>
  <c r="J917"/>
  <c r="E917"/>
  <c r="D917"/>
  <c r="C917"/>
  <c r="J916"/>
  <c r="E916"/>
  <c r="D916"/>
  <c r="C916"/>
  <c r="J915"/>
  <c r="E915"/>
  <c r="D915"/>
  <c r="C915"/>
  <c r="J914"/>
  <c r="E914"/>
  <c r="D914"/>
  <c r="C914"/>
  <c r="J913"/>
  <c r="E913"/>
  <c r="D913"/>
  <c r="C913"/>
  <c r="J911"/>
  <c r="E911"/>
  <c r="D911"/>
  <c r="C911"/>
  <c r="J910"/>
  <c r="E910"/>
  <c r="D910"/>
  <c r="C910"/>
  <c r="J909"/>
  <c r="E909"/>
  <c r="D909"/>
  <c r="C909"/>
  <c r="J908"/>
  <c r="E908"/>
  <c r="D908"/>
  <c r="C908"/>
  <c r="J907"/>
  <c r="E907"/>
  <c r="D907"/>
  <c r="C907"/>
  <c r="J906"/>
  <c r="E906"/>
  <c r="D906"/>
  <c r="C906"/>
  <c r="J905"/>
  <c r="E905"/>
  <c r="D905"/>
  <c r="C905"/>
  <c r="J903"/>
  <c r="E903"/>
  <c r="D903"/>
  <c r="C903"/>
  <c r="J902"/>
  <c r="E902"/>
  <c r="D902"/>
  <c r="C902"/>
  <c r="J901"/>
  <c r="E901"/>
  <c r="D901"/>
  <c r="C901"/>
  <c r="J900"/>
  <c r="E900"/>
  <c r="D900"/>
  <c r="C900"/>
  <c r="J899"/>
  <c r="H899" s="1"/>
  <c r="L899" s="1"/>
  <c r="E899"/>
  <c r="D899"/>
  <c r="C899"/>
  <c r="J898"/>
  <c r="E898"/>
  <c r="D898"/>
  <c r="C898"/>
  <c r="J897"/>
  <c r="E897"/>
  <c r="D897"/>
  <c r="C897"/>
  <c r="J896"/>
  <c r="E896"/>
  <c r="D896"/>
  <c r="C896"/>
  <c r="J894"/>
  <c r="E894"/>
  <c r="D894"/>
  <c r="C894"/>
  <c r="J893"/>
  <c r="E893"/>
  <c r="D893"/>
  <c r="C893"/>
  <c r="J892"/>
  <c r="E892"/>
  <c r="D892"/>
  <c r="C892"/>
  <c r="J891"/>
  <c r="E891"/>
  <c r="D891"/>
  <c r="C891"/>
  <c r="J890"/>
  <c r="E890"/>
  <c r="D890"/>
  <c r="C890"/>
  <c r="J889"/>
  <c r="E889"/>
  <c r="D889"/>
  <c r="C889"/>
  <c r="J888"/>
  <c r="E888"/>
  <c r="D888"/>
  <c r="C888"/>
  <c r="J887"/>
  <c r="E887"/>
  <c r="D887"/>
  <c r="C887"/>
  <c r="J886"/>
  <c r="E886"/>
  <c r="D886"/>
  <c r="C886"/>
  <c r="J884"/>
  <c r="E884"/>
  <c r="D884"/>
  <c r="C884"/>
  <c r="J883"/>
  <c r="E883"/>
  <c r="D883"/>
  <c r="C883"/>
  <c r="J882"/>
  <c r="E882"/>
  <c r="D882"/>
  <c r="C882"/>
  <c r="J881"/>
  <c r="E881"/>
  <c r="D881"/>
  <c r="C881"/>
  <c r="J880"/>
  <c r="E880"/>
  <c r="D880"/>
  <c r="C880"/>
  <c r="J879"/>
  <c r="E879"/>
  <c r="D879"/>
  <c r="C879"/>
  <c r="J878"/>
  <c r="E878"/>
  <c r="D878"/>
  <c r="C878"/>
  <c r="J877"/>
  <c r="E877"/>
  <c r="D877"/>
  <c r="C877"/>
  <c r="J876"/>
  <c r="E876"/>
  <c r="D876"/>
  <c r="C876"/>
  <c r="J875"/>
  <c r="E875"/>
  <c r="D875"/>
  <c r="C875"/>
  <c r="J874"/>
  <c r="E874"/>
  <c r="D874"/>
  <c r="C874"/>
  <c r="J872"/>
  <c r="E872"/>
  <c r="D872"/>
  <c r="C872"/>
  <c r="J871"/>
  <c r="E871"/>
  <c r="D871"/>
  <c r="C871"/>
  <c r="J870"/>
  <c r="E870"/>
  <c r="D870"/>
  <c r="C870"/>
  <c r="J869"/>
  <c r="E869"/>
  <c r="D869"/>
  <c r="C869"/>
  <c r="J868"/>
  <c r="E868"/>
  <c r="D868"/>
  <c r="C868"/>
  <c r="J867"/>
  <c r="E867"/>
  <c r="D867"/>
  <c r="C867"/>
  <c r="J866"/>
  <c r="E866"/>
  <c r="D866"/>
  <c r="C866"/>
  <c r="J865"/>
  <c r="E865"/>
  <c r="D865"/>
  <c r="C865"/>
  <c r="J864"/>
  <c r="E864"/>
  <c r="D864"/>
  <c r="C864"/>
  <c r="J863"/>
  <c r="E863"/>
  <c r="D863"/>
  <c r="C863"/>
  <c r="J862"/>
  <c r="E862"/>
  <c r="D862"/>
  <c r="C862"/>
  <c r="J861"/>
  <c r="E861"/>
  <c r="D861"/>
  <c r="C861"/>
  <c r="J859"/>
  <c r="E859"/>
  <c r="D859"/>
  <c r="C859"/>
  <c r="J858"/>
  <c r="E858"/>
  <c r="D858"/>
  <c r="C858"/>
  <c r="J857"/>
  <c r="E857"/>
  <c r="D857"/>
  <c r="C857"/>
  <c r="J856"/>
  <c r="E856"/>
  <c r="D856"/>
  <c r="C856"/>
  <c r="J855"/>
  <c r="E855"/>
  <c r="D855"/>
  <c r="C855"/>
  <c r="J854"/>
  <c r="E854"/>
  <c r="D854"/>
  <c r="C854"/>
  <c r="J853"/>
  <c r="E853"/>
  <c r="D853"/>
  <c r="C853"/>
  <c r="J852"/>
  <c r="E852"/>
  <c r="D852"/>
  <c r="C852"/>
  <c r="J851"/>
  <c r="E851"/>
  <c r="D851"/>
  <c r="C851"/>
  <c r="J850"/>
  <c r="E850"/>
  <c r="D850"/>
  <c r="C850"/>
  <c r="J849"/>
  <c r="E849"/>
  <c r="D849"/>
  <c r="C849"/>
  <c r="J848"/>
  <c r="E848"/>
  <c r="D848"/>
  <c r="C848"/>
  <c r="J847"/>
  <c r="E847"/>
  <c r="D847"/>
  <c r="C847"/>
  <c r="J844"/>
  <c r="E844"/>
  <c r="D844"/>
  <c r="C844"/>
  <c r="J843"/>
  <c r="E843"/>
  <c r="D843"/>
  <c r="C843"/>
  <c r="J842"/>
  <c r="E842"/>
  <c r="D842"/>
  <c r="C842"/>
  <c r="J841"/>
  <c r="E841"/>
  <c r="D841"/>
  <c r="C841"/>
  <c r="J840"/>
  <c r="E840"/>
  <c r="D840"/>
  <c r="C840"/>
  <c r="J839"/>
  <c r="E839"/>
  <c r="D839"/>
  <c r="C839"/>
  <c r="J838"/>
  <c r="E838"/>
  <c r="D838"/>
  <c r="C838"/>
  <c r="J837"/>
  <c r="E837"/>
  <c r="D837"/>
  <c r="C837"/>
  <c r="J836"/>
  <c r="E836"/>
  <c r="D836"/>
  <c r="C836"/>
  <c r="J835"/>
  <c r="E835"/>
  <c r="D835"/>
  <c r="C835"/>
  <c r="J834"/>
  <c r="E834"/>
  <c r="D834"/>
  <c r="C834"/>
  <c r="J833"/>
  <c r="E833"/>
  <c r="D833"/>
  <c r="C833"/>
  <c r="J832"/>
  <c r="E832"/>
  <c r="D832"/>
  <c r="C832"/>
  <c r="J831"/>
  <c r="E831"/>
  <c r="D831"/>
  <c r="C831"/>
  <c r="J828"/>
  <c r="E828"/>
  <c r="D828"/>
  <c r="C828"/>
  <c r="J827"/>
  <c r="E827"/>
  <c r="D827"/>
  <c r="C827"/>
  <c r="J826"/>
  <c r="E826"/>
  <c r="D826"/>
  <c r="C826"/>
  <c r="J825"/>
  <c r="E825"/>
  <c r="D825"/>
  <c r="C825"/>
  <c r="J824"/>
  <c r="E824"/>
  <c r="D824"/>
  <c r="C824"/>
  <c r="J823"/>
  <c r="E823"/>
  <c r="D823"/>
  <c r="C823"/>
  <c r="J822"/>
  <c r="E822"/>
  <c r="D822"/>
  <c r="C822"/>
  <c r="J821"/>
  <c r="E821"/>
  <c r="D821"/>
  <c r="C821"/>
  <c r="J820"/>
  <c r="E820"/>
  <c r="D820"/>
  <c r="C820"/>
  <c r="J819"/>
  <c r="E819"/>
  <c r="D819"/>
  <c r="C819"/>
  <c r="J818"/>
  <c r="E818"/>
  <c r="D818"/>
  <c r="C818"/>
  <c r="J817"/>
  <c r="E817"/>
  <c r="D817"/>
  <c r="C817"/>
  <c r="J816"/>
  <c r="E816"/>
  <c r="D816"/>
  <c r="C816"/>
  <c r="J813"/>
  <c r="E813"/>
  <c r="D813"/>
  <c r="C813"/>
  <c r="J812"/>
  <c r="E812"/>
  <c r="D812"/>
  <c r="C812"/>
  <c r="J811"/>
  <c r="E811"/>
  <c r="D811"/>
  <c r="C811"/>
  <c r="J810"/>
  <c r="E810"/>
  <c r="D810"/>
  <c r="C810"/>
  <c r="J809"/>
  <c r="H809" s="1"/>
  <c r="L809" s="1"/>
  <c r="E809"/>
  <c r="D809"/>
  <c r="C809"/>
  <c r="J808"/>
  <c r="E808"/>
  <c r="D808"/>
  <c r="C808"/>
  <c r="J807"/>
  <c r="E807"/>
  <c r="D807"/>
  <c r="C807"/>
  <c r="J806"/>
  <c r="E806"/>
  <c r="D806"/>
  <c r="C806"/>
  <c r="J805"/>
  <c r="H805" s="1"/>
  <c r="L805" s="1"/>
  <c r="E805"/>
  <c r="D805"/>
  <c r="C805"/>
  <c r="J804"/>
  <c r="E804"/>
  <c r="D804"/>
  <c r="C804"/>
  <c r="J803"/>
  <c r="E803"/>
  <c r="D803"/>
  <c r="C803"/>
  <c r="J802"/>
  <c r="E802"/>
  <c r="D802"/>
  <c r="C802"/>
  <c r="J800"/>
  <c r="E800"/>
  <c r="D800"/>
  <c r="C800"/>
  <c r="J799"/>
  <c r="E799"/>
  <c r="D799"/>
  <c r="C799"/>
  <c r="J798"/>
  <c r="E798"/>
  <c r="D798"/>
  <c r="C798"/>
  <c r="J797"/>
  <c r="E797"/>
  <c r="D797"/>
  <c r="C797"/>
  <c r="J796"/>
  <c r="E796"/>
  <c r="D796"/>
  <c r="C796"/>
  <c r="J795"/>
  <c r="E795"/>
  <c r="D795"/>
  <c r="C795"/>
  <c r="J794"/>
  <c r="E794"/>
  <c r="D794"/>
  <c r="C794"/>
  <c r="J793"/>
  <c r="E793"/>
  <c r="D793"/>
  <c r="C793"/>
  <c r="J792"/>
  <c r="E792"/>
  <c r="D792"/>
  <c r="C792"/>
  <c r="J791"/>
  <c r="E791"/>
  <c r="D791"/>
  <c r="C791"/>
  <c r="J790"/>
  <c r="E790"/>
  <c r="D790"/>
  <c r="C790"/>
  <c r="J789"/>
  <c r="E789"/>
  <c r="D789"/>
  <c r="C789"/>
  <c r="J788"/>
  <c r="E788"/>
  <c r="D788"/>
  <c r="C788"/>
  <c r="J785"/>
  <c r="E785"/>
  <c r="D785"/>
  <c r="C785"/>
  <c r="J784"/>
  <c r="E784"/>
  <c r="D784"/>
  <c r="C784"/>
  <c r="J783"/>
  <c r="E783"/>
  <c r="D783"/>
  <c r="C783"/>
  <c r="J782"/>
  <c r="E782"/>
  <c r="D782"/>
  <c r="C782"/>
  <c r="J781"/>
  <c r="E781"/>
  <c r="D781"/>
  <c r="C781"/>
  <c r="J780"/>
  <c r="E780"/>
  <c r="D780"/>
  <c r="C780"/>
  <c r="J779"/>
  <c r="E779"/>
  <c r="D779"/>
  <c r="C779"/>
  <c r="J778"/>
  <c r="E778"/>
  <c r="D778"/>
  <c r="C778"/>
  <c r="J777"/>
  <c r="E777"/>
  <c r="D777"/>
  <c r="C777"/>
  <c r="J776"/>
  <c r="E776"/>
  <c r="D776"/>
  <c r="C776"/>
  <c r="J775"/>
  <c r="E775"/>
  <c r="D775"/>
  <c r="C775"/>
  <c r="J774"/>
  <c r="E774"/>
  <c r="D774"/>
  <c r="C774"/>
  <c r="J771"/>
  <c r="E771"/>
  <c r="D771"/>
  <c r="C771"/>
  <c r="J770"/>
  <c r="E770"/>
  <c r="D770"/>
  <c r="C770"/>
  <c r="J769"/>
  <c r="E769"/>
  <c r="D769"/>
  <c r="C769"/>
  <c r="J768"/>
  <c r="E768"/>
  <c r="D768"/>
  <c r="C768"/>
  <c r="J767"/>
  <c r="E767"/>
  <c r="D767"/>
  <c r="C767"/>
  <c r="J766"/>
  <c r="E766"/>
  <c r="D766"/>
  <c r="C766"/>
  <c r="J765"/>
  <c r="E765"/>
  <c r="D765"/>
  <c r="C765"/>
  <c r="J764"/>
  <c r="E764"/>
  <c r="D764"/>
  <c r="C764"/>
  <c r="J763"/>
  <c r="E763"/>
  <c r="D763"/>
  <c r="C763"/>
  <c r="J762"/>
  <c r="E762"/>
  <c r="D762"/>
  <c r="C762"/>
  <c r="J761"/>
  <c r="E761"/>
  <c r="D761"/>
  <c r="C761"/>
  <c r="J759"/>
  <c r="E759"/>
  <c r="D759"/>
  <c r="C759"/>
  <c r="J758"/>
  <c r="E758"/>
  <c r="D758"/>
  <c r="C758"/>
  <c r="J757"/>
  <c r="E757"/>
  <c r="D757"/>
  <c r="C757"/>
  <c r="J756"/>
  <c r="E756"/>
  <c r="D756"/>
  <c r="C756"/>
  <c r="J755"/>
  <c r="E755"/>
  <c r="D755"/>
  <c r="C755"/>
  <c r="J754"/>
  <c r="E754"/>
  <c r="D754"/>
  <c r="C754"/>
  <c r="J753"/>
  <c r="E753"/>
  <c r="D753"/>
  <c r="C753"/>
  <c r="J752"/>
  <c r="E752"/>
  <c r="D752"/>
  <c r="C752"/>
  <c r="J751"/>
  <c r="E751"/>
  <c r="D751"/>
  <c r="C751"/>
  <c r="J750"/>
  <c r="E750"/>
  <c r="D750"/>
  <c r="C750"/>
  <c r="J749"/>
  <c r="E749"/>
  <c r="D749"/>
  <c r="C749"/>
  <c r="J748"/>
  <c r="E748"/>
  <c r="D748"/>
  <c r="C748"/>
  <c r="J746"/>
  <c r="E746"/>
  <c r="D746"/>
  <c r="C746"/>
  <c r="J745"/>
  <c r="E745"/>
  <c r="D745"/>
  <c r="C745"/>
  <c r="J744"/>
  <c r="E744"/>
  <c r="D744"/>
  <c r="C744"/>
  <c r="J743"/>
  <c r="E743"/>
  <c r="D743"/>
  <c r="C743"/>
  <c r="J742"/>
  <c r="E742"/>
  <c r="D742"/>
  <c r="C742"/>
  <c r="J741"/>
  <c r="E741"/>
  <c r="D741"/>
  <c r="C741"/>
  <c r="J740"/>
  <c r="E740"/>
  <c r="D740"/>
  <c r="C740"/>
  <c r="J739"/>
  <c r="E739"/>
  <c r="D739"/>
  <c r="C739"/>
  <c r="J738"/>
  <c r="E738"/>
  <c r="D738"/>
  <c r="C738"/>
  <c r="J737"/>
  <c r="E737"/>
  <c r="D737"/>
  <c r="C737"/>
  <c r="J736"/>
  <c r="E736"/>
  <c r="D736"/>
  <c r="C736"/>
  <c r="J733"/>
  <c r="E733"/>
  <c r="D733"/>
  <c r="C733"/>
  <c r="J732"/>
  <c r="E732"/>
  <c r="D732"/>
  <c r="C732"/>
  <c r="J731"/>
  <c r="E731"/>
  <c r="D731"/>
  <c r="C731"/>
  <c r="J730"/>
  <c r="E730"/>
  <c r="D730"/>
  <c r="C730"/>
  <c r="J729"/>
  <c r="E729"/>
  <c r="D729"/>
  <c r="C729"/>
  <c r="J728"/>
  <c r="E728"/>
  <c r="D728"/>
  <c r="C728"/>
  <c r="J727"/>
  <c r="E727"/>
  <c r="D727"/>
  <c r="C727"/>
  <c r="J726"/>
  <c r="E726"/>
  <c r="D726"/>
  <c r="C726"/>
  <c r="J725"/>
  <c r="E725"/>
  <c r="D725"/>
  <c r="C725"/>
  <c r="J724"/>
  <c r="E724"/>
  <c r="D724"/>
  <c r="C724"/>
  <c r="J722"/>
  <c r="E722"/>
  <c r="D722"/>
  <c r="C722"/>
  <c r="J721"/>
  <c r="E721"/>
  <c r="D721"/>
  <c r="C721"/>
  <c r="J720"/>
  <c r="E720"/>
  <c r="D720"/>
  <c r="C720"/>
  <c r="J719"/>
  <c r="E719"/>
  <c r="D719"/>
  <c r="C719"/>
  <c r="J718"/>
  <c r="E718"/>
  <c r="D718"/>
  <c r="C718"/>
  <c r="J717"/>
  <c r="E717"/>
  <c r="D717"/>
  <c r="C717"/>
  <c r="J716"/>
  <c r="E716"/>
  <c r="D716"/>
  <c r="C716"/>
  <c r="J715"/>
  <c r="E715"/>
  <c r="D715"/>
  <c r="C715"/>
  <c r="J714"/>
  <c r="E714"/>
  <c r="D714"/>
  <c r="C714"/>
  <c r="J713"/>
  <c r="E713"/>
  <c r="D713"/>
  <c r="C713"/>
  <c r="J712"/>
  <c r="E712"/>
  <c r="D712"/>
  <c r="C712"/>
  <c r="J710"/>
  <c r="E710"/>
  <c r="D710"/>
  <c r="C710"/>
  <c r="J709"/>
  <c r="E709"/>
  <c r="D709"/>
  <c r="C709"/>
  <c r="J708"/>
  <c r="E708"/>
  <c r="D708"/>
  <c r="C708"/>
  <c r="J707"/>
  <c r="H707" s="1"/>
  <c r="L707" s="1"/>
  <c r="E707"/>
  <c r="D707"/>
  <c r="C707"/>
  <c r="J706"/>
  <c r="E706"/>
  <c r="D706"/>
  <c r="C706"/>
  <c r="J705"/>
  <c r="E705"/>
  <c r="D705"/>
  <c r="C705"/>
  <c r="J704"/>
  <c r="E704"/>
  <c r="D704"/>
  <c r="C704"/>
  <c r="J703"/>
  <c r="E703"/>
  <c r="D703"/>
  <c r="C703"/>
  <c r="J702"/>
  <c r="E702"/>
  <c r="D702"/>
  <c r="C702"/>
  <c r="J701"/>
  <c r="E701"/>
  <c r="D701"/>
  <c r="C701"/>
  <c r="J698"/>
  <c r="E698"/>
  <c r="D698"/>
  <c r="C698"/>
  <c r="J697"/>
  <c r="E697"/>
  <c r="D697"/>
  <c r="C697"/>
  <c r="J696"/>
  <c r="E696"/>
  <c r="D696"/>
  <c r="C696"/>
  <c r="J695"/>
  <c r="E695"/>
  <c r="D695"/>
  <c r="C695"/>
  <c r="J694"/>
  <c r="E694"/>
  <c r="D694"/>
  <c r="C694"/>
  <c r="J693"/>
  <c r="E693"/>
  <c r="D693"/>
  <c r="C693"/>
  <c r="J692"/>
  <c r="E692"/>
  <c r="D692"/>
  <c r="C692"/>
  <c r="J691"/>
  <c r="E691"/>
  <c r="D691"/>
  <c r="C691"/>
  <c r="J690"/>
  <c r="E690"/>
  <c r="D690"/>
  <c r="C690"/>
  <c r="J688"/>
  <c r="E688"/>
  <c r="D688"/>
  <c r="C688"/>
  <c r="J687"/>
  <c r="E687"/>
  <c r="D687"/>
  <c r="C687"/>
  <c r="J686"/>
  <c r="E686"/>
  <c r="D686"/>
  <c r="C686"/>
  <c r="J685"/>
  <c r="E685"/>
  <c r="D685"/>
  <c r="C685"/>
  <c r="J684"/>
  <c r="E684"/>
  <c r="D684"/>
  <c r="C684"/>
  <c r="J683"/>
  <c r="E683"/>
  <c r="D683"/>
  <c r="C683"/>
  <c r="J682"/>
  <c r="E682"/>
  <c r="D682"/>
  <c r="C682"/>
  <c r="J681"/>
  <c r="E681"/>
  <c r="D681"/>
  <c r="C681"/>
  <c r="J680"/>
  <c r="E680"/>
  <c r="D680"/>
  <c r="C680"/>
  <c r="J679"/>
  <c r="E679"/>
  <c r="D679"/>
  <c r="C679"/>
  <c r="J677"/>
  <c r="E677"/>
  <c r="D677"/>
  <c r="C677"/>
  <c r="J676"/>
  <c r="E676"/>
  <c r="D676"/>
  <c r="C676"/>
  <c r="J675"/>
  <c r="E675"/>
  <c r="D675"/>
  <c r="C675"/>
  <c r="J674"/>
  <c r="E674"/>
  <c r="D674"/>
  <c r="C674"/>
  <c r="J673"/>
  <c r="E673"/>
  <c r="D673"/>
  <c r="C673"/>
  <c r="J672"/>
  <c r="E672"/>
  <c r="D672"/>
  <c r="C672"/>
  <c r="J671"/>
  <c r="E671"/>
  <c r="D671"/>
  <c r="C671"/>
  <c r="J670"/>
  <c r="E670"/>
  <c r="D670"/>
  <c r="C670"/>
  <c r="J669"/>
  <c r="E669"/>
  <c r="D669"/>
  <c r="C669"/>
  <c r="J667"/>
  <c r="E667"/>
  <c r="D667"/>
  <c r="C667"/>
  <c r="J666"/>
  <c r="E666"/>
  <c r="D666"/>
  <c r="C666"/>
  <c r="J665"/>
  <c r="E665"/>
  <c r="D665"/>
  <c r="C665"/>
  <c r="J664"/>
  <c r="H664" s="1"/>
  <c r="L664" s="1"/>
  <c r="E664"/>
  <c r="D664"/>
  <c r="C664"/>
  <c r="J663"/>
  <c r="E663"/>
  <c r="D663"/>
  <c r="C663"/>
  <c r="J662"/>
  <c r="E662"/>
  <c r="D662"/>
  <c r="C662"/>
  <c r="J661"/>
  <c r="E661"/>
  <c r="D661"/>
  <c r="C661"/>
  <c r="J660"/>
  <c r="H660" s="1"/>
  <c r="L660" s="1"/>
  <c r="E660"/>
  <c r="D660"/>
  <c r="C660"/>
  <c r="J658"/>
  <c r="E658"/>
  <c r="D658"/>
  <c r="C658"/>
  <c r="J657"/>
  <c r="E657"/>
  <c r="D657"/>
  <c r="C657"/>
  <c r="J656"/>
  <c r="E656"/>
  <c r="D656"/>
  <c r="C656"/>
  <c r="J655"/>
  <c r="H655" s="1"/>
  <c r="L655" s="1"/>
  <c r="E655"/>
  <c r="D655"/>
  <c r="C655"/>
  <c r="J654"/>
  <c r="E654"/>
  <c r="D654"/>
  <c r="C654"/>
  <c r="J653"/>
  <c r="E653"/>
  <c r="D653"/>
  <c r="C653"/>
  <c r="J652"/>
  <c r="E652"/>
  <c r="D652"/>
  <c r="C652"/>
  <c r="J651"/>
  <c r="E651"/>
  <c r="D651"/>
  <c r="C651"/>
  <c r="J650"/>
  <c r="E650"/>
  <c r="D650"/>
  <c r="C650"/>
  <c r="J648"/>
  <c r="E648"/>
  <c r="D648"/>
  <c r="C648"/>
  <c r="J647"/>
  <c r="E647"/>
  <c r="D647"/>
  <c r="C647"/>
  <c r="J646"/>
  <c r="E646"/>
  <c r="D646"/>
  <c r="C646"/>
  <c r="J645"/>
  <c r="E645"/>
  <c r="D645"/>
  <c r="C645"/>
  <c r="J644"/>
  <c r="E644"/>
  <c r="D644"/>
  <c r="C644"/>
  <c r="J643"/>
  <c r="E643"/>
  <c r="D643"/>
  <c r="C643"/>
  <c r="J642"/>
  <c r="E642"/>
  <c r="D642"/>
  <c r="C642"/>
  <c r="J641"/>
  <c r="E641"/>
  <c r="D641"/>
  <c r="C641"/>
  <c r="J639"/>
  <c r="E639"/>
  <c r="D639"/>
  <c r="C639"/>
  <c r="J638"/>
  <c r="E638"/>
  <c r="D638"/>
  <c r="C638"/>
  <c r="J637"/>
  <c r="E637"/>
  <c r="D637"/>
  <c r="C637"/>
  <c r="J636"/>
  <c r="E636"/>
  <c r="D636"/>
  <c r="C636"/>
  <c r="J635"/>
  <c r="E635"/>
  <c r="D635"/>
  <c r="C635"/>
  <c r="J634"/>
  <c r="E634"/>
  <c r="D634"/>
  <c r="C634"/>
  <c r="J633"/>
  <c r="E633"/>
  <c r="D633"/>
  <c r="C633"/>
  <c r="J631"/>
  <c r="E631"/>
  <c r="D631"/>
  <c r="C631"/>
  <c r="J630"/>
  <c r="E630"/>
  <c r="D630"/>
  <c r="C630"/>
  <c r="J629"/>
  <c r="E629"/>
  <c r="D629"/>
  <c r="C629"/>
  <c r="J628"/>
  <c r="E628"/>
  <c r="D628"/>
  <c r="C628"/>
  <c r="J627"/>
  <c r="E627"/>
  <c r="D627"/>
  <c r="C627"/>
  <c r="J626"/>
  <c r="E626"/>
  <c r="D626"/>
  <c r="C626"/>
  <c r="J625"/>
  <c r="E625"/>
  <c r="D625"/>
  <c r="C625"/>
  <c r="J623"/>
  <c r="E623"/>
  <c r="D623"/>
  <c r="C623"/>
  <c r="J622"/>
  <c r="E622"/>
  <c r="D622"/>
  <c r="C622"/>
  <c r="J621"/>
  <c r="E621"/>
  <c r="D621"/>
  <c r="C621"/>
  <c r="J620"/>
  <c r="E620"/>
  <c r="D620"/>
  <c r="C620"/>
  <c r="J619"/>
  <c r="E619"/>
  <c r="D619"/>
  <c r="C619"/>
  <c r="J618"/>
  <c r="E618"/>
  <c r="D618"/>
  <c r="C618"/>
  <c r="J616"/>
  <c r="E616"/>
  <c r="D616"/>
  <c r="C616"/>
  <c r="J615"/>
  <c r="E615"/>
  <c r="D615"/>
  <c r="C615"/>
  <c r="J614"/>
  <c r="E614"/>
  <c r="D614"/>
  <c r="C614"/>
  <c r="J613"/>
  <c r="E613"/>
  <c r="D613"/>
  <c r="C613"/>
  <c r="J611"/>
  <c r="E611"/>
  <c r="D611"/>
  <c r="C611"/>
  <c r="J610"/>
  <c r="E610"/>
  <c r="D610"/>
  <c r="C610"/>
  <c r="J608"/>
  <c r="E608"/>
  <c r="D608"/>
  <c r="C608"/>
  <c r="Q602"/>
  <c r="P602"/>
  <c r="O602"/>
  <c r="M602"/>
  <c r="L602"/>
  <c r="K602"/>
  <c r="I602"/>
  <c r="H602"/>
  <c r="G602"/>
  <c r="E602"/>
  <c r="D602"/>
  <c r="C602"/>
  <c r="AS27" i="10" l="1"/>
  <c r="AS18"/>
  <c r="AS8"/>
  <c r="AS29"/>
  <c r="AS20"/>
  <c r="AS10"/>
  <c r="AN22"/>
  <c r="AL22"/>
  <c r="AJ22"/>
  <c r="AH22"/>
  <c r="AF22"/>
  <c r="AD22"/>
  <c r="AB22"/>
  <c r="Z22"/>
  <c r="X22"/>
  <c r="V22"/>
  <c r="T22"/>
  <c r="R22"/>
  <c r="P22"/>
  <c r="N22"/>
  <c r="L22"/>
  <c r="J22"/>
  <c r="H22"/>
  <c r="F22"/>
  <c r="D22"/>
  <c r="AM22"/>
  <c r="AK22"/>
  <c r="AI22"/>
  <c r="AG22"/>
  <c r="AE22"/>
  <c r="AC22"/>
  <c r="AA22"/>
  <c r="Y22"/>
  <c r="W22"/>
  <c r="U22"/>
  <c r="S22"/>
  <c r="Q22"/>
  <c r="O22"/>
  <c r="M22"/>
  <c r="K22"/>
  <c r="I22"/>
  <c r="G22"/>
  <c r="E22"/>
  <c r="C22"/>
  <c r="AN13"/>
  <c r="AL13"/>
  <c r="AJ13"/>
  <c r="AH13"/>
  <c r="AF13"/>
  <c r="AD13"/>
  <c r="AB13"/>
  <c r="Z13"/>
  <c r="X13"/>
  <c r="V13"/>
  <c r="T13"/>
  <c r="R13"/>
  <c r="P13"/>
  <c r="N13"/>
  <c r="L13"/>
  <c r="J13"/>
  <c r="H13"/>
  <c r="F13"/>
  <c r="D13"/>
  <c r="C13"/>
  <c r="AM13"/>
  <c r="AK13"/>
  <c r="AI13"/>
  <c r="AG13"/>
  <c r="AE13"/>
  <c r="AC13"/>
  <c r="AA13"/>
  <c r="Y13"/>
  <c r="W13"/>
  <c r="U13"/>
  <c r="S13"/>
  <c r="Q13"/>
  <c r="O13"/>
  <c r="M13"/>
  <c r="K13"/>
  <c r="I13"/>
  <c r="G13"/>
  <c r="E13"/>
  <c r="AM3"/>
  <c r="AK3"/>
  <c r="AI3"/>
  <c r="AG3"/>
  <c r="AE3"/>
  <c r="AC3"/>
  <c r="AA3"/>
  <c r="Y3"/>
  <c r="W3"/>
  <c r="U3"/>
  <c r="S3"/>
  <c r="Q3"/>
  <c r="O3"/>
  <c r="M3"/>
  <c r="K3"/>
  <c r="I3"/>
  <c r="G3"/>
  <c r="E3"/>
  <c r="C3"/>
  <c r="AN3"/>
  <c r="AL3"/>
  <c r="AJ3"/>
  <c r="AH3"/>
  <c r="AF3"/>
  <c r="AD3"/>
  <c r="AB3"/>
  <c r="Z3"/>
  <c r="X3"/>
  <c r="V3"/>
  <c r="T3"/>
  <c r="R3"/>
  <c r="P3"/>
  <c r="N3"/>
  <c r="L3"/>
  <c r="J3"/>
  <c r="H3"/>
  <c r="F3"/>
  <c r="D3"/>
  <c r="AM25"/>
  <c r="AK25"/>
  <c r="AI25"/>
  <c r="AG25"/>
  <c r="AE25"/>
  <c r="AC25"/>
  <c r="AA25"/>
  <c r="Y25"/>
  <c r="W25"/>
  <c r="U25"/>
  <c r="S25"/>
  <c r="Q25"/>
  <c r="O25"/>
  <c r="M25"/>
  <c r="K25"/>
  <c r="I25"/>
  <c r="G25"/>
  <c r="E25"/>
  <c r="C25"/>
  <c r="AN25"/>
  <c r="AL25"/>
  <c r="AJ25"/>
  <c r="AH25"/>
  <c r="AF25"/>
  <c r="AD25"/>
  <c r="AB25"/>
  <c r="Z25"/>
  <c r="X25"/>
  <c r="V25"/>
  <c r="T25"/>
  <c r="R25"/>
  <c r="P25"/>
  <c r="N25"/>
  <c r="L25"/>
  <c r="J25"/>
  <c r="H25"/>
  <c r="F25"/>
  <c r="D25"/>
  <c r="AM15"/>
  <c r="AK15"/>
  <c r="AI15"/>
  <c r="AG15"/>
  <c r="AE15"/>
  <c r="AC15"/>
  <c r="AA15"/>
  <c r="Y15"/>
  <c r="W15"/>
  <c r="U15"/>
  <c r="S15"/>
  <c r="Q15"/>
  <c r="O15"/>
  <c r="M15"/>
  <c r="K15"/>
  <c r="I15"/>
  <c r="G15"/>
  <c r="E15"/>
  <c r="C15"/>
  <c r="AN15"/>
  <c r="AL15"/>
  <c r="AJ15"/>
  <c r="AH15"/>
  <c r="AF15"/>
  <c r="AD15"/>
  <c r="AB15"/>
  <c r="Z15"/>
  <c r="X15"/>
  <c r="V15"/>
  <c r="T15"/>
  <c r="R15"/>
  <c r="P15"/>
  <c r="N15"/>
  <c r="L15"/>
  <c r="J15"/>
  <c r="H15"/>
  <c r="F15"/>
  <c r="D15"/>
  <c r="AN6"/>
  <c r="AL6"/>
  <c r="AJ6"/>
  <c r="AH6"/>
  <c r="AF6"/>
  <c r="AD6"/>
  <c r="AB6"/>
  <c r="Z6"/>
  <c r="X6"/>
  <c r="V6"/>
  <c r="T6"/>
  <c r="R6"/>
  <c r="P6"/>
  <c r="N6"/>
  <c r="L6"/>
  <c r="J6"/>
  <c r="H6"/>
  <c r="F6"/>
  <c r="D6"/>
  <c r="AM6"/>
  <c r="AK6"/>
  <c r="AI6"/>
  <c r="AG6"/>
  <c r="AE6"/>
  <c r="AC6"/>
  <c r="AA6"/>
  <c r="Y6"/>
  <c r="W6"/>
  <c r="U6"/>
  <c r="S6"/>
  <c r="Q6"/>
  <c r="O6"/>
  <c r="M6"/>
  <c r="K6"/>
  <c r="I6"/>
  <c r="G6"/>
  <c r="E6"/>
  <c r="C6"/>
  <c r="AN27"/>
  <c r="AL27"/>
  <c r="AJ27"/>
  <c r="AH27"/>
  <c r="AF27"/>
  <c r="AD27"/>
  <c r="AB27"/>
  <c r="Z27"/>
  <c r="X27"/>
  <c r="V27"/>
  <c r="T27"/>
  <c r="R27"/>
  <c r="P27"/>
  <c r="N27"/>
  <c r="L27"/>
  <c r="J27"/>
  <c r="H27"/>
  <c r="F27"/>
  <c r="D27"/>
  <c r="C27"/>
  <c r="AM27"/>
  <c r="AK27"/>
  <c r="AI27"/>
  <c r="AG27"/>
  <c r="AE27"/>
  <c r="AC27"/>
  <c r="AA27"/>
  <c r="Y27"/>
  <c r="W27"/>
  <c r="U27"/>
  <c r="S27"/>
  <c r="Q27"/>
  <c r="O27"/>
  <c r="M27"/>
  <c r="K27"/>
  <c r="I27"/>
  <c r="G27"/>
  <c r="E27"/>
  <c r="AN18"/>
  <c r="AL18"/>
  <c r="AJ18"/>
  <c r="AH18"/>
  <c r="AF18"/>
  <c r="AD18"/>
  <c r="AB18"/>
  <c r="Z18"/>
  <c r="X18"/>
  <c r="V18"/>
  <c r="T18"/>
  <c r="R18"/>
  <c r="P18"/>
  <c r="N18"/>
  <c r="L18"/>
  <c r="J18"/>
  <c r="H18"/>
  <c r="F18"/>
  <c r="D18"/>
  <c r="AM18"/>
  <c r="AK18"/>
  <c r="AI18"/>
  <c r="AG18"/>
  <c r="AE18"/>
  <c r="AC18"/>
  <c r="AA18"/>
  <c r="Y18"/>
  <c r="W18"/>
  <c r="U18"/>
  <c r="S18"/>
  <c r="Q18"/>
  <c r="O18"/>
  <c r="M18"/>
  <c r="K18"/>
  <c r="I18"/>
  <c r="G18"/>
  <c r="E18"/>
  <c r="C18"/>
  <c r="AN8"/>
  <c r="AL8"/>
  <c r="AJ8"/>
  <c r="AH8"/>
  <c r="AF8"/>
  <c r="AD8"/>
  <c r="AB8"/>
  <c r="Z8"/>
  <c r="X8"/>
  <c r="V8"/>
  <c r="T8"/>
  <c r="R8"/>
  <c r="P8"/>
  <c r="N8"/>
  <c r="L8"/>
  <c r="J8"/>
  <c r="H8"/>
  <c r="F8"/>
  <c r="D8"/>
  <c r="AM8"/>
  <c r="AK8"/>
  <c r="AI8"/>
  <c r="AG8"/>
  <c r="AE8"/>
  <c r="AC8"/>
  <c r="AA8"/>
  <c r="Y8"/>
  <c r="W8"/>
  <c r="U8"/>
  <c r="S8"/>
  <c r="Q8"/>
  <c r="O8"/>
  <c r="M8"/>
  <c r="K8"/>
  <c r="I8"/>
  <c r="G8"/>
  <c r="E8"/>
  <c r="C8"/>
  <c r="AM29"/>
  <c r="AK29"/>
  <c r="AI29"/>
  <c r="AG29"/>
  <c r="AE29"/>
  <c r="AC29"/>
  <c r="AA29"/>
  <c r="Y29"/>
  <c r="W29"/>
  <c r="U29"/>
  <c r="S29"/>
  <c r="Q29"/>
  <c r="O29"/>
  <c r="M29"/>
  <c r="K29"/>
  <c r="I29"/>
  <c r="G29"/>
  <c r="E29"/>
  <c r="C29"/>
  <c r="AN29"/>
  <c r="AL29"/>
  <c r="AJ29"/>
  <c r="AH29"/>
  <c r="AF29"/>
  <c r="AD29"/>
  <c r="AB29"/>
  <c r="Z29"/>
  <c r="X29"/>
  <c r="V29"/>
  <c r="T29"/>
  <c r="R29"/>
  <c r="P29"/>
  <c r="N29"/>
  <c r="L29"/>
  <c r="J29"/>
  <c r="H29"/>
  <c r="F29"/>
  <c r="D29"/>
  <c r="AM20"/>
  <c r="AK20"/>
  <c r="AI20"/>
  <c r="AG20"/>
  <c r="AE20"/>
  <c r="AC20"/>
  <c r="AA20"/>
  <c r="Y20"/>
  <c r="W20"/>
  <c r="U20"/>
  <c r="S20"/>
  <c r="Q20"/>
  <c r="O20"/>
  <c r="M20"/>
  <c r="K20"/>
  <c r="I20"/>
  <c r="G20"/>
  <c r="E20"/>
  <c r="AN20"/>
  <c r="AL20"/>
  <c r="AJ20"/>
  <c r="AH20"/>
  <c r="AF20"/>
  <c r="AD20"/>
  <c r="AB20"/>
  <c r="Z20"/>
  <c r="X20"/>
  <c r="V20"/>
  <c r="T20"/>
  <c r="R20"/>
  <c r="P20"/>
  <c r="N20"/>
  <c r="L20"/>
  <c r="J20"/>
  <c r="H20"/>
  <c r="F20"/>
  <c r="D20"/>
  <c r="C20"/>
  <c r="AM10"/>
  <c r="AK10"/>
  <c r="AI10"/>
  <c r="AG10"/>
  <c r="AE10"/>
  <c r="AC10"/>
  <c r="AA10"/>
  <c r="Y10"/>
  <c r="W10"/>
  <c r="U10"/>
  <c r="S10"/>
  <c r="Q10"/>
  <c r="O10"/>
  <c r="M10"/>
  <c r="K10"/>
  <c r="I10"/>
  <c r="G10"/>
  <c r="E10"/>
  <c r="AN10"/>
  <c r="AL10"/>
  <c r="AJ10"/>
  <c r="AH10"/>
  <c r="AF10"/>
  <c r="AD10"/>
  <c r="AB10"/>
  <c r="Z10"/>
  <c r="X10"/>
  <c r="V10"/>
  <c r="T10"/>
  <c r="R10"/>
  <c r="P10"/>
  <c r="N10"/>
  <c r="L10"/>
  <c r="J10"/>
  <c r="H10"/>
  <c r="F10"/>
  <c r="D10"/>
  <c r="C10"/>
  <c r="F291" i="17"/>
  <c r="Q608"/>
  <c r="O608"/>
  <c r="M608"/>
  <c r="K608"/>
  <c r="P608"/>
  <c r="N608"/>
  <c r="Q611"/>
  <c r="O611"/>
  <c r="M611"/>
  <c r="K611"/>
  <c r="P611"/>
  <c r="N611"/>
  <c r="P614"/>
  <c r="N614"/>
  <c r="Q614"/>
  <c r="M614"/>
  <c r="K614"/>
  <c r="O614"/>
  <c r="Q618"/>
  <c r="O618"/>
  <c r="M618"/>
  <c r="K618"/>
  <c r="P618"/>
  <c r="N618"/>
  <c r="Q620"/>
  <c r="O620"/>
  <c r="M620"/>
  <c r="K620"/>
  <c r="N620"/>
  <c r="P620"/>
  <c r="Q627"/>
  <c r="O627"/>
  <c r="M627"/>
  <c r="K627"/>
  <c r="P627"/>
  <c r="N627"/>
  <c r="Q629"/>
  <c r="O629"/>
  <c r="M629"/>
  <c r="K629"/>
  <c r="N629"/>
  <c r="P629"/>
  <c r="Q636"/>
  <c r="O636"/>
  <c r="M636"/>
  <c r="K636"/>
  <c r="P636"/>
  <c r="N636"/>
  <c r="Q638"/>
  <c r="O638"/>
  <c r="M638"/>
  <c r="K638"/>
  <c r="N638"/>
  <c r="P638"/>
  <c r="Q645"/>
  <c r="O645"/>
  <c r="M645"/>
  <c r="K645"/>
  <c r="P645"/>
  <c r="N645"/>
  <c r="Q647"/>
  <c r="O647"/>
  <c r="M647"/>
  <c r="K647"/>
  <c r="N647"/>
  <c r="P647"/>
  <c r="Q654"/>
  <c r="O654"/>
  <c r="M654"/>
  <c r="K654"/>
  <c r="P654"/>
  <c r="N654"/>
  <c r="Q656"/>
  <c r="O656"/>
  <c r="M656"/>
  <c r="K656"/>
  <c r="N656"/>
  <c r="P656"/>
  <c r="Q663"/>
  <c r="O663"/>
  <c r="M663"/>
  <c r="K663"/>
  <c r="P663"/>
  <c r="N663"/>
  <c r="Q665"/>
  <c r="O665"/>
  <c r="M665"/>
  <c r="K665"/>
  <c r="N665"/>
  <c r="P665"/>
  <c r="Q672"/>
  <c r="O672"/>
  <c r="M672"/>
  <c r="K672"/>
  <c r="P672"/>
  <c r="N672"/>
  <c r="Q674"/>
  <c r="O674"/>
  <c r="M674"/>
  <c r="K674"/>
  <c r="N674"/>
  <c r="P674"/>
  <c r="Q681"/>
  <c r="O681"/>
  <c r="M681"/>
  <c r="K681"/>
  <c r="P681"/>
  <c r="N681"/>
  <c r="Q683"/>
  <c r="O683"/>
  <c r="M683"/>
  <c r="K683"/>
  <c r="N683"/>
  <c r="P683"/>
  <c r="Q690"/>
  <c r="O690"/>
  <c r="M690"/>
  <c r="K690"/>
  <c r="P690"/>
  <c r="N690"/>
  <c r="Q692"/>
  <c r="O692"/>
  <c r="M692"/>
  <c r="K692"/>
  <c r="N692"/>
  <c r="P692"/>
  <c r="Q698"/>
  <c r="O698"/>
  <c r="M698"/>
  <c r="K698"/>
  <c r="P698"/>
  <c r="N698"/>
  <c r="Q701"/>
  <c r="O701"/>
  <c r="M701"/>
  <c r="K701"/>
  <c r="N701"/>
  <c r="P701"/>
  <c r="Q707"/>
  <c r="O707"/>
  <c r="M707"/>
  <c r="K707"/>
  <c r="P707"/>
  <c r="N707"/>
  <c r="Q709"/>
  <c r="O709"/>
  <c r="M709"/>
  <c r="K709"/>
  <c r="N709"/>
  <c r="P709"/>
  <c r="Q716"/>
  <c r="O716"/>
  <c r="M716"/>
  <c r="K716"/>
  <c r="P716"/>
  <c r="N716"/>
  <c r="Q718"/>
  <c r="O718"/>
  <c r="M718"/>
  <c r="K718"/>
  <c r="N718"/>
  <c r="P718"/>
  <c r="Q725"/>
  <c r="O725"/>
  <c r="M725"/>
  <c r="K725"/>
  <c r="P725"/>
  <c r="N725"/>
  <c r="Q727"/>
  <c r="O727"/>
  <c r="M727"/>
  <c r="K727"/>
  <c r="N727"/>
  <c r="P727"/>
  <c r="Q733"/>
  <c r="O733"/>
  <c r="M733"/>
  <c r="K733"/>
  <c r="P733"/>
  <c r="N733"/>
  <c r="Q736"/>
  <c r="O736"/>
  <c r="M736"/>
  <c r="K736"/>
  <c r="N736"/>
  <c r="P736"/>
  <c r="P610"/>
  <c r="N610"/>
  <c r="Q610"/>
  <c r="O610"/>
  <c r="M610"/>
  <c r="K610"/>
  <c r="P613"/>
  <c r="N613"/>
  <c r="Q613"/>
  <c r="O613"/>
  <c r="M613"/>
  <c r="K613"/>
  <c r="Q615"/>
  <c r="O615"/>
  <c r="M615"/>
  <c r="K615"/>
  <c r="N615"/>
  <c r="P615"/>
  <c r="Q622"/>
  <c r="O622"/>
  <c r="M622"/>
  <c r="K622"/>
  <c r="P622"/>
  <c r="N622"/>
  <c r="Q625"/>
  <c r="O625"/>
  <c r="M625"/>
  <c r="K625"/>
  <c r="N625"/>
  <c r="P625"/>
  <c r="Q631"/>
  <c r="O631"/>
  <c r="M631"/>
  <c r="K631"/>
  <c r="P631"/>
  <c r="N631"/>
  <c r="Q634"/>
  <c r="O634"/>
  <c r="M634"/>
  <c r="K634"/>
  <c r="N634"/>
  <c r="P634"/>
  <c r="Q641"/>
  <c r="O641"/>
  <c r="M641"/>
  <c r="K641"/>
  <c r="P641"/>
  <c r="N641"/>
  <c r="Q643"/>
  <c r="O643"/>
  <c r="M643"/>
  <c r="K643"/>
  <c r="N643"/>
  <c r="P643"/>
  <c r="Q650"/>
  <c r="O650"/>
  <c r="M650"/>
  <c r="K650"/>
  <c r="P650"/>
  <c r="N650"/>
  <c r="Q652"/>
  <c r="O652"/>
  <c r="M652"/>
  <c r="K652"/>
  <c r="N652"/>
  <c r="P652"/>
  <c r="Q658"/>
  <c r="O658"/>
  <c r="M658"/>
  <c r="K658"/>
  <c r="P658"/>
  <c r="N658"/>
  <c r="Q661"/>
  <c r="O661"/>
  <c r="M661"/>
  <c r="K661"/>
  <c r="N661"/>
  <c r="P661"/>
  <c r="Q667"/>
  <c r="O667"/>
  <c r="M667"/>
  <c r="K667"/>
  <c r="P667"/>
  <c r="N667"/>
  <c r="Q670"/>
  <c r="O670"/>
  <c r="M670"/>
  <c r="K670"/>
  <c r="N670"/>
  <c r="P670"/>
  <c r="Q676"/>
  <c r="O676"/>
  <c r="M676"/>
  <c r="K676"/>
  <c r="P676"/>
  <c r="N676"/>
  <c r="Q679"/>
  <c r="O679"/>
  <c r="M679"/>
  <c r="K679"/>
  <c r="N679"/>
  <c r="P679"/>
  <c r="Q685"/>
  <c r="O685"/>
  <c r="M685"/>
  <c r="K685"/>
  <c r="P685"/>
  <c r="N685"/>
  <c r="Q687"/>
  <c r="O687"/>
  <c r="M687"/>
  <c r="K687"/>
  <c r="N687"/>
  <c r="P687"/>
  <c r="Q694"/>
  <c r="O694"/>
  <c r="M694"/>
  <c r="K694"/>
  <c r="P694"/>
  <c r="N694"/>
  <c r="Q696"/>
  <c r="O696"/>
  <c r="M696"/>
  <c r="K696"/>
  <c r="N696"/>
  <c r="P696"/>
  <c r="Q703"/>
  <c r="O703"/>
  <c r="M703"/>
  <c r="K703"/>
  <c r="P703"/>
  <c r="N703"/>
  <c r="Q705"/>
  <c r="O705"/>
  <c r="M705"/>
  <c r="K705"/>
  <c r="N705"/>
  <c r="P705"/>
  <c r="Q712"/>
  <c r="O712"/>
  <c r="M712"/>
  <c r="K712"/>
  <c r="P712"/>
  <c r="N712"/>
  <c r="Q714"/>
  <c r="O714"/>
  <c r="M714"/>
  <c r="K714"/>
  <c r="N714"/>
  <c r="P714"/>
  <c r="Q720"/>
  <c r="O720"/>
  <c r="M720"/>
  <c r="K720"/>
  <c r="P720"/>
  <c r="N720"/>
  <c r="Q722"/>
  <c r="O722"/>
  <c r="M722"/>
  <c r="K722"/>
  <c r="N722"/>
  <c r="P722"/>
  <c r="Q729"/>
  <c r="O729"/>
  <c r="M729"/>
  <c r="K729"/>
  <c r="P729"/>
  <c r="N729"/>
  <c r="Q731"/>
  <c r="O731"/>
  <c r="M731"/>
  <c r="K731"/>
  <c r="N731"/>
  <c r="P731"/>
  <c r="P616"/>
  <c r="N616"/>
  <c r="I618"/>
  <c r="G618"/>
  <c r="P621"/>
  <c r="N621"/>
  <c r="I622"/>
  <c r="G622"/>
  <c r="P626"/>
  <c r="N626"/>
  <c r="I627"/>
  <c r="G627"/>
  <c r="P630"/>
  <c r="N630"/>
  <c r="I631"/>
  <c r="G631"/>
  <c r="P635"/>
  <c r="N635"/>
  <c r="I636"/>
  <c r="G636"/>
  <c r="P639"/>
  <c r="N639"/>
  <c r="I641"/>
  <c r="G641"/>
  <c r="P644"/>
  <c r="N644"/>
  <c r="I645"/>
  <c r="G645"/>
  <c r="P648"/>
  <c r="N648"/>
  <c r="I650"/>
  <c r="G650"/>
  <c r="P653"/>
  <c r="N653"/>
  <c r="I654"/>
  <c r="G654"/>
  <c r="P657"/>
  <c r="N657"/>
  <c r="I658"/>
  <c r="G658"/>
  <c r="P662"/>
  <c r="N662"/>
  <c r="I663"/>
  <c r="G663"/>
  <c r="P666"/>
  <c r="N666"/>
  <c r="I667"/>
  <c r="G667"/>
  <c r="P671"/>
  <c r="N671"/>
  <c r="I672"/>
  <c r="G672"/>
  <c r="P675"/>
  <c r="N675"/>
  <c r="I676"/>
  <c r="G676"/>
  <c r="P680"/>
  <c r="N680"/>
  <c r="I681"/>
  <c r="G681"/>
  <c r="P684"/>
  <c r="N684"/>
  <c r="I685"/>
  <c r="G685"/>
  <c r="P688"/>
  <c r="N688"/>
  <c r="I690"/>
  <c r="G690"/>
  <c r="P693"/>
  <c r="N693"/>
  <c r="I694"/>
  <c r="G694"/>
  <c r="P697"/>
  <c r="N697"/>
  <c r="I698"/>
  <c r="G698"/>
  <c r="P702"/>
  <c r="N702"/>
  <c r="I703"/>
  <c r="G703"/>
  <c r="P706"/>
  <c r="N706"/>
  <c r="I707"/>
  <c r="G707"/>
  <c r="P710"/>
  <c r="N710"/>
  <c r="I712"/>
  <c r="G712"/>
  <c r="P715"/>
  <c r="N715"/>
  <c r="I716"/>
  <c r="G716"/>
  <c r="P719"/>
  <c r="N719"/>
  <c r="I720"/>
  <c r="G720"/>
  <c r="P724"/>
  <c r="N724"/>
  <c r="I725"/>
  <c r="G725"/>
  <c r="P728"/>
  <c r="N728"/>
  <c r="I729"/>
  <c r="G729"/>
  <c r="P732"/>
  <c r="N732"/>
  <c r="I733"/>
  <c r="G733"/>
  <c r="Q737"/>
  <c r="O737"/>
  <c r="M737"/>
  <c r="P737"/>
  <c r="N737"/>
  <c r="P738"/>
  <c r="N738"/>
  <c r="Q738"/>
  <c r="O738"/>
  <c r="M738"/>
  <c r="K738"/>
  <c r="P740"/>
  <c r="N740"/>
  <c r="Q740"/>
  <c r="O740"/>
  <c r="M740"/>
  <c r="K740"/>
  <c r="P742"/>
  <c r="N742"/>
  <c r="Q742"/>
  <c r="O742"/>
  <c r="M742"/>
  <c r="K742"/>
  <c r="P744"/>
  <c r="N744"/>
  <c r="Q744"/>
  <c r="O744"/>
  <c r="M744"/>
  <c r="K744"/>
  <c r="P746"/>
  <c r="N746"/>
  <c r="Q746"/>
  <c r="O746"/>
  <c r="M746"/>
  <c r="K746"/>
  <c r="P749"/>
  <c r="N749"/>
  <c r="Q749"/>
  <c r="O749"/>
  <c r="M749"/>
  <c r="K749"/>
  <c r="P751"/>
  <c r="N751"/>
  <c r="Q751"/>
  <c r="O751"/>
  <c r="M751"/>
  <c r="K751"/>
  <c r="P753"/>
  <c r="N753"/>
  <c r="Q753"/>
  <c r="O753"/>
  <c r="M753"/>
  <c r="K753"/>
  <c r="P755"/>
  <c r="N755"/>
  <c r="Q755"/>
  <c r="O755"/>
  <c r="M755"/>
  <c r="K755"/>
  <c r="P757"/>
  <c r="N757"/>
  <c r="Q757"/>
  <c r="O757"/>
  <c r="M757"/>
  <c r="K757"/>
  <c r="P759"/>
  <c r="N759"/>
  <c r="Q759"/>
  <c r="O759"/>
  <c r="M759"/>
  <c r="K759"/>
  <c r="P762"/>
  <c r="N762"/>
  <c r="Q762"/>
  <c r="O762"/>
  <c r="M762"/>
  <c r="K762"/>
  <c r="P764"/>
  <c r="N764"/>
  <c r="Q764"/>
  <c r="O764"/>
  <c r="M764"/>
  <c r="K764"/>
  <c r="P766"/>
  <c r="N766"/>
  <c r="Q766"/>
  <c r="O766"/>
  <c r="M766"/>
  <c r="K766"/>
  <c r="P768"/>
  <c r="N768"/>
  <c r="Q768"/>
  <c r="O768"/>
  <c r="M768"/>
  <c r="K768"/>
  <c r="Q770"/>
  <c r="O770"/>
  <c r="M770"/>
  <c r="K770"/>
  <c r="P770"/>
  <c r="N770"/>
  <c r="Q772"/>
  <c r="O772"/>
  <c r="M772"/>
  <c r="K772"/>
  <c r="N772"/>
  <c r="P772"/>
  <c r="Q779"/>
  <c r="O779"/>
  <c r="M779"/>
  <c r="K779"/>
  <c r="P779"/>
  <c r="N779"/>
  <c r="Q781"/>
  <c r="O781"/>
  <c r="M781"/>
  <c r="K781"/>
  <c r="N781"/>
  <c r="P781"/>
  <c r="Q788"/>
  <c r="O788"/>
  <c r="M788"/>
  <c r="K788"/>
  <c r="P788"/>
  <c r="N788"/>
  <c r="Q790"/>
  <c r="O790"/>
  <c r="M790"/>
  <c r="K790"/>
  <c r="N790"/>
  <c r="P790"/>
  <c r="Q796"/>
  <c r="O796"/>
  <c r="M796"/>
  <c r="K796"/>
  <c r="P796"/>
  <c r="N796"/>
  <c r="Q798"/>
  <c r="O798"/>
  <c r="M798"/>
  <c r="K798"/>
  <c r="N798"/>
  <c r="P798"/>
  <c r="Q805"/>
  <c r="O805"/>
  <c r="M805"/>
  <c r="K805"/>
  <c r="P805"/>
  <c r="N805"/>
  <c r="Q807"/>
  <c r="O807"/>
  <c r="M807"/>
  <c r="K807"/>
  <c r="N807"/>
  <c r="P807"/>
  <c r="Q813"/>
  <c r="O813"/>
  <c r="M813"/>
  <c r="K813"/>
  <c r="P813"/>
  <c r="N813"/>
  <c r="Q816"/>
  <c r="O816"/>
  <c r="M816"/>
  <c r="K816"/>
  <c r="N816"/>
  <c r="P816"/>
  <c r="Q822"/>
  <c r="O822"/>
  <c r="M822"/>
  <c r="K822"/>
  <c r="P822"/>
  <c r="N822"/>
  <c r="Q824"/>
  <c r="O824"/>
  <c r="M824"/>
  <c r="K824"/>
  <c r="N824"/>
  <c r="P824"/>
  <c r="Q831"/>
  <c r="O831"/>
  <c r="M831"/>
  <c r="K831"/>
  <c r="P831"/>
  <c r="N831"/>
  <c r="Q833"/>
  <c r="O833"/>
  <c r="M833"/>
  <c r="K833"/>
  <c r="N833"/>
  <c r="P833"/>
  <c r="Q839"/>
  <c r="O839"/>
  <c r="M839"/>
  <c r="K839"/>
  <c r="P839"/>
  <c r="N839"/>
  <c r="Q841"/>
  <c r="O841"/>
  <c r="M841"/>
  <c r="K841"/>
  <c r="N841"/>
  <c r="P841"/>
  <c r="Q848"/>
  <c r="O848"/>
  <c r="M848"/>
  <c r="K848"/>
  <c r="P848"/>
  <c r="N848"/>
  <c r="Q850"/>
  <c r="O850"/>
  <c r="M850"/>
  <c r="K850"/>
  <c r="N850"/>
  <c r="P850"/>
  <c r="Q856"/>
  <c r="O856"/>
  <c r="M856"/>
  <c r="K856"/>
  <c r="P856"/>
  <c r="N856"/>
  <c r="Q858"/>
  <c r="O858"/>
  <c r="M858"/>
  <c r="K858"/>
  <c r="N858"/>
  <c r="P858"/>
  <c r="Q865"/>
  <c r="O865"/>
  <c r="M865"/>
  <c r="K865"/>
  <c r="N865"/>
  <c r="P865"/>
  <c r="Q874"/>
  <c r="O874"/>
  <c r="M874"/>
  <c r="K874"/>
  <c r="N874"/>
  <c r="P874"/>
  <c r="Q882"/>
  <c r="O882"/>
  <c r="M882"/>
  <c r="K882"/>
  <c r="N882"/>
  <c r="P882"/>
  <c r="Q891"/>
  <c r="O891"/>
  <c r="M891"/>
  <c r="K891"/>
  <c r="N891"/>
  <c r="P891"/>
  <c r="Q900"/>
  <c r="O900"/>
  <c r="M900"/>
  <c r="K900"/>
  <c r="N900"/>
  <c r="P900"/>
  <c r="Q909"/>
  <c r="O909"/>
  <c r="M909"/>
  <c r="K909"/>
  <c r="N909"/>
  <c r="P909"/>
  <c r="Q919"/>
  <c r="O919"/>
  <c r="M919"/>
  <c r="K919"/>
  <c r="N919"/>
  <c r="P919"/>
  <c r="D596"/>
  <c r="G610"/>
  <c r="G613"/>
  <c r="M616"/>
  <c r="Q616"/>
  <c r="K619"/>
  <c r="M621"/>
  <c r="Q621"/>
  <c r="K623"/>
  <c r="M626"/>
  <c r="Q626"/>
  <c r="K628"/>
  <c r="M630"/>
  <c r="Q630"/>
  <c r="K633"/>
  <c r="M635"/>
  <c r="Q635"/>
  <c r="K637"/>
  <c r="M639"/>
  <c r="Q639"/>
  <c r="K642"/>
  <c r="M644"/>
  <c r="Q644"/>
  <c r="K646"/>
  <c r="M648"/>
  <c r="Q648"/>
  <c r="K651"/>
  <c r="M653"/>
  <c r="Q653"/>
  <c r="K655"/>
  <c r="M657"/>
  <c r="Q657"/>
  <c r="K660"/>
  <c r="M662"/>
  <c r="Q662"/>
  <c r="K664"/>
  <c r="M666"/>
  <c r="Q666"/>
  <c r="K669"/>
  <c r="M671"/>
  <c r="Q671"/>
  <c r="K673"/>
  <c r="M675"/>
  <c r="Q675"/>
  <c r="K677"/>
  <c r="M680"/>
  <c r="Q680"/>
  <c r="K682"/>
  <c r="M684"/>
  <c r="Q684"/>
  <c r="K686"/>
  <c r="M688"/>
  <c r="Q688"/>
  <c r="K691"/>
  <c r="M693"/>
  <c r="Q693"/>
  <c r="K695"/>
  <c r="M697"/>
  <c r="Q697"/>
  <c r="K699"/>
  <c r="M702"/>
  <c r="Q702"/>
  <c r="K704"/>
  <c r="M706"/>
  <c r="Q706"/>
  <c r="K708"/>
  <c r="M710"/>
  <c r="Q710"/>
  <c r="K713"/>
  <c r="M715"/>
  <c r="Q715"/>
  <c r="K717"/>
  <c r="M719"/>
  <c r="Q719"/>
  <c r="K721"/>
  <c r="M724"/>
  <c r="Q724"/>
  <c r="K726"/>
  <c r="M728"/>
  <c r="Q728"/>
  <c r="K730"/>
  <c r="M732"/>
  <c r="Q732"/>
  <c r="K734"/>
  <c r="F932"/>
  <c r="D932"/>
  <c r="I615"/>
  <c r="G615"/>
  <c r="P619"/>
  <c r="N619"/>
  <c r="I620"/>
  <c r="G620"/>
  <c r="P623"/>
  <c r="N623"/>
  <c r="I625"/>
  <c r="G625"/>
  <c r="P628"/>
  <c r="N628"/>
  <c r="I629"/>
  <c r="G629"/>
  <c r="P633"/>
  <c r="N633"/>
  <c r="I634"/>
  <c r="G634"/>
  <c r="P637"/>
  <c r="N637"/>
  <c r="I638"/>
  <c r="G638"/>
  <c r="P642"/>
  <c r="N642"/>
  <c r="I643"/>
  <c r="G643"/>
  <c r="P646"/>
  <c r="N646"/>
  <c r="I647"/>
  <c r="G647"/>
  <c r="P651"/>
  <c r="N651"/>
  <c r="I652"/>
  <c r="G652"/>
  <c r="P655"/>
  <c r="N655"/>
  <c r="I656"/>
  <c r="G656"/>
  <c r="P660"/>
  <c r="N660"/>
  <c r="I661"/>
  <c r="G661"/>
  <c r="P664"/>
  <c r="N664"/>
  <c r="I665"/>
  <c r="G665"/>
  <c r="P669"/>
  <c r="N669"/>
  <c r="I670"/>
  <c r="G670"/>
  <c r="P673"/>
  <c r="N673"/>
  <c r="I674"/>
  <c r="G674"/>
  <c r="P677"/>
  <c r="N677"/>
  <c r="I679"/>
  <c r="G679"/>
  <c r="P682"/>
  <c r="N682"/>
  <c r="I683"/>
  <c r="G683"/>
  <c r="P686"/>
  <c r="N686"/>
  <c r="I687"/>
  <c r="G687"/>
  <c r="P691"/>
  <c r="N691"/>
  <c r="I692"/>
  <c r="G692"/>
  <c r="P695"/>
  <c r="N695"/>
  <c r="I696"/>
  <c r="G696"/>
  <c r="P699"/>
  <c r="N699"/>
  <c r="I701"/>
  <c r="G701"/>
  <c r="P704"/>
  <c r="N704"/>
  <c r="I705"/>
  <c r="G705"/>
  <c r="P708"/>
  <c r="N708"/>
  <c r="I709"/>
  <c r="G709"/>
  <c r="P713"/>
  <c r="N713"/>
  <c r="I714"/>
  <c r="G714"/>
  <c r="P717"/>
  <c r="N717"/>
  <c r="I718"/>
  <c r="G718"/>
  <c r="P721"/>
  <c r="N721"/>
  <c r="I722"/>
  <c r="G722"/>
  <c r="P726"/>
  <c r="N726"/>
  <c r="I727"/>
  <c r="G727"/>
  <c r="P730"/>
  <c r="N730"/>
  <c r="I731"/>
  <c r="G731"/>
  <c r="P734"/>
  <c r="N734"/>
  <c r="I736"/>
  <c r="G736"/>
  <c r="Q739"/>
  <c r="O739"/>
  <c r="M739"/>
  <c r="K739"/>
  <c r="P739"/>
  <c r="N739"/>
  <c r="Q741"/>
  <c r="O741"/>
  <c r="M741"/>
  <c r="K741"/>
  <c r="P741"/>
  <c r="N741"/>
  <c r="Q743"/>
  <c r="O743"/>
  <c r="M743"/>
  <c r="K743"/>
  <c r="P743"/>
  <c r="N743"/>
  <c r="Q745"/>
  <c r="O745"/>
  <c r="M745"/>
  <c r="K745"/>
  <c r="P745"/>
  <c r="N745"/>
  <c r="Q748"/>
  <c r="O748"/>
  <c r="M748"/>
  <c r="K748"/>
  <c r="P748"/>
  <c r="N748"/>
  <c r="Q750"/>
  <c r="O750"/>
  <c r="M750"/>
  <c r="K750"/>
  <c r="P750"/>
  <c r="N750"/>
  <c r="Q752"/>
  <c r="O752"/>
  <c r="M752"/>
  <c r="K752"/>
  <c r="P752"/>
  <c r="N752"/>
  <c r="Q754"/>
  <c r="O754"/>
  <c r="M754"/>
  <c r="K754"/>
  <c r="P754"/>
  <c r="N754"/>
  <c r="Q756"/>
  <c r="O756"/>
  <c r="M756"/>
  <c r="K756"/>
  <c r="P756"/>
  <c r="N756"/>
  <c r="Q758"/>
  <c r="O758"/>
  <c r="M758"/>
  <c r="K758"/>
  <c r="P758"/>
  <c r="N758"/>
  <c r="Q761"/>
  <c r="O761"/>
  <c r="M761"/>
  <c r="K761"/>
  <c r="P761"/>
  <c r="N761"/>
  <c r="Q763"/>
  <c r="O763"/>
  <c r="M763"/>
  <c r="K763"/>
  <c r="P763"/>
  <c r="N763"/>
  <c r="Q765"/>
  <c r="O765"/>
  <c r="M765"/>
  <c r="K765"/>
  <c r="P765"/>
  <c r="N765"/>
  <c r="Q767"/>
  <c r="O767"/>
  <c r="M767"/>
  <c r="K767"/>
  <c r="P767"/>
  <c r="N767"/>
  <c r="Q775"/>
  <c r="O775"/>
  <c r="M775"/>
  <c r="K775"/>
  <c r="P775"/>
  <c r="N775"/>
  <c r="Q777"/>
  <c r="O777"/>
  <c r="M777"/>
  <c r="K777"/>
  <c r="N777"/>
  <c r="P777"/>
  <c r="Q783"/>
  <c r="O783"/>
  <c r="M783"/>
  <c r="K783"/>
  <c r="P783"/>
  <c r="N783"/>
  <c r="Q785"/>
  <c r="O785"/>
  <c r="M785"/>
  <c r="K785"/>
  <c r="N785"/>
  <c r="P785"/>
  <c r="Q792"/>
  <c r="O792"/>
  <c r="M792"/>
  <c r="K792"/>
  <c r="P792"/>
  <c r="N792"/>
  <c r="Q794"/>
  <c r="O794"/>
  <c r="M794"/>
  <c r="K794"/>
  <c r="N794"/>
  <c r="P794"/>
  <c r="Q800"/>
  <c r="O800"/>
  <c r="M800"/>
  <c r="K800"/>
  <c r="P800"/>
  <c r="N800"/>
  <c r="Q803"/>
  <c r="O803"/>
  <c r="M803"/>
  <c r="K803"/>
  <c r="N803"/>
  <c r="P803"/>
  <c r="Q809"/>
  <c r="O809"/>
  <c r="M809"/>
  <c r="K809"/>
  <c r="P809"/>
  <c r="N809"/>
  <c r="Q811"/>
  <c r="O811"/>
  <c r="M811"/>
  <c r="K811"/>
  <c r="N811"/>
  <c r="P811"/>
  <c r="Q818"/>
  <c r="O818"/>
  <c r="M818"/>
  <c r="K818"/>
  <c r="P818"/>
  <c r="N818"/>
  <c r="Q820"/>
  <c r="O820"/>
  <c r="M820"/>
  <c r="K820"/>
  <c r="N820"/>
  <c r="P820"/>
  <c r="Q826"/>
  <c r="O826"/>
  <c r="M826"/>
  <c r="K826"/>
  <c r="P826"/>
  <c r="N826"/>
  <c r="Q828"/>
  <c r="O828"/>
  <c r="M828"/>
  <c r="K828"/>
  <c r="N828"/>
  <c r="P828"/>
  <c r="Q835"/>
  <c r="O835"/>
  <c r="M835"/>
  <c r="K835"/>
  <c r="P835"/>
  <c r="N835"/>
  <c r="Q837"/>
  <c r="O837"/>
  <c r="M837"/>
  <c r="K837"/>
  <c r="N837"/>
  <c r="P837"/>
  <c r="Q843"/>
  <c r="O843"/>
  <c r="M843"/>
  <c r="K843"/>
  <c r="P843"/>
  <c r="N843"/>
  <c r="Q845"/>
  <c r="O845"/>
  <c r="M845"/>
  <c r="K845"/>
  <c r="N845"/>
  <c r="P845"/>
  <c r="Q852"/>
  <c r="O852"/>
  <c r="M852"/>
  <c r="K852"/>
  <c r="P852"/>
  <c r="N852"/>
  <c r="Q854"/>
  <c r="O854"/>
  <c r="M854"/>
  <c r="K854"/>
  <c r="N854"/>
  <c r="P854"/>
  <c r="Q861"/>
  <c r="O861"/>
  <c r="M861"/>
  <c r="K861"/>
  <c r="P861"/>
  <c r="N861"/>
  <c r="Q863"/>
  <c r="O863"/>
  <c r="M863"/>
  <c r="K863"/>
  <c r="N863"/>
  <c r="P863"/>
  <c r="Q869"/>
  <c r="O869"/>
  <c r="M869"/>
  <c r="K869"/>
  <c r="N869"/>
  <c r="P869"/>
  <c r="Q878"/>
  <c r="O878"/>
  <c r="M878"/>
  <c r="K878"/>
  <c r="N878"/>
  <c r="P878"/>
  <c r="Q887"/>
  <c r="O887"/>
  <c r="M887"/>
  <c r="K887"/>
  <c r="N887"/>
  <c r="P887"/>
  <c r="Q896"/>
  <c r="O896"/>
  <c r="M896"/>
  <c r="K896"/>
  <c r="N896"/>
  <c r="P896"/>
  <c r="Q905"/>
  <c r="O905"/>
  <c r="M905"/>
  <c r="K905"/>
  <c r="N905"/>
  <c r="P905"/>
  <c r="Q914"/>
  <c r="O914"/>
  <c r="M914"/>
  <c r="K914"/>
  <c r="N914"/>
  <c r="P914"/>
  <c r="Q924"/>
  <c r="O924"/>
  <c r="M924"/>
  <c r="K924"/>
  <c r="N924"/>
  <c r="P924"/>
  <c r="F596"/>
  <c r="M619"/>
  <c r="Q619"/>
  <c r="M623"/>
  <c r="Q623"/>
  <c r="M628"/>
  <c r="Q628"/>
  <c r="M633"/>
  <c r="Q633"/>
  <c r="M637"/>
  <c r="Q637"/>
  <c r="M642"/>
  <c r="Q642"/>
  <c r="M646"/>
  <c r="Q646"/>
  <c r="M651"/>
  <c r="Q651"/>
  <c r="M655"/>
  <c r="Q655"/>
  <c r="M660"/>
  <c r="Q660"/>
  <c r="M664"/>
  <c r="Q664"/>
  <c r="M669"/>
  <c r="Q669"/>
  <c r="M673"/>
  <c r="Q673"/>
  <c r="M677"/>
  <c r="Q677"/>
  <c r="M682"/>
  <c r="Q682"/>
  <c r="M686"/>
  <c r="Q686"/>
  <c r="M691"/>
  <c r="Q691"/>
  <c r="M695"/>
  <c r="Q695"/>
  <c r="M699"/>
  <c r="Q699"/>
  <c r="M704"/>
  <c r="Q704"/>
  <c r="M708"/>
  <c r="Q708"/>
  <c r="M713"/>
  <c r="Q713"/>
  <c r="M717"/>
  <c r="Q717"/>
  <c r="M721"/>
  <c r="Q721"/>
  <c r="M726"/>
  <c r="Q726"/>
  <c r="M730"/>
  <c r="Q730"/>
  <c r="M734"/>
  <c r="Q734"/>
  <c r="P769"/>
  <c r="N769"/>
  <c r="I770"/>
  <c r="G770"/>
  <c r="P774"/>
  <c r="N774"/>
  <c r="I775"/>
  <c r="G775"/>
  <c r="P778"/>
  <c r="N778"/>
  <c r="I779"/>
  <c r="G779"/>
  <c r="P782"/>
  <c r="N782"/>
  <c r="I783"/>
  <c r="G783"/>
  <c r="P786"/>
  <c r="N786"/>
  <c r="I788"/>
  <c r="G788"/>
  <c r="P791"/>
  <c r="N791"/>
  <c r="I792"/>
  <c r="G792"/>
  <c r="P795"/>
  <c r="N795"/>
  <c r="I796"/>
  <c r="G796"/>
  <c r="P799"/>
  <c r="N799"/>
  <c r="I800"/>
  <c r="G800"/>
  <c r="P804"/>
  <c r="N804"/>
  <c r="I805"/>
  <c r="G805"/>
  <c r="P808"/>
  <c r="N808"/>
  <c r="I809"/>
  <c r="G809"/>
  <c r="P812"/>
  <c r="N812"/>
  <c r="I813"/>
  <c r="G813"/>
  <c r="P817"/>
  <c r="N817"/>
  <c r="I818"/>
  <c r="G818"/>
  <c r="P821"/>
  <c r="N821"/>
  <c r="I822"/>
  <c r="G822"/>
  <c r="P825"/>
  <c r="N825"/>
  <c r="I826"/>
  <c r="G826"/>
  <c r="P829"/>
  <c r="N829"/>
  <c r="I831"/>
  <c r="G831"/>
  <c r="P834"/>
  <c r="N834"/>
  <c r="I835"/>
  <c r="G835"/>
  <c r="P838"/>
  <c r="N838"/>
  <c r="I839"/>
  <c r="G839"/>
  <c r="P842"/>
  <c r="N842"/>
  <c r="I843"/>
  <c r="G843"/>
  <c r="P847"/>
  <c r="N847"/>
  <c r="I848"/>
  <c r="G848"/>
  <c r="P851"/>
  <c r="N851"/>
  <c r="I852"/>
  <c r="G852"/>
  <c r="P855"/>
  <c r="N855"/>
  <c r="I856"/>
  <c r="G856"/>
  <c r="P859"/>
  <c r="N859"/>
  <c r="I861"/>
  <c r="G861"/>
  <c r="P864"/>
  <c r="Q864"/>
  <c r="N864"/>
  <c r="I867"/>
  <c r="G867"/>
  <c r="H867"/>
  <c r="L867" s="1"/>
  <c r="I871"/>
  <c r="G871"/>
  <c r="H871"/>
  <c r="L871" s="1"/>
  <c r="I876"/>
  <c r="G876"/>
  <c r="H876"/>
  <c r="L876" s="1"/>
  <c r="I880"/>
  <c r="G880"/>
  <c r="H880"/>
  <c r="L880" s="1"/>
  <c r="I884"/>
  <c r="G884"/>
  <c r="H884"/>
  <c r="L884" s="1"/>
  <c r="I889"/>
  <c r="G889"/>
  <c r="H889"/>
  <c r="L889" s="1"/>
  <c r="I893"/>
  <c r="G893"/>
  <c r="H893"/>
  <c r="L893" s="1"/>
  <c r="I898"/>
  <c r="G898"/>
  <c r="H898"/>
  <c r="L898" s="1"/>
  <c r="I902"/>
  <c r="G902"/>
  <c r="H902"/>
  <c r="L902" s="1"/>
  <c r="I907"/>
  <c r="G907"/>
  <c r="H907"/>
  <c r="L907" s="1"/>
  <c r="I911"/>
  <c r="G911"/>
  <c r="H911"/>
  <c r="L911" s="1"/>
  <c r="I916"/>
  <c r="G916"/>
  <c r="H916"/>
  <c r="L916" s="1"/>
  <c r="I921"/>
  <c r="G921"/>
  <c r="H921"/>
  <c r="L921" s="1"/>
  <c r="I926"/>
  <c r="G926"/>
  <c r="H926"/>
  <c r="L926" s="1"/>
  <c r="G738"/>
  <c r="G740"/>
  <c r="G742"/>
  <c r="G744"/>
  <c r="G746"/>
  <c r="G749"/>
  <c r="G751"/>
  <c r="G753"/>
  <c r="G755"/>
  <c r="G757"/>
  <c r="G759"/>
  <c r="G762"/>
  <c r="G764"/>
  <c r="G766"/>
  <c r="G768"/>
  <c r="M769"/>
  <c r="Q769"/>
  <c r="K771"/>
  <c r="M774"/>
  <c r="Q774"/>
  <c r="K776"/>
  <c r="M778"/>
  <c r="Q778"/>
  <c r="K780"/>
  <c r="M782"/>
  <c r="Q782"/>
  <c r="K784"/>
  <c r="M786"/>
  <c r="Q786"/>
  <c r="K789"/>
  <c r="M791"/>
  <c r="Q791"/>
  <c r="K793"/>
  <c r="M795"/>
  <c r="Q795"/>
  <c r="K797"/>
  <c r="M799"/>
  <c r="Q799"/>
  <c r="K802"/>
  <c r="M804"/>
  <c r="Q804"/>
  <c r="K806"/>
  <c r="M808"/>
  <c r="Q808"/>
  <c r="K810"/>
  <c r="M812"/>
  <c r="Q812"/>
  <c r="K814"/>
  <c r="M817"/>
  <c r="Q817"/>
  <c r="K819"/>
  <c r="M821"/>
  <c r="Q821"/>
  <c r="K823"/>
  <c r="M825"/>
  <c r="Q825"/>
  <c r="K827"/>
  <c r="M829"/>
  <c r="Q829"/>
  <c r="K832"/>
  <c r="M834"/>
  <c r="Q834"/>
  <c r="K836"/>
  <c r="M838"/>
  <c r="Q838"/>
  <c r="K840"/>
  <c r="M842"/>
  <c r="Q842"/>
  <c r="K844"/>
  <c r="M847"/>
  <c r="Q847"/>
  <c r="K849"/>
  <c r="M851"/>
  <c r="Q851"/>
  <c r="K853"/>
  <c r="M855"/>
  <c r="Q855"/>
  <c r="K857"/>
  <c r="M859"/>
  <c r="Q859"/>
  <c r="K862"/>
  <c r="M864"/>
  <c r="P771"/>
  <c r="N771"/>
  <c r="I772"/>
  <c r="G772"/>
  <c r="P776"/>
  <c r="N776"/>
  <c r="I777"/>
  <c r="G777"/>
  <c r="P780"/>
  <c r="N780"/>
  <c r="I781"/>
  <c r="G781"/>
  <c r="P784"/>
  <c r="N784"/>
  <c r="I785"/>
  <c r="G785"/>
  <c r="P789"/>
  <c r="N789"/>
  <c r="I790"/>
  <c r="G790"/>
  <c r="P793"/>
  <c r="N793"/>
  <c r="I794"/>
  <c r="G794"/>
  <c r="P797"/>
  <c r="N797"/>
  <c r="I798"/>
  <c r="G798"/>
  <c r="P802"/>
  <c r="N802"/>
  <c r="I803"/>
  <c r="G803"/>
  <c r="P806"/>
  <c r="N806"/>
  <c r="I807"/>
  <c r="G807"/>
  <c r="P810"/>
  <c r="N810"/>
  <c r="I811"/>
  <c r="G811"/>
  <c r="P814"/>
  <c r="N814"/>
  <c r="I816"/>
  <c r="G816"/>
  <c r="P819"/>
  <c r="N819"/>
  <c r="I820"/>
  <c r="G820"/>
  <c r="P823"/>
  <c r="N823"/>
  <c r="I824"/>
  <c r="G824"/>
  <c r="P827"/>
  <c r="N827"/>
  <c r="I828"/>
  <c r="G828"/>
  <c r="P832"/>
  <c r="N832"/>
  <c r="I833"/>
  <c r="G833"/>
  <c r="P836"/>
  <c r="N836"/>
  <c r="I837"/>
  <c r="G837"/>
  <c r="P840"/>
  <c r="N840"/>
  <c r="I841"/>
  <c r="G841"/>
  <c r="P844"/>
  <c r="N844"/>
  <c r="I845"/>
  <c r="G845"/>
  <c r="P849"/>
  <c r="N849"/>
  <c r="I850"/>
  <c r="G850"/>
  <c r="P853"/>
  <c r="N853"/>
  <c r="I854"/>
  <c r="G854"/>
  <c r="P857"/>
  <c r="N857"/>
  <c r="I858"/>
  <c r="G858"/>
  <c r="P862"/>
  <c r="N862"/>
  <c r="I863"/>
  <c r="G863"/>
  <c r="P866"/>
  <c r="N866"/>
  <c r="O866"/>
  <c r="K866"/>
  <c r="P870"/>
  <c r="N870"/>
  <c r="O870"/>
  <c r="K870"/>
  <c r="P875"/>
  <c r="N875"/>
  <c r="O875"/>
  <c r="K875"/>
  <c r="P879"/>
  <c r="N879"/>
  <c r="O879"/>
  <c r="K879"/>
  <c r="P883"/>
  <c r="N883"/>
  <c r="O883"/>
  <c r="K883"/>
  <c r="P888"/>
  <c r="N888"/>
  <c r="O888"/>
  <c r="K888"/>
  <c r="P892"/>
  <c r="N892"/>
  <c r="O892"/>
  <c r="K892"/>
  <c r="P897"/>
  <c r="N897"/>
  <c r="O897"/>
  <c r="K897"/>
  <c r="P901"/>
  <c r="N901"/>
  <c r="O901"/>
  <c r="K901"/>
  <c r="P906"/>
  <c r="N906"/>
  <c r="O906"/>
  <c r="K906"/>
  <c r="P910"/>
  <c r="N910"/>
  <c r="O910"/>
  <c r="K910"/>
  <c r="P915"/>
  <c r="N915"/>
  <c r="O915"/>
  <c r="K915"/>
  <c r="P920"/>
  <c r="N920"/>
  <c r="O920"/>
  <c r="K920"/>
  <c r="P925"/>
  <c r="N925"/>
  <c r="O925"/>
  <c r="K925"/>
  <c r="M771"/>
  <c r="Q771"/>
  <c r="M776"/>
  <c r="Q776"/>
  <c r="M780"/>
  <c r="Q780"/>
  <c r="M784"/>
  <c r="Q784"/>
  <c r="M789"/>
  <c r="Q789"/>
  <c r="M793"/>
  <c r="Q793"/>
  <c r="M797"/>
  <c r="Q797"/>
  <c r="M802"/>
  <c r="Q802"/>
  <c r="M806"/>
  <c r="Q806"/>
  <c r="M810"/>
  <c r="Q810"/>
  <c r="M814"/>
  <c r="Q814"/>
  <c r="M819"/>
  <c r="Q819"/>
  <c r="M823"/>
  <c r="Q823"/>
  <c r="M827"/>
  <c r="Q827"/>
  <c r="M832"/>
  <c r="Q832"/>
  <c r="M836"/>
  <c r="Q836"/>
  <c r="M840"/>
  <c r="Q840"/>
  <c r="M844"/>
  <c r="Q844"/>
  <c r="M849"/>
  <c r="Q849"/>
  <c r="M853"/>
  <c r="Q853"/>
  <c r="M857"/>
  <c r="Q857"/>
  <c r="M862"/>
  <c r="Q862"/>
  <c r="Q866"/>
  <c r="Q870"/>
  <c r="Q875"/>
  <c r="Q879"/>
  <c r="Q883"/>
  <c r="Q888"/>
  <c r="Q892"/>
  <c r="Q897"/>
  <c r="Q901"/>
  <c r="Q906"/>
  <c r="Q910"/>
  <c r="Q915"/>
  <c r="Q920"/>
  <c r="Q925"/>
  <c r="I865"/>
  <c r="G865"/>
  <c r="P868"/>
  <c r="N868"/>
  <c r="I869"/>
  <c r="G869"/>
  <c r="P872"/>
  <c r="N872"/>
  <c r="I874"/>
  <c r="G874"/>
  <c r="P877"/>
  <c r="N877"/>
  <c r="I878"/>
  <c r="G878"/>
  <c r="P881"/>
  <c r="N881"/>
  <c r="I882"/>
  <c r="G882"/>
  <c r="P886"/>
  <c r="N886"/>
  <c r="I887"/>
  <c r="G887"/>
  <c r="P890"/>
  <c r="N890"/>
  <c r="I891"/>
  <c r="G891"/>
  <c r="P894"/>
  <c r="N894"/>
  <c r="I896"/>
  <c r="G896"/>
  <c r="P899"/>
  <c r="N899"/>
  <c r="I900"/>
  <c r="G900"/>
  <c r="P903"/>
  <c r="N903"/>
  <c r="I905"/>
  <c r="G905"/>
  <c r="P908"/>
  <c r="N908"/>
  <c r="I909"/>
  <c r="G909"/>
  <c r="P913"/>
  <c r="N913"/>
  <c r="I914"/>
  <c r="G914"/>
  <c r="P917"/>
  <c r="N917"/>
  <c r="I919"/>
  <c r="G919"/>
  <c r="P922"/>
  <c r="N922"/>
  <c r="I924"/>
  <c r="G924"/>
  <c r="P928"/>
  <c r="N928"/>
  <c r="M868"/>
  <c r="Q868"/>
  <c r="M872"/>
  <c r="Q872"/>
  <c r="M877"/>
  <c r="Q877"/>
  <c r="M881"/>
  <c r="Q881"/>
  <c r="M886"/>
  <c r="Q886"/>
  <c r="M890"/>
  <c r="Q890"/>
  <c r="M894"/>
  <c r="Q894"/>
  <c r="M899"/>
  <c r="Q899"/>
  <c r="M903"/>
  <c r="Q903"/>
  <c r="M908"/>
  <c r="Q908"/>
  <c r="M913"/>
  <c r="Q913"/>
  <c r="M917"/>
  <c r="Q917"/>
  <c r="M922"/>
  <c r="Q922"/>
  <c r="M928"/>
  <c r="Q928"/>
  <c r="P432"/>
  <c r="N432"/>
  <c r="L432"/>
  <c r="Q432"/>
  <c r="O432"/>
  <c r="K432"/>
  <c r="P434"/>
  <c r="N434"/>
  <c r="L434"/>
  <c r="Q434"/>
  <c r="O434"/>
  <c r="K434"/>
  <c r="P436"/>
  <c r="N436"/>
  <c r="L436"/>
  <c r="Q436"/>
  <c r="O436"/>
  <c r="K436"/>
  <c r="P438"/>
  <c r="N438"/>
  <c r="L438"/>
  <c r="Q438"/>
  <c r="O438"/>
  <c r="K438"/>
  <c r="P441"/>
  <c r="N441"/>
  <c r="L441"/>
  <c r="Q441"/>
  <c r="O441"/>
  <c r="K441"/>
  <c r="P443"/>
  <c r="N443"/>
  <c r="L443"/>
  <c r="Q443"/>
  <c r="O443"/>
  <c r="K443"/>
  <c r="P445"/>
  <c r="N445"/>
  <c r="L445"/>
  <c r="Q445"/>
  <c r="O445"/>
  <c r="K445"/>
  <c r="P447"/>
  <c r="N447"/>
  <c r="L447"/>
  <c r="Q447"/>
  <c r="O447"/>
  <c r="K447"/>
  <c r="P449"/>
  <c r="N449"/>
  <c r="L449"/>
  <c r="Q449"/>
  <c r="O449"/>
  <c r="K449"/>
  <c r="P452"/>
  <c r="N452"/>
  <c r="L452"/>
  <c r="Q452"/>
  <c r="O452"/>
  <c r="K452"/>
  <c r="P454"/>
  <c r="N454"/>
  <c r="L454"/>
  <c r="Q454"/>
  <c r="O454"/>
  <c r="K454"/>
  <c r="P456"/>
  <c r="N456"/>
  <c r="L456"/>
  <c r="Q456"/>
  <c r="O456"/>
  <c r="K456"/>
  <c r="P458"/>
  <c r="N458"/>
  <c r="L458"/>
  <c r="Q458"/>
  <c r="O458"/>
  <c r="K458"/>
  <c r="P460"/>
  <c r="N460"/>
  <c r="L460"/>
  <c r="Q460"/>
  <c r="O460"/>
  <c r="K460"/>
  <c r="P462"/>
  <c r="N462"/>
  <c r="L462"/>
  <c r="Q462"/>
  <c r="O462"/>
  <c r="K462"/>
  <c r="P465"/>
  <c r="N465"/>
  <c r="L465"/>
  <c r="Q465"/>
  <c r="O465"/>
  <c r="K465"/>
  <c r="P467"/>
  <c r="N467"/>
  <c r="L467"/>
  <c r="Q467"/>
  <c r="O467"/>
  <c r="K467"/>
  <c r="P469"/>
  <c r="N469"/>
  <c r="L469"/>
  <c r="Q469"/>
  <c r="O469"/>
  <c r="K469"/>
  <c r="P471"/>
  <c r="N471"/>
  <c r="L471"/>
  <c r="Q471"/>
  <c r="O471"/>
  <c r="K471"/>
  <c r="P473"/>
  <c r="N473"/>
  <c r="L473"/>
  <c r="Q473"/>
  <c r="O473"/>
  <c r="K473"/>
  <c r="P476"/>
  <c r="N476"/>
  <c r="L476"/>
  <c r="Q476"/>
  <c r="O476"/>
  <c r="K476"/>
  <c r="P478"/>
  <c r="N478"/>
  <c r="L478"/>
  <c r="Q478"/>
  <c r="O478"/>
  <c r="K478"/>
  <c r="P480"/>
  <c r="N480"/>
  <c r="L480"/>
  <c r="Q480"/>
  <c r="O480"/>
  <c r="K480"/>
  <c r="P482"/>
  <c r="N482"/>
  <c r="L482"/>
  <c r="Q482"/>
  <c r="O482"/>
  <c r="K482"/>
  <c r="P484"/>
  <c r="N484"/>
  <c r="L484"/>
  <c r="Q484"/>
  <c r="O484"/>
  <c r="K484"/>
  <c r="P486"/>
  <c r="N486"/>
  <c r="L486"/>
  <c r="Q486"/>
  <c r="O486"/>
  <c r="K486"/>
  <c r="P489"/>
  <c r="N489"/>
  <c r="L489"/>
  <c r="Q489"/>
  <c r="O489"/>
  <c r="K489"/>
  <c r="P491"/>
  <c r="N491"/>
  <c r="L491"/>
  <c r="Q491"/>
  <c r="O491"/>
  <c r="K491"/>
  <c r="P493"/>
  <c r="N493"/>
  <c r="L493"/>
  <c r="Q493"/>
  <c r="O493"/>
  <c r="K493"/>
  <c r="P495"/>
  <c r="N495"/>
  <c r="L495"/>
  <c r="Q495"/>
  <c r="O495"/>
  <c r="K495"/>
  <c r="P497"/>
  <c r="N497"/>
  <c r="L497"/>
  <c r="Q497"/>
  <c r="O497"/>
  <c r="K497"/>
  <c r="P499"/>
  <c r="N499"/>
  <c r="L499"/>
  <c r="Q499"/>
  <c r="O499"/>
  <c r="K499"/>
  <c r="P502"/>
  <c r="N502"/>
  <c r="L502"/>
  <c r="Q502"/>
  <c r="O502"/>
  <c r="K502"/>
  <c r="P504"/>
  <c r="N504"/>
  <c r="L504"/>
  <c r="Q504"/>
  <c r="O504"/>
  <c r="K504"/>
  <c r="P506"/>
  <c r="N506"/>
  <c r="L506"/>
  <c r="Q506"/>
  <c r="O506"/>
  <c r="K506"/>
  <c r="P508"/>
  <c r="N508"/>
  <c r="L508"/>
  <c r="Q508"/>
  <c r="O508"/>
  <c r="K508"/>
  <c r="P510"/>
  <c r="N510"/>
  <c r="L510"/>
  <c r="Q510"/>
  <c r="O510"/>
  <c r="K510"/>
  <c r="P512"/>
  <c r="N512"/>
  <c r="L512"/>
  <c r="Q512"/>
  <c r="O512"/>
  <c r="K512"/>
  <c r="P515"/>
  <c r="N515"/>
  <c r="L515"/>
  <c r="Q515"/>
  <c r="O515"/>
  <c r="K515"/>
  <c r="P517"/>
  <c r="N517"/>
  <c r="L517"/>
  <c r="Q517"/>
  <c r="O517"/>
  <c r="K517"/>
  <c r="P519"/>
  <c r="N519"/>
  <c r="L519"/>
  <c r="Q519"/>
  <c r="O519"/>
  <c r="K519"/>
  <c r="P521"/>
  <c r="N521"/>
  <c r="L521"/>
  <c r="Q521"/>
  <c r="O521"/>
  <c r="K521"/>
  <c r="P523"/>
  <c r="N523"/>
  <c r="L523"/>
  <c r="Q523"/>
  <c r="O523"/>
  <c r="K523"/>
  <c r="P525"/>
  <c r="N525"/>
  <c r="L525"/>
  <c r="Q525"/>
  <c r="O525"/>
  <c r="K525"/>
  <c r="P528"/>
  <c r="N528"/>
  <c r="L528"/>
  <c r="Q528"/>
  <c r="O528"/>
  <c r="K528"/>
  <c r="Q464"/>
  <c r="O464"/>
  <c r="K464"/>
  <c r="P464"/>
  <c r="N464"/>
  <c r="L464"/>
  <c r="Q501"/>
  <c r="O501"/>
  <c r="K501"/>
  <c r="P501"/>
  <c r="N501"/>
  <c r="L501"/>
  <c r="P530"/>
  <c r="N530"/>
  <c r="L530"/>
  <c r="M531"/>
  <c r="I531"/>
  <c r="G531"/>
  <c r="P534"/>
  <c r="N534"/>
  <c r="L534"/>
  <c r="M535"/>
  <c r="I535"/>
  <c r="G535"/>
  <c r="P537"/>
  <c r="N537"/>
  <c r="L537"/>
  <c r="Q537"/>
  <c r="O537"/>
  <c r="K537"/>
  <c r="P542"/>
  <c r="N542"/>
  <c r="L542"/>
  <c r="Q542"/>
  <c r="O542"/>
  <c r="K542"/>
  <c r="P544"/>
  <c r="N544"/>
  <c r="L544"/>
  <c r="Q544"/>
  <c r="O544"/>
  <c r="K544"/>
  <c r="P546"/>
  <c r="N546"/>
  <c r="L546"/>
  <c r="Q546"/>
  <c r="O546"/>
  <c r="K546"/>
  <c r="P548"/>
  <c r="N548"/>
  <c r="L548"/>
  <c r="Q548"/>
  <c r="O548"/>
  <c r="K548"/>
  <c r="P550"/>
  <c r="N550"/>
  <c r="L550"/>
  <c r="Q550"/>
  <c r="O550"/>
  <c r="K550"/>
  <c r="P553"/>
  <c r="N553"/>
  <c r="L553"/>
  <c r="Q553"/>
  <c r="O553"/>
  <c r="K553"/>
  <c r="P555"/>
  <c r="N555"/>
  <c r="L555"/>
  <c r="Q555"/>
  <c r="O555"/>
  <c r="K555"/>
  <c r="P557"/>
  <c r="N557"/>
  <c r="L557"/>
  <c r="Q557"/>
  <c r="O557"/>
  <c r="K557"/>
  <c r="P559"/>
  <c r="N559"/>
  <c r="L559"/>
  <c r="Q559"/>
  <c r="O559"/>
  <c r="K559"/>
  <c r="P562"/>
  <c r="N562"/>
  <c r="L562"/>
  <c r="Q562"/>
  <c r="O562"/>
  <c r="K562"/>
  <c r="P564"/>
  <c r="N564"/>
  <c r="L564"/>
  <c r="Q564"/>
  <c r="O564"/>
  <c r="K564"/>
  <c r="P566"/>
  <c r="N566"/>
  <c r="L566"/>
  <c r="Q566"/>
  <c r="O566"/>
  <c r="K566"/>
  <c r="P568"/>
  <c r="N568"/>
  <c r="L568"/>
  <c r="Q568"/>
  <c r="O568"/>
  <c r="K568"/>
  <c r="P573"/>
  <c r="N573"/>
  <c r="L573"/>
  <c r="Q573"/>
  <c r="O573"/>
  <c r="K573"/>
  <c r="P575"/>
  <c r="N575"/>
  <c r="L575"/>
  <c r="Q575"/>
  <c r="O575"/>
  <c r="K575"/>
  <c r="G430"/>
  <c r="M430" s="1"/>
  <c r="I430"/>
  <c r="L431"/>
  <c r="N431"/>
  <c r="P431"/>
  <c r="G432"/>
  <c r="I432"/>
  <c r="L433"/>
  <c r="N433"/>
  <c r="P433"/>
  <c r="G434"/>
  <c r="I434"/>
  <c r="L435"/>
  <c r="N435"/>
  <c r="P435"/>
  <c r="G436"/>
  <c r="I436"/>
  <c r="L437"/>
  <c r="N437"/>
  <c r="P437"/>
  <c r="G438"/>
  <c r="I438"/>
  <c r="L439"/>
  <c r="N439"/>
  <c r="P439"/>
  <c r="G441"/>
  <c r="I441"/>
  <c r="L442"/>
  <c r="N442"/>
  <c r="P442"/>
  <c r="G443"/>
  <c r="I443"/>
  <c r="L444"/>
  <c r="N444"/>
  <c r="P444"/>
  <c r="G445"/>
  <c r="I445"/>
  <c r="L446"/>
  <c r="N446"/>
  <c r="P446"/>
  <c r="G447"/>
  <c r="I447"/>
  <c r="L448"/>
  <c r="N448"/>
  <c r="P448"/>
  <c r="G449"/>
  <c r="I449"/>
  <c r="L450"/>
  <c r="N450"/>
  <c r="P450"/>
  <c r="G452"/>
  <c r="I452"/>
  <c r="L453"/>
  <c r="N453"/>
  <c r="P453"/>
  <c r="G454"/>
  <c r="I454"/>
  <c r="L455"/>
  <c r="N455"/>
  <c r="P455"/>
  <c r="G456"/>
  <c r="I456"/>
  <c r="L457"/>
  <c r="N457"/>
  <c r="P457"/>
  <c r="G458"/>
  <c r="I458"/>
  <c r="L459"/>
  <c r="N459"/>
  <c r="P459"/>
  <c r="G460"/>
  <c r="I460"/>
  <c r="L461"/>
  <c r="N461"/>
  <c r="P461"/>
  <c r="G462"/>
  <c r="I462"/>
  <c r="G465"/>
  <c r="I465"/>
  <c r="L466"/>
  <c r="N466"/>
  <c r="P466"/>
  <c r="G467"/>
  <c r="I467"/>
  <c r="L468"/>
  <c r="N468"/>
  <c r="P468"/>
  <c r="G469"/>
  <c r="I469"/>
  <c r="L470"/>
  <c r="N470"/>
  <c r="P470"/>
  <c r="G471"/>
  <c r="I471"/>
  <c r="L472"/>
  <c r="N472"/>
  <c r="P472"/>
  <c r="G473"/>
  <c r="I473"/>
  <c r="L474"/>
  <c r="N474"/>
  <c r="P474"/>
  <c r="G476"/>
  <c r="I476"/>
  <c r="L477"/>
  <c r="N477"/>
  <c r="P477"/>
  <c r="G478"/>
  <c r="I478"/>
  <c r="L479"/>
  <c r="N479"/>
  <c r="P479"/>
  <c r="G480"/>
  <c r="I480"/>
  <c r="L481"/>
  <c r="N481"/>
  <c r="P481"/>
  <c r="G482"/>
  <c r="I482"/>
  <c r="L483"/>
  <c r="N483"/>
  <c r="P483"/>
  <c r="G484"/>
  <c r="I484"/>
  <c r="L485"/>
  <c r="N485"/>
  <c r="P485"/>
  <c r="G486"/>
  <c r="I486"/>
  <c r="L488"/>
  <c r="N488"/>
  <c r="P488"/>
  <c r="G489"/>
  <c r="I489"/>
  <c r="L490"/>
  <c r="N490"/>
  <c r="P490"/>
  <c r="G491"/>
  <c r="I491"/>
  <c r="L492"/>
  <c r="N492"/>
  <c r="P492"/>
  <c r="G493"/>
  <c r="I493"/>
  <c r="L494"/>
  <c r="N494"/>
  <c r="P494"/>
  <c r="G495"/>
  <c r="I495"/>
  <c r="L496"/>
  <c r="N496"/>
  <c r="P496"/>
  <c r="G497"/>
  <c r="I497"/>
  <c r="L498"/>
  <c r="N498"/>
  <c r="P498"/>
  <c r="G499"/>
  <c r="I499"/>
  <c r="G502"/>
  <c r="I502"/>
  <c r="L503"/>
  <c r="N503"/>
  <c r="P503"/>
  <c r="G504"/>
  <c r="I504"/>
  <c r="L505"/>
  <c r="N505"/>
  <c r="P505"/>
  <c r="G506"/>
  <c r="I506"/>
  <c r="L507"/>
  <c r="N507"/>
  <c r="P507"/>
  <c r="G508"/>
  <c r="I508"/>
  <c r="L509"/>
  <c r="N509"/>
  <c r="P509"/>
  <c r="G510"/>
  <c r="I510"/>
  <c r="L511"/>
  <c r="N511"/>
  <c r="P511"/>
  <c r="G512"/>
  <c r="I512"/>
  <c r="L514"/>
  <c r="N514"/>
  <c r="P514"/>
  <c r="G515"/>
  <c r="I515"/>
  <c r="L516"/>
  <c r="N516"/>
  <c r="P516"/>
  <c r="G517"/>
  <c r="I517"/>
  <c r="L518"/>
  <c r="N518"/>
  <c r="P518"/>
  <c r="G519"/>
  <c r="I519"/>
  <c r="L520"/>
  <c r="N520"/>
  <c r="P520"/>
  <c r="G521"/>
  <c r="I521"/>
  <c r="L522"/>
  <c r="N522"/>
  <c r="P522"/>
  <c r="G523"/>
  <c r="I523"/>
  <c r="L524"/>
  <c r="N524"/>
  <c r="P524"/>
  <c r="G525"/>
  <c r="I525"/>
  <c r="L527"/>
  <c r="N527"/>
  <c r="P527"/>
  <c r="G528"/>
  <c r="I528"/>
  <c r="L529"/>
  <c r="N529"/>
  <c r="P529"/>
  <c r="Q530"/>
  <c r="K532"/>
  <c r="Q534"/>
  <c r="K536"/>
  <c r="P532"/>
  <c r="N532"/>
  <c r="L532"/>
  <c r="M533"/>
  <c r="I533"/>
  <c r="G533"/>
  <c r="Q536"/>
  <c r="P536"/>
  <c r="N536"/>
  <c r="L536"/>
  <c r="Q576"/>
  <c r="O576"/>
  <c r="K576"/>
  <c r="P576"/>
  <c r="N576"/>
  <c r="L576"/>
  <c r="P577"/>
  <c r="N577"/>
  <c r="L577"/>
  <c r="Q577"/>
  <c r="O577"/>
  <c r="K577"/>
  <c r="Q579"/>
  <c r="O579"/>
  <c r="K579"/>
  <c r="P579"/>
  <c r="N579"/>
  <c r="L579"/>
  <c r="P580"/>
  <c r="N580"/>
  <c r="L580"/>
  <c r="Q580"/>
  <c r="O580"/>
  <c r="K580"/>
  <c r="Q581"/>
  <c r="O581"/>
  <c r="K581"/>
  <c r="P581"/>
  <c r="N581"/>
  <c r="L581"/>
  <c r="P582"/>
  <c r="N582"/>
  <c r="L582"/>
  <c r="Q582"/>
  <c r="O582"/>
  <c r="K582"/>
  <c r="Q583"/>
  <c r="O583"/>
  <c r="K583"/>
  <c r="P583"/>
  <c r="N583"/>
  <c r="L583"/>
  <c r="P585"/>
  <c r="N585"/>
  <c r="L585"/>
  <c r="Q585"/>
  <c r="O585"/>
  <c r="K585"/>
  <c r="Q586"/>
  <c r="O586"/>
  <c r="K586"/>
  <c r="P586"/>
  <c r="N586"/>
  <c r="L586"/>
  <c r="P587"/>
  <c r="N587"/>
  <c r="L587"/>
  <c r="Q587"/>
  <c r="O587"/>
  <c r="K587"/>
  <c r="Q588"/>
  <c r="O588"/>
  <c r="K588"/>
  <c r="P588"/>
  <c r="N588"/>
  <c r="L588"/>
  <c r="Q591"/>
  <c r="O591"/>
  <c r="K591"/>
  <c r="P591"/>
  <c r="N591"/>
  <c r="L591"/>
  <c r="P592"/>
  <c r="N592"/>
  <c r="L592"/>
  <c r="Q592"/>
  <c r="O592"/>
  <c r="K592"/>
  <c r="Q594"/>
  <c r="O594"/>
  <c r="K594"/>
  <c r="P594"/>
  <c r="N594"/>
  <c r="L594"/>
  <c r="O431"/>
  <c r="O433"/>
  <c r="O435"/>
  <c r="O437"/>
  <c r="O439"/>
  <c r="O442"/>
  <c r="O444"/>
  <c r="O446"/>
  <c r="O448"/>
  <c r="O450"/>
  <c r="O453"/>
  <c r="O455"/>
  <c r="O457"/>
  <c r="O459"/>
  <c r="O461"/>
  <c r="O466"/>
  <c r="O468"/>
  <c r="O470"/>
  <c r="O472"/>
  <c r="O474"/>
  <c r="O477"/>
  <c r="O479"/>
  <c r="O481"/>
  <c r="O483"/>
  <c r="O485"/>
  <c r="O488"/>
  <c r="O490"/>
  <c r="O492"/>
  <c r="O494"/>
  <c r="O496"/>
  <c r="O498"/>
  <c r="O503"/>
  <c r="O505"/>
  <c r="O507"/>
  <c r="O509"/>
  <c r="O511"/>
  <c r="O514"/>
  <c r="O516"/>
  <c r="O518"/>
  <c r="O520"/>
  <c r="O522"/>
  <c r="O524"/>
  <c r="O527"/>
  <c r="O529"/>
  <c r="K530"/>
  <c r="O530"/>
  <c r="Q532"/>
  <c r="K534"/>
  <c r="O534"/>
  <c r="H535"/>
  <c r="G537"/>
  <c r="I537"/>
  <c r="L538"/>
  <c r="N538"/>
  <c r="P538"/>
  <c r="G540"/>
  <c r="M540" s="1"/>
  <c r="I540"/>
  <c r="L541"/>
  <c r="N541"/>
  <c r="P541"/>
  <c r="G542"/>
  <c r="I542"/>
  <c r="L543"/>
  <c r="N543"/>
  <c r="P543"/>
  <c r="G544"/>
  <c r="I544"/>
  <c r="L545"/>
  <c r="N545"/>
  <c r="P545"/>
  <c r="G546"/>
  <c r="I546"/>
  <c r="L547"/>
  <c r="N547"/>
  <c r="P547"/>
  <c r="G548"/>
  <c r="I548"/>
  <c r="L549"/>
  <c r="N549"/>
  <c r="P549"/>
  <c r="G550"/>
  <c r="I550"/>
  <c r="L552"/>
  <c r="N552"/>
  <c r="P552"/>
  <c r="G553"/>
  <c r="I553"/>
  <c r="L554"/>
  <c r="N554"/>
  <c r="P554"/>
  <c r="G555"/>
  <c r="I555"/>
  <c r="L556"/>
  <c r="N556"/>
  <c r="P556"/>
  <c r="G557"/>
  <c r="I557"/>
  <c r="L558"/>
  <c r="N558"/>
  <c r="P558"/>
  <c r="G559"/>
  <c r="I559"/>
  <c r="L560"/>
  <c r="N560"/>
  <c r="P560"/>
  <c r="G562"/>
  <c r="I562"/>
  <c r="L563"/>
  <c r="N563"/>
  <c r="P563"/>
  <c r="G564"/>
  <c r="I564"/>
  <c r="L565"/>
  <c r="N565"/>
  <c r="P565"/>
  <c r="G566"/>
  <c r="I566"/>
  <c r="L567"/>
  <c r="N567"/>
  <c r="P567"/>
  <c r="G568"/>
  <c r="I568"/>
  <c r="L569"/>
  <c r="N569"/>
  <c r="P569"/>
  <c r="G571"/>
  <c r="M571" s="1"/>
  <c r="I571"/>
  <c r="L572"/>
  <c r="N572"/>
  <c r="P572"/>
  <c r="G573"/>
  <c r="I573"/>
  <c r="L574"/>
  <c r="N574"/>
  <c r="P574"/>
  <c r="G575"/>
  <c r="I575"/>
  <c r="G577"/>
  <c r="I577"/>
  <c r="G580"/>
  <c r="I580"/>
  <c r="G582"/>
  <c r="I582"/>
  <c r="G585"/>
  <c r="I585"/>
  <c r="G587"/>
  <c r="I587"/>
  <c r="G590"/>
  <c r="M590" s="1"/>
  <c r="I590"/>
  <c r="G592"/>
  <c r="I592"/>
  <c r="O538"/>
  <c r="O541"/>
  <c r="O543"/>
  <c r="O545"/>
  <c r="O547"/>
  <c r="O549"/>
  <c r="O552"/>
  <c r="O554"/>
  <c r="O556"/>
  <c r="O558"/>
  <c r="O560"/>
  <c r="O563"/>
  <c r="O565"/>
  <c r="O567"/>
  <c r="O569"/>
  <c r="O572"/>
  <c r="O574"/>
  <c r="I576"/>
  <c r="G579"/>
  <c r="I579"/>
  <c r="G581"/>
  <c r="I581"/>
  <c r="G583"/>
  <c r="I583"/>
  <c r="G586"/>
  <c r="I586"/>
  <c r="G588"/>
  <c r="I588"/>
  <c r="G591"/>
  <c r="I591"/>
  <c r="G594"/>
  <c r="I594"/>
  <c r="P304"/>
  <c r="N304"/>
  <c r="L304"/>
  <c r="Q304"/>
  <c r="O304"/>
  <c r="K304"/>
  <c r="P307"/>
  <c r="N307"/>
  <c r="L307"/>
  <c r="Q307"/>
  <c r="O307"/>
  <c r="K307"/>
  <c r="P309"/>
  <c r="N309"/>
  <c r="L309"/>
  <c r="Q309"/>
  <c r="O309"/>
  <c r="K309"/>
  <c r="P312"/>
  <c r="N312"/>
  <c r="L312"/>
  <c r="Q312"/>
  <c r="O312"/>
  <c r="K312"/>
  <c r="P314"/>
  <c r="N314"/>
  <c r="L314"/>
  <c r="Q314"/>
  <c r="O314"/>
  <c r="K314"/>
  <c r="P316"/>
  <c r="N316"/>
  <c r="L316"/>
  <c r="Q316"/>
  <c r="O316"/>
  <c r="K316"/>
  <c r="P319"/>
  <c r="N319"/>
  <c r="L319"/>
  <c r="Q319"/>
  <c r="O319"/>
  <c r="K319"/>
  <c r="P321"/>
  <c r="N321"/>
  <c r="L321"/>
  <c r="Q321"/>
  <c r="O321"/>
  <c r="K321"/>
  <c r="P323"/>
  <c r="N323"/>
  <c r="L323"/>
  <c r="Q323"/>
  <c r="O323"/>
  <c r="K323"/>
  <c r="P326"/>
  <c r="N326"/>
  <c r="L326"/>
  <c r="Q326"/>
  <c r="O326"/>
  <c r="K326"/>
  <c r="P328"/>
  <c r="N328"/>
  <c r="L328"/>
  <c r="Q328"/>
  <c r="O328"/>
  <c r="K328"/>
  <c r="P330"/>
  <c r="N330"/>
  <c r="L330"/>
  <c r="Q330"/>
  <c r="O330"/>
  <c r="K330"/>
  <c r="P332"/>
  <c r="N332"/>
  <c r="L332"/>
  <c r="Q332"/>
  <c r="O332"/>
  <c r="K332"/>
  <c r="P335"/>
  <c r="N335"/>
  <c r="L335"/>
  <c r="Q335"/>
  <c r="O335"/>
  <c r="K335"/>
  <c r="P337"/>
  <c r="N337"/>
  <c r="L337"/>
  <c r="Q337"/>
  <c r="O337"/>
  <c r="K337"/>
  <c r="P339"/>
  <c r="N339"/>
  <c r="L339"/>
  <c r="Q339"/>
  <c r="O339"/>
  <c r="K339"/>
  <c r="P344"/>
  <c r="N344"/>
  <c r="L344"/>
  <c r="Q344"/>
  <c r="O344"/>
  <c r="K344"/>
  <c r="P346"/>
  <c r="N346"/>
  <c r="L346"/>
  <c r="Q346"/>
  <c r="O346"/>
  <c r="K346"/>
  <c r="P348"/>
  <c r="N348"/>
  <c r="L348"/>
  <c r="Q348"/>
  <c r="O348"/>
  <c r="K348"/>
  <c r="P351"/>
  <c r="N351"/>
  <c r="L351"/>
  <c r="Q351"/>
  <c r="O351"/>
  <c r="K351"/>
  <c r="P353"/>
  <c r="N353"/>
  <c r="L353"/>
  <c r="Q353"/>
  <c r="O353"/>
  <c r="K353"/>
  <c r="P355"/>
  <c r="N355"/>
  <c r="L355"/>
  <c r="Q355"/>
  <c r="O355"/>
  <c r="K355"/>
  <c r="P357"/>
  <c r="N357"/>
  <c r="L357"/>
  <c r="Q357"/>
  <c r="O357"/>
  <c r="K357"/>
  <c r="P360"/>
  <c r="N360"/>
  <c r="L360"/>
  <c r="Q360"/>
  <c r="O360"/>
  <c r="K360"/>
  <c r="P362"/>
  <c r="N362"/>
  <c r="L362"/>
  <c r="Q362"/>
  <c r="O362"/>
  <c r="K362"/>
  <c r="P364"/>
  <c r="N364"/>
  <c r="L364"/>
  <c r="Q364"/>
  <c r="O364"/>
  <c r="K364"/>
  <c r="Q318"/>
  <c r="O318"/>
  <c r="K318"/>
  <c r="P318"/>
  <c r="N318"/>
  <c r="L318"/>
  <c r="P366"/>
  <c r="N366"/>
  <c r="L366"/>
  <c r="M367"/>
  <c r="I367"/>
  <c r="G367"/>
  <c r="P371"/>
  <c r="N371"/>
  <c r="L371"/>
  <c r="M372"/>
  <c r="I372"/>
  <c r="G372"/>
  <c r="P375"/>
  <c r="N375"/>
  <c r="L375"/>
  <c r="M376"/>
  <c r="I376"/>
  <c r="G376"/>
  <c r="P380"/>
  <c r="N380"/>
  <c r="L380"/>
  <c r="M381"/>
  <c r="I381"/>
  <c r="G381"/>
  <c r="Q398"/>
  <c r="O398"/>
  <c r="K398"/>
  <c r="P398"/>
  <c r="N398"/>
  <c r="L398"/>
  <c r="L302"/>
  <c r="N302"/>
  <c r="P302"/>
  <c r="G304"/>
  <c r="I304"/>
  <c r="L305"/>
  <c r="N305"/>
  <c r="P305"/>
  <c r="G307"/>
  <c r="I307"/>
  <c r="L308"/>
  <c r="N308"/>
  <c r="P308"/>
  <c r="G309"/>
  <c r="I309"/>
  <c r="L310"/>
  <c r="N310"/>
  <c r="P310"/>
  <c r="G312"/>
  <c r="I312"/>
  <c r="L313"/>
  <c r="N313"/>
  <c r="P313"/>
  <c r="G314"/>
  <c r="I314"/>
  <c r="L315"/>
  <c r="N315"/>
  <c r="P315"/>
  <c r="G316"/>
  <c r="I316"/>
  <c r="G319"/>
  <c r="I319"/>
  <c r="L320"/>
  <c r="N320"/>
  <c r="P320"/>
  <c r="G321"/>
  <c r="I321"/>
  <c r="L322"/>
  <c r="N322"/>
  <c r="P322"/>
  <c r="G323"/>
  <c r="I323"/>
  <c r="L324"/>
  <c r="N324"/>
  <c r="P324"/>
  <c r="G326"/>
  <c r="I326"/>
  <c r="L327"/>
  <c r="N327"/>
  <c r="P327"/>
  <c r="G328"/>
  <c r="I328"/>
  <c r="L329"/>
  <c r="N329"/>
  <c r="P329"/>
  <c r="G330"/>
  <c r="I330"/>
  <c r="L331"/>
  <c r="N331"/>
  <c r="P331"/>
  <c r="G332"/>
  <c r="I332"/>
  <c r="L334"/>
  <c r="N334"/>
  <c r="P334"/>
  <c r="G335"/>
  <c r="I335"/>
  <c r="L336"/>
  <c r="N336"/>
  <c r="P336"/>
  <c r="G337"/>
  <c r="I337"/>
  <c r="L338"/>
  <c r="N338"/>
  <c r="P338"/>
  <c r="G339"/>
  <c r="I339"/>
  <c r="L340"/>
  <c r="N340"/>
  <c r="P340"/>
  <c r="G342"/>
  <c r="M342" s="1"/>
  <c r="I342"/>
  <c r="L343"/>
  <c r="N343"/>
  <c r="P343"/>
  <c r="G344"/>
  <c r="I344"/>
  <c r="L345"/>
  <c r="N345"/>
  <c r="P345"/>
  <c r="G346"/>
  <c r="I346"/>
  <c r="L347"/>
  <c r="N347"/>
  <c r="P347"/>
  <c r="G348"/>
  <c r="I348"/>
  <c r="L349"/>
  <c r="N349"/>
  <c r="P349"/>
  <c r="G351"/>
  <c r="I351"/>
  <c r="L352"/>
  <c r="N352"/>
  <c r="P352"/>
  <c r="G353"/>
  <c r="I353"/>
  <c r="L354"/>
  <c r="N354"/>
  <c r="P354"/>
  <c r="G355"/>
  <c r="I355"/>
  <c r="L356"/>
  <c r="N356"/>
  <c r="P356"/>
  <c r="G357"/>
  <c r="I357"/>
  <c r="L358"/>
  <c r="N358"/>
  <c r="P358"/>
  <c r="G360"/>
  <c r="I360"/>
  <c r="L361"/>
  <c r="N361"/>
  <c r="P361"/>
  <c r="G362"/>
  <c r="I362"/>
  <c r="L363"/>
  <c r="N363"/>
  <c r="P363"/>
  <c r="G364"/>
  <c r="I364"/>
  <c r="L365"/>
  <c r="N365"/>
  <c r="P365"/>
  <c r="Q366"/>
  <c r="K369"/>
  <c r="Q371"/>
  <c r="K373"/>
  <c r="Q375"/>
  <c r="K377"/>
  <c r="Q380"/>
  <c r="K382"/>
  <c r="P369"/>
  <c r="N369"/>
  <c r="L369"/>
  <c r="M370"/>
  <c r="I370"/>
  <c r="G370"/>
  <c r="P373"/>
  <c r="N373"/>
  <c r="L373"/>
  <c r="M374"/>
  <c r="I374"/>
  <c r="G374"/>
  <c r="P377"/>
  <c r="N377"/>
  <c r="L377"/>
  <c r="M379"/>
  <c r="I379"/>
  <c r="G379"/>
  <c r="P382"/>
  <c r="N382"/>
  <c r="L382"/>
  <c r="P383"/>
  <c r="N383"/>
  <c r="L383"/>
  <c r="Q383"/>
  <c r="O383"/>
  <c r="K383"/>
  <c r="P385"/>
  <c r="N385"/>
  <c r="L385"/>
  <c r="Q385"/>
  <c r="O385"/>
  <c r="K385"/>
  <c r="P388"/>
  <c r="N388"/>
  <c r="L388"/>
  <c r="Q388"/>
  <c r="O388"/>
  <c r="K388"/>
  <c r="P390"/>
  <c r="N390"/>
  <c r="L390"/>
  <c r="Q390"/>
  <c r="O390"/>
  <c r="K390"/>
  <c r="P392"/>
  <c r="N392"/>
  <c r="L392"/>
  <c r="Q392"/>
  <c r="O392"/>
  <c r="K392"/>
  <c r="P394"/>
  <c r="N394"/>
  <c r="L394"/>
  <c r="Q394"/>
  <c r="O394"/>
  <c r="K394"/>
  <c r="P396"/>
  <c r="N396"/>
  <c r="L396"/>
  <c r="Q396"/>
  <c r="O396"/>
  <c r="K396"/>
  <c r="P399"/>
  <c r="N399"/>
  <c r="L399"/>
  <c r="Q399"/>
  <c r="O399"/>
  <c r="K399"/>
  <c r="P401"/>
  <c r="N401"/>
  <c r="L401"/>
  <c r="Q401"/>
  <c r="O401"/>
  <c r="K401"/>
  <c r="P403"/>
  <c r="N403"/>
  <c r="L403"/>
  <c r="Q403"/>
  <c r="O403"/>
  <c r="K403"/>
  <c r="P405"/>
  <c r="N405"/>
  <c r="L405"/>
  <c r="Q405"/>
  <c r="O405"/>
  <c r="K405"/>
  <c r="P407"/>
  <c r="N407"/>
  <c r="L407"/>
  <c r="Q407"/>
  <c r="O407"/>
  <c r="K407"/>
  <c r="P410"/>
  <c r="N410"/>
  <c r="L410"/>
  <c r="Q410"/>
  <c r="O410"/>
  <c r="K410"/>
  <c r="P412"/>
  <c r="N412"/>
  <c r="L412"/>
  <c r="Q412"/>
  <c r="O412"/>
  <c r="K412"/>
  <c r="P414"/>
  <c r="N414"/>
  <c r="L414"/>
  <c r="Q414"/>
  <c r="O414"/>
  <c r="K414"/>
  <c r="P416"/>
  <c r="N416"/>
  <c r="L416"/>
  <c r="Q416"/>
  <c r="O416"/>
  <c r="K416"/>
  <c r="P419"/>
  <c r="N419"/>
  <c r="L419"/>
  <c r="Q419"/>
  <c r="O419"/>
  <c r="K419"/>
  <c r="P421"/>
  <c r="N421"/>
  <c r="L421"/>
  <c r="Q421"/>
  <c r="O421"/>
  <c r="K421"/>
  <c r="P423"/>
  <c r="N423"/>
  <c r="L423"/>
  <c r="Q423"/>
  <c r="O423"/>
  <c r="K423"/>
  <c r="P425"/>
  <c r="N425"/>
  <c r="L425"/>
  <c r="Q425"/>
  <c r="O425"/>
  <c r="K425"/>
  <c r="P427"/>
  <c r="N427"/>
  <c r="L427"/>
  <c r="Q427"/>
  <c r="O427"/>
  <c r="K427"/>
  <c r="Q428"/>
  <c r="O428"/>
  <c r="K428"/>
  <c r="P428"/>
  <c r="N428"/>
  <c r="L428"/>
  <c r="O302"/>
  <c r="O305"/>
  <c r="O308"/>
  <c r="O310"/>
  <c r="O313"/>
  <c r="O315"/>
  <c r="O320"/>
  <c r="O322"/>
  <c r="O324"/>
  <c r="O327"/>
  <c r="O329"/>
  <c r="O331"/>
  <c r="O334"/>
  <c r="O336"/>
  <c r="O338"/>
  <c r="O340"/>
  <c r="O343"/>
  <c r="O345"/>
  <c r="O347"/>
  <c r="O349"/>
  <c r="O352"/>
  <c r="O354"/>
  <c r="O356"/>
  <c r="O358"/>
  <c r="O361"/>
  <c r="O363"/>
  <c r="O365"/>
  <c r="Q369"/>
  <c r="Q373"/>
  <c r="Q377"/>
  <c r="Q382"/>
  <c r="G383"/>
  <c r="I383"/>
  <c r="L384"/>
  <c r="N384"/>
  <c r="P384"/>
  <c r="G385"/>
  <c r="I385"/>
  <c r="L386"/>
  <c r="N386"/>
  <c r="P386"/>
  <c r="G388"/>
  <c r="I388"/>
  <c r="L389"/>
  <c r="N389"/>
  <c r="P389"/>
  <c r="G390"/>
  <c r="I390"/>
  <c r="L391"/>
  <c r="N391"/>
  <c r="P391"/>
  <c r="G392"/>
  <c r="I392"/>
  <c r="L393"/>
  <c r="N393"/>
  <c r="P393"/>
  <c r="G394"/>
  <c r="I394"/>
  <c r="L395"/>
  <c r="N395"/>
  <c r="P395"/>
  <c r="G396"/>
  <c r="I396"/>
  <c r="G399"/>
  <c r="I399"/>
  <c r="L400"/>
  <c r="N400"/>
  <c r="P400"/>
  <c r="G401"/>
  <c r="I401"/>
  <c r="L402"/>
  <c r="N402"/>
  <c r="P402"/>
  <c r="G403"/>
  <c r="I403"/>
  <c r="L404"/>
  <c r="N404"/>
  <c r="P404"/>
  <c r="G405"/>
  <c r="I405"/>
  <c r="L406"/>
  <c r="N406"/>
  <c r="P406"/>
  <c r="G407"/>
  <c r="I407"/>
  <c r="L409"/>
  <c r="N409"/>
  <c r="P409"/>
  <c r="G410"/>
  <c r="I410"/>
  <c r="L411"/>
  <c r="N411"/>
  <c r="P411"/>
  <c r="G412"/>
  <c r="I412"/>
  <c r="L413"/>
  <c r="N413"/>
  <c r="P413"/>
  <c r="G414"/>
  <c r="I414"/>
  <c r="L415"/>
  <c r="N415"/>
  <c r="P415"/>
  <c r="G416"/>
  <c r="I416"/>
  <c r="L417"/>
  <c r="N417"/>
  <c r="P417"/>
  <c r="G419"/>
  <c r="I419"/>
  <c r="L420"/>
  <c r="N420"/>
  <c r="P420"/>
  <c r="G421"/>
  <c r="I421"/>
  <c r="L422"/>
  <c r="N422"/>
  <c r="P422"/>
  <c r="G423"/>
  <c r="I423"/>
  <c r="L424"/>
  <c r="N424"/>
  <c r="P424"/>
  <c r="G425"/>
  <c r="I425"/>
  <c r="L426"/>
  <c r="N426"/>
  <c r="P426"/>
  <c r="G427"/>
  <c r="I427"/>
  <c r="O384"/>
  <c r="O386"/>
  <c r="O389"/>
  <c r="O391"/>
  <c r="O393"/>
  <c r="O395"/>
  <c r="O400"/>
  <c r="O402"/>
  <c r="O404"/>
  <c r="O406"/>
  <c r="O409"/>
  <c r="O411"/>
  <c r="O413"/>
  <c r="O415"/>
  <c r="O417"/>
  <c r="O420"/>
  <c r="O422"/>
  <c r="O424"/>
  <c r="O426"/>
  <c r="G428"/>
  <c r="I428"/>
  <c r="P13"/>
  <c r="L13"/>
  <c r="Q13"/>
  <c r="O13"/>
  <c r="M13"/>
  <c r="K13"/>
  <c r="P14"/>
  <c r="L14"/>
  <c r="Q14"/>
  <c r="O14"/>
  <c r="M14"/>
  <c r="K14"/>
  <c r="P21"/>
  <c r="L21"/>
  <c r="Q21"/>
  <c r="O21"/>
  <c r="M21"/>
  <c r="K21"/>
  <c r="P22"/>
  <c r="L22"/>
  <c r="Q22"/>
  <c r="O22"/>
  <c r="M22"/>
  <c r="K22"/>
  <c r="P24"/>
  <c r="L24"/>
  <c r="Q24"/>
  <c r="O24"/>
  <c r="M24"/>
  <c r="K24"/>
  <c r="P27"/>
  <c r="L27"/>
  <c r="Q27"/>
  <c r="O27"/>
  <c r="M27"/>
  <c r="K27"/>
  <c r="P29"/>
  <c r="L29"/>
  <c r="Q29"/>
  <c r="O29"/>
  <c r="M29"/>
  <c r="K29"/>
  <c r="P31"/>
  <c r="L31"/>
  <c r="Q31"/>
  <c r="O31"/>
  <c r="M31"/>
  <c r="K31"/>
  <c r="P33"/>
  <c r="L33"/>
  <c r="Q33"/>
  <c r="O33"/>
  <c r="M33"/>
  <c r="K33"/>
  <c r="P36"/>
  <c r="L36"/>
  <c r="Q36"/>
  <c r="O36"/>
  <c r="M36"/>
  <c r="K36"/>
  <c r="P38"/>
  <c r="L38"/>
  <c r="Q38"/>
  <c r="O38"/>
  <c r="M38"/>
  <c r="K38"/>
  <c r="P40"/>
  <c r="L40"/>
  <c r="Q40"/>
  <c r="O40"/>
  <c r="M40"/>
  <c r="K40"/>
  <c r="P43"/>
  <c r="L43"/>
  <c r="Q43"/>
  <c r="O43"/>
  <c r="M43"/>
  <c r="K43"/>
  <c r="P45"/>
  <c r="L45"/>
  <c r="Q45"/>
  <c r="O45"/>
  <c r="M45"/>
  <c r="K45"/>
  <c r="P47"/>
  <c r="L47"/>
  <c r="Q47"/>
  <c r="O47"/>
  <c r="M47"/>
  <c r="K47"/>
  <c r="P50"/>
  <c r="L50"/>
  <c r="Q50"/>
  <c r="O50"/>
  <c r="M50"/>
  <c r="K50"/>
  <c r="P52"/>
  <c r="L52"/>
  <c r="Q52"/>
  <c r="O52"/>
  <c r="M52"/>
  <c r="K52"/>
  <c r="P54"/>
  <c r="L54"/>
  <c r="Q54"/>
  <c r="O54"/>
  <c r="M54"/>
  <c r="K54"/>
  <c r="P56"/>
  <c r="L56"/>
  <c r="Q56"/>
  <c r="O56"/>
  <c r="M56"/>
  <c r="K56"/>
  <c r="P59"/>
  <c r="L59"/>
  <c r="Q59"/>
  <c r="O59"/>
  <c r="M59"/>
  <c r="K59"/>
  <c r="P61"/>
  <c r="L61"/>
  <c r="Q61"/>
  <c r="O61"/>
  <c r="M61"/>
  <c r="K61"/>
  <c r="P63"/>
  <c r="L63"/>
  <c r="Q63"/>
  <c r="O63"/>
  <c r="M63"/>
  <c r="K63"/>
  <c r="P65"/>
  <c r="L65"/>
  <c r="Q65"/>
  <c r="O65"/>
  <c r="M65"/>
  <c r="K65"/>
  <c r="P68"/>
  <c r="L68"/>
  <c r="Q68"/>
  <c r="O68"/>
  <c r="M68"/>
  <c r="K68"/>
  <c r="P70"/>
  <c r="L70"/>
  <c r="Q70"/>
  <c r="O70"/>
  <c r="M70"/>
  <c r="K70"/>
  <c r="P72"/>
  <c r="L72"/>
  <c r="Q72"/>
  <c r="O72"/>
  <c r="M72"/>
  <c r="K72"/>
  <c r="P74"/>
  <c r="L74"/>
  <c r="Q74"/>
  <c r="O74"/>
  <c r="M74"/>
  <c r="K74"/>
  <c r="P77"/>
  <c r="L77"/>
  <c r="Q77"/>
  <c r="O77"/>
  <c r="M77"/>
  <c r="K77"/>
  <c r="Q79"/>
  <c r="P79"/>
  <c r="L79"/>
  <c r="O79"/>
  <c r="M79"/>
  <c r="K79"/>
  <c r="Q11"/>
  <c r="O11"/>
  <c r="M11"/>
  <c r="K11"/>
  <c r="P11"/>
  <c r="L11"/>
  <c r="Q16"/>
  <c r="O16"/>
  <c r="M16"/>
  <c r="K16"/>
  <c r="P16"/>
  <c r="L16"/>
  <c r="Q17"/>
  <c r="O17"/>
  <c r="M17"/>
  <c r="K17"/>
  <c r="P17"/>
  <c r="L17"/>
  <c r="Q18"/>
  <c r="O18"/>
  <c r="M18"/>
  <c r="K18"/>
  <c r="P18"/>
  <c r="L18"/>
  <c r="Q19"/>
  <c r="O19"/>
  <c r="M19"/>
  <c r="K19"/>
  <c r="P19"/>
  <c r="L19"/>
  <c r="Q23"/>
  <c r="O23"/>
  <c r="M23"/>
  <c r="K23"/>
  <c r="P23"/>
  <c r="L23"/>
  <c r="Q25"/>
  <c r="O25"/>
  <c r="M25"/>
  <c r="K25"/>
  <c r="P25"/>
  <c r="L25"/>
  <c r="Q28"/>
  <c r="O28"/>
  <c r="M28"/>
  <c r="K28"/>
  <c r="P28"/>
  <c r="L28"/>
  <c r="Q30"/>
  <c r="O30"/>
  <c r="M30"/>
  <c r="K30"/>
  <c r="P30"/>
  <c r="L30"/>
  <c r="Q32"/>
  <c r="O32"/>
  <c r="M32"/>
  <c r="K32"/>
  <c r="P32"/>
  <c r="L32"/>
  <c r="Q35"/>
  <c r="O35"/>
  <c r="M35"/>
  <c r="K35"/>
  <c r="P35"/>
  <c r="L35"/>
  <c r="Q37"/>
  <c r="O37"/>
  <c r="M37"/>
  <c r="K37"/>
  <c r="P37"/>
  <c r="L37"/>
  <c r="Q39"/>
  <c r="O39"/>
  <c r="M39"/>
  <c r="K39"/>
  <c r="P39"/>
  <c r="L39"/>
  <c r="Q42"/>
  <c r="O42"/>
  <c r="M42"/>
  <c r="K42"/>
  <c r="P42"/>
  <c r="L42"/>
  <c r="Q44"/>
  <c r="O44"/>
  <c r="M44"/>
  <c r="K44"/>
  <c r="P44"/>
  <c r="L44"/>
  <c r="Q46"/>
  <c r="O46"/>
  <c r="M46"/>
  <c r="K46"/>
  <c r="P46"/>
  <c r="L46"/>
  <c r="Q48"/>
  <c r="O48"/>
  <c r="M48"/>
  <c r="K48"/>
  <c r="P48"/>
  <c r="L48"/>
  <c r="Q51"/>
  <c r="O51"/>
  <c r="M51"/>
  <c r="K51"/>
  <c r="P51"/>
  <c r="L51"/>
  <c r="Q53"/>
  <c r="O53"/>
  <c r="M53"/>
  <c r="K53"/>
  <c r="P53"/>
  <c r="L53"/>
  <c r="Q55"/>
  <c r="O55"/>
  <c r="M55"/>
  <c r="K55"/>
  <c r="P55"/>
  <c r="L55"/>
  <c r="Q57"/>
  <c r="O57"/>
  <c r="M57"/>
  <c r="K57"/>
  <c r="P57"/>
  <c r="L57"/>
  <c r="Q60"/>
  <c r="O60"/>
  <c r="M60"/>
  <c r="K60"/>
  <c r="P60"/>
  <c r="L60"/>
  <c r="Q62"/>
  <c r="O62"/>
  <c r="M62"/>
  <c r="K62"/>
  <c r="P62"/>
  <c r="L62"/>
  <c r="Q64"/>
  <c r="O64"/>
  <c r="M64"/>
  <c r="K64"/>
  <c r="P64"/>
  <c r="L64"/>
  <c r="Q67"/>
  <c r="O67"/>
  <c r="M67"/>
  <c r="K67"/>
  <c r="P67"/>
  <c r="L67"/>
  <c r="Q69"/>
  <c r="O69"/>
  <c r="M69"/>
  <c r="K69"/>
  <c r="P69"/>
  <c r="L69"/>
  <c r="Q71"/>
  <c r="O71"/>
  <c r="M71"/>
  <c r="K71"/>
  <c r="P71"/>
  <c r="L71"/>
  <c r="Q73"/>
  <c r="O73"/>
  <c r="M73"/>
  <c r="K73"/>
  <c r="P73"/>
  <c r="L73"/>
  <c r="Q76"/>
  <c r="O76"/>
  <c r="M76"/>
  <c r="K76"/>
  <c r="P76"/>
  <c r="L76"/>
  <c r="Q78"/>
  <c r="O78"/>
  <c r="M78"/>
  <c r="K78"/>
  <c r="P78"/>
  <c r="L78"/>
  <c r="I81"/>
  <c r="G81"/>
  <c r="I83"/>
  <c r="G83"/>
  <c r="I86"/>
  <c r="G86"/>
  <c r="I88"/>
  <c r="G88"/>
  <c r="Q89"/>
  <c r="O89"/>
  <c r="M89"/>
  <c r="K89"/>
  <c r="P89"/>
  <c r="L89"/>
  <c r="Q91"/>
  <c r="O91"/>
  <c r="M91"/>
  <c r="K91"/>
  <c r="P91"/>
  <c r="L91"/>
  <c r="Q94"/>
  <c r="O94"/>
  <c r="M94"/>
  <c r="K94"/>
  <c r="P94"/>
  <c r="L94"/>
  <c r="Q96"/>
  <c r="O96"/>
  <c r="M96"/>
  <c r="K96"/>
  <c r="P96"/>
  <c r="L96"/>
  <c r="Q98"/>
  <c r="O98"/>
  <c r="M98"/>
  <c r="K98"/>
  <c r="P98"/>
  <c r="L98"/>
  <c r="Q100"/>
  <c r="O100"/>
  <c r="M100"/>
  <c r="K100"/>
  <c r="P100"/>
  <c r="L100"/>
  <c r="Q103"/>
  <c r="O103"/>
  <c r="M103"/>
  <c r="K103"/>
  <c r="P103"/>
  <c r="L103"/>
  <c r="Q105"/>
  <c r="O105"/>
  <c r="M105"/>
  <c r="K105"/>
  <c r="P105"/>
  <c r="L105"/>
  <c r="Q107"/>
  <c r="O107"/>
  <c r="M107"/>
  <c r="K107"/>
  <c r="P107"/>
  <c r="L107"/>
  <c r="Q109"/>
  <c r="O109"/>
  <c r="M109"/>
  <c r="K109"/>
  <c r="P109"/>
  <c r="L109"/>
  <c r="Q111"/>
  <c r="O111"/>
  <c r="M111"/>
  <c r="K111"/>
  <c r="P111"/>
  <c r="L111"/>
  <c r="Q114"/>
  <c r="O114"/>
  <c r="M114"/>
  <c r="K114"/>
  <c r="P114"/>
  <c r="L114"/>
  <c r="Q116"/>
  <c r="O116"/>
  <c r="M116"/>
  <c r="K116"/>
  <c r="P116"/>
  <c r="L116"/>
  <c r="Q118"/>
  <c r="O118"/>
  <c r="M118"/>
  <c r="K118"/>
  <c r="P118"/>
  <c r="L118"/>
  <c r="Q120"/>
  <c r="O120"/>
  <c r="M120"/>
  <c r="K120"/>
  <c r="P120"/>
  <c r="L120"/>
  <c r="Q123"/>
  <c r="O123"/>
  <c r="M123"/>
  <c r="K123"/>
  <c r="P123"/>
  <c r="L123"/>
  <c r="G13"/>
  <c r="I13"/>
  <c r="G14"/>
  <c r="I14"/>
  <c r="G21"/>
  <c r="I21"/>
  <c r="G22"/>
  <c r="I22"/>
  <c r="G24"/>
  <c r="I24"/>
  <c r="G27"/>
  <c r="I27"/>
  <c r="G29"/>
  <c r="I29"/>
  <c r="G31"/>
  <c r="I31"/>
  <c r="G33"/>
  <c r="I33"/>
  <c r="G36"/>
  <c r="I36"/>
  <c r="G38"/>
  <c r="I38"/>
  <c r="G40"/>
  <c r="I40"/>
  <c r="G43"/>
  <c r="I43"/>
  <c r="G45"/>
  <c r="I45"/>
  <c r="G47"/>
  <c r="I47"/>
  <c r="G50"/>
  <c r="I50"/>
  <c r="G52"/>
  <c r="I52"/>
  <c r="G54"/>
  <c r="I54"/>
  <c r="G56"/>
  <c r="I56"/>
  <c r="G59"/>
  <c r="I59"/>
  <c r="G61"/>
  <c r="I61"/>
  <c r="G63"/>
  <c r="I63"/>
  <c r="G65"/>
  <c r="I65"/>
  <c r="G68"/>
  <c r="I68"/>
  <c r="G70"/>
  <c r="I70"/>
  <c r="G72"/>
  <c r="I72"/>
  <c r="G74"/>
  <c r="I74"/>
  <c r="G77"/>
  <c r="I77"/>
  <c r="G79"/>
  <c r="I79"/>
  <c r="K80"/>
  <c r="N81"/>
  <c r="K82"/>
  <c r="N83"/>
  <c r="K85"/>
  <c r="N86"/>
  <c r="K87"/>
  <c r="N88"/>
  <c r="P80"/>
  <c r="L80"/>
  <c r="P82"/>
  <c r="L82"/>
  <c r="P85"/>
  <c r="L85"/>
  <c r="P87"/>
  <c r="L87"/>
  <c r="P90"/>
  <c r="L90"/>
  <c r="Q90"/>
  <c r="O90"/>
  <c r="M90"/>
  <c r="K90"/>
  <c r="P92"/>
  <c r="L92"/>
  <c r="Q92"/>
  <c r="O92"/>
  <c r="M92"/>
  <c r="K92"/>
  <c r="P95"/>
  <c r="L95"/>
  <c r="Q95"/>
  <c r="O95"/>
  <c r="M95"/>
  <c r="K95"/>
  <c r="P97"/>
  <c r="L97"/>
  <c r="Q97"/>
  <c r="O97"/>
  <c r="M97"/>
  <c r="K97"/>
  <c r="P99"/>
  <c r="L99"/>
  <c r="Q99"/>
  <c r="O99"/>
  <c r="M99"/>
  <c r="K99"/>
  <c r="P101"/>
  <c r="L101"/>
  <c r="Q101"/>
  <c r="O101"/>
  <c r="M101"/>
  <c r="K101"/>
  <c r="P104"/>
  <c r="L104"/>
  <c r="Q104"/>
  <c r="O104"/>
  <c r="M104"/>
  <c r="K104"/>
  <c r="P106"/>
  <c r="L106"/>
  <c r="Q106"/>
  <c r="O106"/>
  <c r="M106"/>
  <c r="K106"/>
  <c r="P108"/>
  <c r="L108"/>
  <c r="Q108"/>
  <c r="O108"/>
  <c r="M108"/>
  <c r="K108"/>
  <c r="P110"/>
  <c r="L110"/>
  <c r="Q110"/>
  <c r="O110"/>
  <c r="M110"/>
  <c r="K110"/>
  <c r="P113"/>
  <c r="L113"/>
  <c r="Q113"/>
  <c r="O113"/>
  <c r="M113"/>
  <c r="K113"/>
  <c r="P115"/>
  <c r="L115"/>
  <c r="Q115"/>
  <c r="O115"/>
  <c r="M115"/>
  <c r="K115"/>
  <c r="P117"/>
  <c r="L117"/>
  <c r="Q117"/>
  <c r="O117"/>
  <c r="M117"/>
  <c r="K117"/>
  <c r="P119"/>
  <c r="L119"/>
  <c r="Q119"/>
  <c r="O119"/>
  <c r="M119"/>
  <c r="K119"/>
  <c r="P121"/>
  <c r="L121"/>
  <c r="Q121"/>
  <c r="O121"/>
  <c r="M121"/>
  <c r="K121"/>
  <c r="P124"/>
  <c r="Q124"/>
  <c r="L124"/>
  <c r="O124"/>
  <c r="M124"/>
  <c r="K124"/>
  <c r="M80"/>
  <c r="Q80"/>
  <c r="M82"/>
  <c r="Q82"/>
  <c r="M85"/>
  <c r="Q85"/>
  <c r="M87"/>
  <c r="Q87"/>
  <c r="I125"/>
  <c r="G125"/>
  <c r="I127"/>
  <c r="G127"/>
  <c r="I129"/>
  <c r="G129"/>
  <c r="I131"/>
  <c r="G131"/>
  <c r="I134"/>
  <c r="G134"/>
  <c r="I136"/>
  <c r="G136"/>
  <c r="I138"/>
  <c r="G138"/>
  <c r="I140"/>
  <c r="G140"/>
  <c r="I142"/>
  <c r="G142"/>
  <c r="I145"/>
  <c r="G145"/>
  <c r="I147"/>
  <c r="G147"/>
  <c r="I149"/>
  <c r="G149"/>
  <c r="I151"/>
  <c r="G151"/>
  <c r="I154"/>
  <c r="G154"/>
  <c r="I156"/>
  <c r="G156"/>
  <c r="I158"/>
  <c r="G158"/>
  <c r="I160"/>
  <c r="G160"/>
  <c r="I162"/>
  <c r="G162"/>
  <c r="I165"/>
  <c r="G165"/>
  <c r="I167"/>
  <c r="G167"/>
  <c r="I169"/>
  <c r="G169"/>
  <c r="I171"/>
  <c r="G171"/>
  <c r="I173"/>
  <c r="G173"/>
  <c r="I176"/>
  <c r="G176"/>
  <c r="I178"/>
  <c r="G178"/>
  <c r="I180"/>
  <c r="G180"/>
  <c r="I182"/>
  <c r="G182"/>
  <c r="I184"/>
  <c r="G184"/>
  <c r="I187"/>
  <c r="G187"/>
  <c r="I189"/>
  <c r="G189"/>
  <c r="I191"/>
  <c r="G191"/>
  <c r="I193"/>
  <c r="G193"/>
  <c r="P195"/>
  <c r="L195"/>
  <c r="Q195"/>
  <c r="O195"/>
  <c r="M195"/>
  <c r="K195"/>
  <c r="P197"/>
  <c r="L197"/>
  <c r="Q197"/>
  <c r="O197"/>
  <c r="M197"/>
  <c r="K197"/>
  <c r="P200"/>
  <c r="L200"/>
  <c r="Q200"/>
  <c r="O200"/>
  <c r="M200"/>
  <c r="K200"/>
  <c r="P202"/>
  <c r="L202"/>
  <c r="Q202"/>
  <c r="O202"/>
  <c r="M202"/>
  <c r="K202"/>
  <c r="P204"/>
  <c r="L204"/>
  <c r="Q204"/>
  <c r="O204"/>
  <c r="M204"/>
  <c r="K204"/>
  <c r="P206"/>
  <c r="L206"/>
  <c r="Q206"/>
  <c r="O206"/>
  <c r="M206"/>
  <c r="K206"/>
  <c r="P208"/>
  <c r="L208"/>
  <c r="Q208"/>
  <c r="O208"/>
  <c r="M208"/>
  <c r="K208"/>
  <c r="P211"/>
  <c r="L211"/>
  <c r="Q211"/>
  <c r="O211"/>
  <c r="M211"/>
  <c r="K211"/>
  <c r="P213"/>
  <c r="L213"/>
  <c r="Q213"/>
  <c r="O213"/>
  <c r="M213"/>
  <c r="K213"/>
  <c r="P215"/>
  <c r="L215"/>
  <c r="Q215"/>
  <c r="O215"/>
  <c r="M215"/>
  <c r="K215"/>
  <c r="P217"/>
  <c r="L217"/>
  <c r="Q217"/>
  <c r="O217"/>
  <c r="M217"/>
  <c r="K217"/>
  <c r="P219"/>
  <c r="L219"/>
  <c r="Q219"/>
  <c r="O219"/>
  <c r="M219"/>
  <c r="K219"/>
  <c r="P221"/>
  <c r="L221"/>
  <c r="Q221"/>
  <c r="O221"/>
  <c r="M221"/>
  <c r="K221"/>
  <c r="P224"/>
  <c r="L224"/>
  <c r="Q224"/>
  <c r="O224"/>
  <c r="M224"/>
  <c r="K224"/>
  <c r="P226"/>
  <c r="L226"/>
  <c r="Q226"/>
  <c r="O226"/>
  <c r="M226"/>
  <c r="K226"/>
  <c r="P228"/>
  <c r="L228"/>
  <c r="Q228"/>
  <c r="O228"/>
  <c r="M228"/>
  <c r="K228"/>
  <c r="Q230"/>
  <c r="O230"/>
  <c r="L230"/>
  <c r="P230"/>
  <c r="M230"/>
  <c r="K230"/>
  <c r="G90"/>
  <c r="I90"/>
  <c r="G92"/>
  <c r="I92"/>
  <c r="G95"/>
  <c r="I95"/>
  <c r="G97"/>
  <c r="I97"/>
  <c r="G99"/>
  <c r="I99"/>
  <c r="G101"/>
  <c r="I101"/>
  <c r="G104"/>
  <c r="I104"/>
  <c r="G106"/>
  <c r="I106"/>
  <c r="G108"/>
  <c r="I108"/>
  <c r="G110"/>
  <c r="I110"/>
  <c r="G113"/>
  <c r="I113"/>
  <c r="G115"/>
  <c r="I115"/>
  <c r="G117"/>
  <c r="I117"/>
  <c r="G119"/>
  <c r="I119"/>
  <c r="G121"/>
  <c r="I121"/>
  <c r="G124"/>
  <c r="I124"/>
  <c r="N125"/>
  <c r="K126"/>
  <c r="N127"/>
  <c r="K128"/>
  <c r="N129"/>
  <c r="K130"/>
  <c r="N131"/>
  <c r="K133"/>
  <c r="N134"/>
  <c r="K135"/>
  <c r="N136"/>
  <c r="K137"/>
  <c r="N138"/>
  <c r="K139"/>
  <c r="N140"/>
  <c r="K141"/>
  <c r="N142"/>
  <c r="K144"/>
  <c r="N145"/>
  <c r="K146"/>
  <c r="N147"/>
  <c r="K148"/>
  <c r="N149"/>
  <c r="K150"/>
  <c r="N151"/>
  <c r="K152"/>
  <c r="N154"/>
  <c r="K155"/>
  <c r="N156"/>
  <c r="K157"/>
  <c r="N158"/>
  <c r="K159"/>
  <c r="N160"/>
  <c r="K161"/>
  <c r="N162"/>
  <c r="K163"/>
  <c r="N165"/>
  <c r="K166"/>
  <c r="N167"/>
  <c r="K168"/>
  <c r="N169"/>
  <c r="K170"/>
  <c r="N171"/>
  <c r="K172"/>
  <c r="N173"/>
  <c r="K174"/>
  <c r="N176"/>
  <c r="K177"/>
  <c r="N178"/>
  <c r="K179"/>
  <c r="N180"/>
  <c r="K181"/>
  <c r="N182"/>
  <c r="K183"/>
  <c r="N184"/>
  <c r="K185"/>
  <c r="N187"/>
  <c r="K188"/>
  <c r="N189"/>
  <c r="K190"/>
  <c r="N191"/>
  <c r="K192"/>
  <c r="N193"/>
  <c r="K194"/>
  <c r="P126"/>
  <c r="L126"/>
  <c r="P128"/>
  <c r="L128"/>
  <c r="P130"/>
  <c r="L130"/>
  <c r="P133"/>
  <c r="L133"/>
  <c r="P135"/>
  <c r="L135"/>
  <c r="P137"/>
  <c r="L137"/>
  <c r="P139"/>
  <c r="L139"/>
  <c r="P141"/>
  <c r="L141"/>
  <c r="P144"/>
  <c r="L144"/>
  <c r="P146"/>
  <c r="L146"/>
  <c r="P148"/>
  <c r="L148"/>
  <c r="P150"/>
  <c r="L150"/>
  <c r="P152"/>
  <c r="L152"/>
  <c r="P155"/>
  <c r="L155"/>
  <c r="P157"/>
  <c r="L157"/>
  <c r="P159"/>
  <c r="L159"/>
  <c r="P161"/>
  <c r="L161"/>
  <c r="P163"/>
  <c r="L163"/>
  <c r="P166"/>
  <c r="L166"/>
  <c r="P168"/>
  <c r="L168"/>
  <c r="P170"/>
  <c r="L170"/>
  <c r="P172"/>
  <c r="L172"/>
  <c r="P174"/>
  <c r="L174"/>
  <c r="P177"/>
  <c r="L177"/>
  <c r="P179"/>
  <c r="L179"/>
  <c r="P181"/>
  <c r="L181"/>
  <c r="P183"/>
  <c r="L183"/>
  <c r="P185"/>
  <c r="L185"/>
  <c r="P188"/>
  <c r="L188"/>
  <c r="P190"/>
  <c r="L190"/>
  <c r="P192"/>
  <c r="L192"/>
  <c r="P194"/>
  <c r="L194"/>
  <c r="Q196"/>
  <c r="O196"/>
  <c r="M196"/>
  <c r="K196"/>
  <c r="P196"/>
  <c r="L196"/>
  <c r="Q199"/>
  <c r="O199"/>
  <c r="M199"/>
  <c r="K199"/>
  <c r="P199"/>
  <c r="L199"/>
  <c r="Q201"/>
  <c r="O201"/>
  <c r="M201"/>
  <c r="K201"/>
  <c r="P201"/>
  <c r="L201"/>
  <c r="Q203"/>
  <c r="O203"/>
  <c r="M203"/>
  <c r="K203"/>
  <c r="P203"/>
  <c r="L203"/>
  <c r="Q205"/>
  <c r="O205"/>
  <c r="M205"/>
  <c r="K205"/>
  <c r="P205"/>
  <c r="L205"/>
  <c r="Q207"/>
  <c r="O207"/>
  <c r="M207"/>
  <c r="K207"/>
  <c r="P207"/>
  <c r="L207"/>
  <c r="Q209"/>
  <c r="O209"/>
  <c r="M209"/>
  <c r="K209"/>
  <c r="P209"/>
  <c r="L209"/>
  <c r="Q212"/>
  <c r="O212"/>
  <c r="M212"/>
  <c r="K212"/>
  <c r="P212"/>
  <c r="L212"/>
  <c r="Q214"/>
  <c r="O214"/>
  <c r="M214"/>
  <c r="K214"/>
  <c r="P214"/>
  <c r="L214"/>
  <c r="Q216"/>
  <c r="O216"/>
  <c r="M216"/>
  <c r="K216"/>
  <c r="P216"/>
  <c r="L216"/>
  <c r="Q218"/>
  <c r="O218"/>
  <c r="M218"/>
  <c r="K218"/>
  <c r="P218"/>
  <c r="L218"/>
  <c r="Q220"/>
  <c r="O220"/>
  <c r="M220"/>
  <c r="K220"/>
  <c r="P220"/>
  <c r="L220"/>
  <c r="Q223"/>
  <c r="O223"/>
  <c r="M223"/>
  <c r="K223"/>
  <c r="P223"/>
  <c r="L223"/>
  <c r="Q225"/>
  <c r="O225"/>
  <c r="M225"/>
  <c r="K225"/>
  <c r="P225"/>
  <c r="L225"/>
  <c r="Q227"/>
  <c r="O227"/>
  <c r="M227"/>
  <c r="K227"/>
  <c r="P227"/>
  <c r="L227"/>
  <c r="Q229"/>
  <c r="O229"/>
  <c r="M229"/>
  <c r="K229"/>
  <c r="P229"/>
  <c r="L229"/>
  <c r="M126"/>
  <c r="Q126"/>
  <c r="M128"/>
  <c r="Q128"/>
  <c r="M130"/>
  <c r="Q130"/>
  <c r="M133"/>
  <c r="Q133"/>
  <c r="M135"/>
  <c r="Q135"/>
  <c r="M137"/>
  <c r="Q137"/>
  <c r="M139"/>
  <c r="Q139"/>
  <c r="M141"/>
  <c r="Q141"/>
  <c r="M144"/>
  <c r="Q144"/>
  <c r="M146"/>
  <c r="Q146"/>
  <c r="M148"/>
  <c r="Q148"/>
  <c r="M150"/>
  <c r="Q150"/>
  <c r="M152"/>
  <c r="Q152"/>
  <c r="M155"/>
  <c r="Q155"/>
  <c r="M157"/>
  <c r="Q157"/>
  <c r="M159"/>
  <c r="Q159"/>
  <c r="M161"/>
  <c r="Q161"/>
  <c r="M163"/>
  <c r="Q163"/>
  <c r="M166"/>
  <c r="Q166"/>
  <c r="M168"/>
  <c r="Q168"/>
  <c r="M170"/>
  <c r="Q170"/>
  <c r="M172"/>
  <c r="Q172"/>
  <c r="M174"/>
  <c r="Q174"/>
  <c r="M177"/>
  <c r="Q177"/>
  <c r="M179"/>
  <c r="Q179"/>
  <c r="M181"/>
  <c r="Q181"/>
  <c r="M183"/>
  <c r="Q183"/>
  <c r="M185"/>
  <c r="Q185"/>
  <c r="M188"/>
  <c r="Q188"/>
  <c r="M190"/>
  <c r="Q190"/>
  <c r="M192"/>
  <c r="Q192"/>
  <c r="M194"/>
  <c r="Q194"/>
  <c r="P231"/>
  <c r="L231"/>
  <c r="P233"/>
  <c r="L233"/>
  <c r="P236"/>
  <c r="L236"/>
  <c r="P238"/>
  <c r="L238"/>
  <c r="P240"/>
  <c r="L240"/>
  <c r="Q242"/>
  <c r="O242"/>
  <c r="M242"/>
  <c r="K242"/>
  <c r="P242"/>
  <c r="L242"/>
  <c r="Q244"/>
  <c r="O244"/>
  <c r="M244"/>
  <c r="K244"/>
  <c r="P244"/>
  <c r="L244"/>
  <c r="Q247"/>
  <c r="O247"/>
  <c r="M247"/>
  <c r="K247"/>
  <c r="P247"/>
  <c r="L247"/>
  <c r="Q249"/>
  <c r="O249"/>
  <c r="M249"/>
  <c r="K249"/>
  <c r="P249"/>
  <c r="L249"/>
  <c r="Q251"/>
  <c r="O251"/>
  <c r="M251"/>
  <c r="K251"/>
  <c r="P251"/>
  <c r="L251"/>
  <c r="Q253"/>
  <c r="O253"/>
  <c r="M253"/>
  <c r="K253"/>
  <c r="P253"/>
  <c r="L253"/>
  <c r="Q255"/>
  <c r="O255"/>
  <c r="M255"/>
  <c r="K255"/>
  <c r="P255"/>
  <c r="L255"/>
  <c r="Q258"/>
  <c r="O258"/>
  <c r="M258"/>
  <c r="K258"/>
  <c r="P258"/>
  <c r="L258"/>
  <c r="Q260"/>
  <c r="O260"/>
  <c r="M260"/>
  <c r="K260"/>
  <c r="P260"/>
  <c r="L260"/>
  <c r="Q262"/>
  <c r="O262"/>
  <c r="M262"/>
  <c r="K262"/>
  <c r="P262"/>
  <c r="L262"/>
  <c r="Q264"/>
  <c r="O264"/>
  <c r="M264"/>
  <c r="K264"/>
  <c r="P264"/>
  <c r="L264"/>
  <c r="Q267"/>
  <c r="O267"/>
  <c r="M267"/>
  <c r="K267"/>
  <c r="P267"/>
  <c r="L267"/>
  <c r="Q269"/>
  <c r="O269"/>
  <c r="M269"/>
  <c r="K269"/>
  <c r="P269"/>
  <c r="L269"/>
  <c r="Q271"/>
  <c r="O271"/>
  <c r="M271"/>
  <c r="K271"/>
  <c r="P271"/>
  <c r="L271"/>
  <c r="Q274"/>
  <c r="O274"/>
  <c r="M274"/>
  <c r="K274"/>
  <c r="P274"/>
  <c r="L274"/>
  <c r="Q276"/>
  <c r="O276"/>
  <c r="M276"/>
  <c r="K276"/>
  <c r="P276"/>
  <c r="L276"/>
  <c r="Q278"/>
  <c r="O278"/>
  <c r="M278"/>
  <c r="K278"/>
  <c r="P278"/>
  <c r="L278"/>
  <c r="Q281"/>
  <c r="O281"/>
  <c r="M281"/>
  <c r="K281"/>
  <c r="P281"/>
  <c r="L281"/>
  <c r="Q283"/>
  <c r="O283"/>
  <c r="M283"/>
  <c r="K283"/>
  <c r="P283"/>
  <c r="L283"/>
  <c r="Q286"/>
  <c r="O286"/>
  <c r="M286"/>
  <c r="K286"/>
  <c r="P286"/>
  <c r="L286"/>
  <c r="G195"/>
  <c r="I195"/>
  <c r="G197"/>
  <c r="I197"/>
  <c r="G200"/>
  <c r="I200"/>
  <c r="G202"/>
  <c r="I202"/>
  <c r="G204"/>
  <c r="I204"/>
  <c r="G206"/>
  <c r="I206"/>
  <c r="G208"/>
  <c r="I208"/>
  <c r="G211"/>
  <c r="I211"/>
  <c r="G213"/>
  <c r="I213"/>
  <c r="G215"/>
  <c r="I215"/>
  <c r="G217"/>
  <c r="I217"/>
  <c r="G219"/>
  <c r="I219"/>
  <c r="G221"/>
  <c r="I221"/>
  <c r="G224"/>
  <c r="I224"/>
  <c r="G226"/>
  <c r="I226"/>
  <c r="G228"/>
  <c r="I228"/>
  <c r="G230"/>
  <c r="I230"/>
  <c r="M231"/>
  <c r="Q231"/>
  <c r="M233"/>
  <c r="Q233"/>
  <c r="M236"/>
  <c r="Q236"/>
  <c r="M238"/>
  <c r="Q238"/>
  <c r="M240"/>
  <c r="Q240"/>
  <c r="I232"/>
  <c r="G232"/>
  <c r="I235"/>
  <c r="G235"/>
  <c r="I237"/>
  <c r="G237"/>
  <c r="I239"/>
  <c r="G239"/>
  <c r="I241"/>
  <c r="G241"/>
  <c r="P243"/>
  <c r="L243"/>
  <c r="Q243"/>
  <c r="O243"/>
  <c r="M243"/>
  <c r="K243"/>
  <c r="P245"/>
  <c r="L245"/>
  <c r="Q245"/>
  <c r="O245"/>
  <c r="M245"/>
  <c r="K245"/>
  <c r="P248"/>
  <c r="L248"/>
  <c r="Q248"/>
  <c r="O248"/>
  <c r="M248"/>
  <c r="K248"/>
  <c r="P250"/>
  <c r="L250"/>
  <c r="Q250"/>
  <c r="O250"/>
  <c r="M250"/>
  <c r="K250"/>
  <c r="P252"/>
  <c r="L252"/>
  <c r="Q252"/>
  <c r="O252"/>
  <c r="M252"/>
  <c r="K252"/>
  <c r="P254"/>
  <c r="L254"/>
  <c r="Q254"/>
  <c r="O254"/>
  <c r="M254"/>
  <c r="K254"/>
  <c r="P257"/>
  <c r="L257"/>
  <c r="Q257"/>
  <c r="O257"/>
  <c r="M257"/>
  <c r="K257"/>
  <c r="P259"/>
  <c r="L259"/>
  <c r="Q259"/>
  <c r="O259"/>
  <c r="M259"/>
  <c r="K259"/>
  <c r="P261"/>
  <c r="L261"/>
  <c r="Q261"/>
  <c r="O261"/>
  <c r="M261"/>
  <c r="K261"/>
  <c r="P263"/>
  <c r="L263"/>
  <c r="Q263"/>
  <c r="O263"/>
  <c r="M263"/>
  <c r="K263"/>
  <c r="P266"/>
  <c r="L266"/>
  <c r="Q266"/>
  <c r="O266"/>
  <c r="M266"/>
  <c r="K266"/>
  <c r="P268"/>
  <c r="L268"/>
  <c r="Q268"/>
  <c r="O268"/>
  <c r="M268"/>
  <c r="K268"/>
  <c r="P270"/>
  <c r="L270"/>
  <c r="Q270"/>
  <c r="O270"/>
  <c r="M270"/>
  <c r="K270"/>
  <c r="P272"/>
  <c r="L272"/>
  <c r="Q272"/>
  <c r="O272"/>
  <c r="M272"/>
  <c r="K272"/>
  <c r="P275"/>
  <c r="L275"/>
  <c r="Q275"/>
  <c r="O275"/>
  <c r="M275"/>
  <c r="K275"/>
  <c r="P277"/>
  <c r="L277"/>
  <c r="Q277"/>
  <c r="O277"/>
  <c r="M277"/>
  <c r="K277"/>
  <c r="P280"/>
  <c r="L280"/>
  <c r="Q280"/>
  <c r="O280"/>
  <c r="M280"/>
  <c r="K280"/>
  <c r="P282"/>
  <c r="L282"/>
  <c r="Q282"/>
  <c r="O282"/>
  <c r="M282"/>
  <c r="K282"/>
  <c r="P285"/>
  <c r="L285"/>
  <c r="Q285"/>
  <c r="O285"/>
  <c r="M285"/>
  <c r="K285"/>
  <c r="P287"/>
  <c r="L287"/>
  <c r="Q287"/>
  <c r="O287"/>
  <c r="M287"/>
  <c r="K287"/>
  <c r="N232"/>
  <c r="N235"/>
  <c r="N237"/>
  <c r="N239"/>
  <c r="N241"/>
  <c r="G243"/>
  <c r="I243"/>
  <c r="G245"/>
  <c r="I245"/>
  <c r="G248"/>
  <c r="I248"/>
  <c r="G250"/>
  <c r="I250"/>
  <c r="G252"/>
  <c r="I252"/>
  <c r="G254"/>
  <c r="I254"/>
  <c r="G257"/>
  <c r="I257"/>
  <c r="G259"/>
  <c r="I259"/>
  <c r="G261"/>
  <c r="I261"/>
  <c r="G263"/>
  <c r="I263"/>
  <c r="G266"/>
  <c r="I266"/>
  <c r="G268"/>
  <c r="I268"/>
  <c r="G270"/>
  <c r="I270"/>
  <c r="G272"/>
  <c r="I272"/>
  <c r="G275"/>
  <c r="I275"/>
  <c r="G277"/>
  <c r="I277"/>
  <c r="G280"/>
  <c r="I280"/>
  <c r="G282"/>
  <c r="I282"/>
  <c r="G285"/>
  <c r="I285"/>
  <c r="G287"/>
  <c r="I287"/>
  <c r="N289"/>
  <c r="G289"/>
  <c r="I538" i="16"/>
  <c r="I499"/>
  <c r="I462"/>
  <c r="M358"/>
  <c r="K358" s="1"/>
  <c r="M349"/>
  <c r="O349" s="1"/>
  <c r="H349"/>
  <c r="I377"/>
  <c r="M332"/>
  <c r="O332" s="1"/>
  <c r="H358"/>
  <c r="N358"/>
  <c r="I358"/>
  <c r="H332"/>
  <c r="K349"/>
  <c r="I349"/>
  <c r="P349"/>
  <c r="I332"/>
  <c r="I142"/>
  <c r="M485"/>
  <c r="N185"/>
  <c r="K185" s="1"/>
  <c r="N233"/>
  <c r="K233" s="1"/>
  <c r="N142"/>
  <c r="K142" s="1"/>
  <c r="H142"/>
  <c r="N209"/>
  <c r="K209" s="1"/>
  <c r="L233"/>
  <c r="H233"/>
  <c r="I121"/>
  <c r="I163"/>
  <c r="N197"/>
  <c r="K197" s="1"/>
  <c r="N221"/>
  <c r="K221" s="1"/>
  <c r="H221"/>
  <c r="P142"/>
  <c r="Q185"/>
  <c r="O185"/>
  <c r="Q209"/>
  <c r="O209"/>
  <c r="P221"/>
  <c r="L142"/>
  <c r="Q142"/>
  <c r="O142"/>
  <c r="N163"/>
  <c r="H163"/>
  <c r="L185"/>
  <c r="H185"/>
  <c r="P185"/>
  <c r="H197"/>
  <c r="L209"/>
  <c r="H209"/>
  <c r="P209"/>
  <c r="L221"/>
  <c r="Q221"/>
  <c r="O221"/>
  <c r="Q233"/>
  <c r="M233"/>
  <c r="I233"/>
  <c r="M221"/>
  <c r="M209"/>
  <c r="I209"/>
  <c r="I197"/>
  <c r="M185"/>
  <c r="I185"/>
  <c r="M163"/>
  <c r="M142"/>
  <c r="N121"/>
  <c r="H121"/>
  <c r="M121"/>
  <c r="I699"/>
  <c r="H699"/>
  <c r="I734"/>
  <c r="H734"/>
  <c r="I845"/>
  <c r="G511"/>
  <c r="O511"/>
  <c r="G461"/>
  <c r="K461"/>
  <c r="G537"/>
  <c r="N537"/>
  <c r="I829"/>
  <c r="H829"/>
  <c r="L829" s="1"/>
  <c r="H845"/>
  <c r="L845" s="1"/>
  <c r="K485"/>
  <c r="I814"/>
  <c r="H814"/>
  <c r="I786"/>
  <c r="I772"/>
  <c r="H786"/>
  <c r="L786" s="1"/>
  <c r="H772"/>
  <c r="H511"/>
  <c r="I511"/>
  <c r="H461"/>
  <c r="H485"/>
  <c r="H853"/>
  <c r="I537"/>
  <c r="I485"/>
  <c r="I461"/>
  <c r="H641"/>
  <c r="H779"/>
  <c r="H671"/>
  <c r="H743"/>
  <c r="H817"/>
  <c r="H623"/>
  <c r="G655"/>
  <c r="H688"/>
  <c r="H725"/>
  <c r="H761"/>
  <c r="H797"/>
  <c r="H835"/>
  <c r="H870"/>
  <c r="H614"/>
  <c r="H650"/>
  <c r="H661"/>
  <c r="H680"/>
  <c r="H697"/>
  <c r="H716"/>
  <c r="H733"/>
  <c r="H752"/>
  <c r="H769"/>
  <c r="H789"/>
  <c r="H806"/>
  <c r="H825"/>
  <c r="H843"/>
  <c r="H862"/>
  <c r="H879"/>
  <c r="H610"/>
  <c r="H619"/>
  <c r="H628"/>
  <c r="H636"/>
  <c r="H645"/>
  <c r="H654"/>
  <c r="H665"/>
  <c r="H675"/>
  <c r="H684"/>
  <c r="H693"/>
  <c r="H703"/>
  <c r="L703" s="1"/>
  <c r="H712"/>
  <c r="H720"/>
  <c r="H729"/>
  <c r="H739"/>
  <c r="H748"/>
  <c r="H756"/>
  <c r="H765"/>
  <c r="H775"/>
  <c r="H783"/>
  <c r="H793"/>
  <c r="H802"/>
  <c r="H810"/>
  <c r="H821"/>
  <c r="H831"/>
  <c r="H839"/>
  <c r="H849"/>
  <c r="H857"/>
  <c r="H866"/>
  <c r="H875"/>
  <c r="H911"/>
  <c r="H616"/>
  <c r="H621"/>
  <c r="H626"/>
  <c r="H630"/>
  <c r="H634"/>
  <c r="H638"/>
  <c r="H643"/>
  <c r="H647"/>
  <c r="H652"/>
  <c r="H658"/>
  <c r="H663"/>
  <c r="H669"/>
  <c r="H673"/>
  <c r="H677"/>
  <c r="H682"/>
  <c r="H686"/>
  <c r="H691"/>
  <c r="H695"/>
  <c r="H701"/>
  <c r="H705"/>
  <c r="L705" s="1"/>
  <c r="H709"/>
  <c r="L709" s="1"/>
  <c r="H714"/>
  <c r="H718"/>
  <c r="H722"/>
  <c r="H727"/>
  <c r="H731"/>
  <c r="H737"/>
  <c r="H741"/>
  <c r="H745"/>
  <c r="H750"/>
  <c r="H754"/>
  <c r="H758"/>
  <c r="H763"/>
  <c r="H767"/>
  <c r="H771"/>
  <c r="H777"/>
  <c r="H781"/>
  <c r="H785"/>
  <c r="H791"/>
  <c r="H795"/>
  <c r="H799"/>
  <c r="H804"/>
  <c r="H808"/>
  <c r="H813"/>
  <c r="H819"/>
  <c r="H823"/>
  <c r="H827"/>
  <c r="H833"/>
  <c r="H837"/>
  <c r="H841"/>
  <c r="H847"/>
  <c r="H851"/>
  <c r="H855"/>
  <c r="H859"/>
  <c r="H864"/>
  <c r="H868"/>
  <c r="H872"/>
  <c r="H877"/>
  <c r="H902"/>
  <c r="H921"/>
  <c r="H608"/>
  <c r="H611"/>
  <c r="H613"/>
  <c r="H615"/>
  <c r="H618"/>
  <c r="G621"/>
  <c r="I621"/>
  <c r="H622"/>
  <c r="G626"/>
  <c r="I626"/>
  <c r="H627"/>
  <c r="G630"/>
  <c r="I630"/>
  <c r="H631"/>
  <c r="G634"/>
  <c r="I634"/>
  <c r="H635"/>
  <c r="G638"/>
  <c r="I638"/>
  <c r="H639"/>
  <c r="G643"/>
  <c r="I643"/>
  <c r="H644"/>
  <c r="G647"/>
  <c r="I647"/>
  <c r="H648"/>
  <c r="G652"/>
  <c r="I652"/>
  <c r="H653"/>
  <c r="H656"/>
  <c r="G661"/>
  <c r="I661"/>
  <c r="G663"/>
  <c r="I663"/>
  <c r="H667"/>
  <c r="G671"/>
  <c r="I671"/>
  <c r="G675"/>
  <c r="I675"/>
  <c r="G680"/>
  <c r="I680"/>
  <c r="G684"/>
  <c r="I684"/>
  <c r="G688"/>
  <c r="I688"/>
  <c r="G693"/>
  <c r="I693"/>
  <c r="G697"/>
  <c r="I697"/>
  <c r="G703"/>
  <c r="I703"/>
  <c r="G707"/>
  <c r="I707"/>
  <c r="G712"/>
  <c r="I712"/>
  <c r="G716"/>
  <c r="I716"/>
  <c r="G720"/>
  <c r="I720"/>
  <c r="G725"/>
  <c r="I725"/>
  <c r="G729"/>
  <c r="I729"/>
  <c r="G733"/>
  <c r="I733"/>
  <c r="G739"/>
  <c r="I739"/>
  <c r="G743"/>
  <c r="I743"/>
  <c r="G748"/>
  <c r="I748"/>
  <c r="G752"/>
  <c r="I752"/>
  <c r="G756"/>
  <c r="I756"/>
  <c r="G761"/>
  <c r="I761"/>
  <c r="G765"/>
  <c r="I765"/>
  <c r="G769"/>
  <c r="I769"/>
  <c r="G775"/>
  <c r="I775"/>
  <c r="G779"/>
  <c r="I779"/>
  <c r="G783"/>
  <c r="I783"/>
  <c r="G789"/>
  <c r="I789"/>
  <c r="G793"/>
  <c r="I793"/>
  <c r="G797"/>
  <c r="I797"/>
  <c r="G802"/>
  <c r="I802"/>
  <c r="G806"/>
  <c r="I806"/>
  <c r="G808"/>
  <c r="I808"/>
  <c r="H812"/>
  <c r="G817"/>
  <c r="I817"/>
  <c r="G821"/>
  <c r="I821"/>
  <c r="G825"/>
  <c r="I825"/>
  <c r="G831"/>
  <c r="I831"/>
  <c r="G835"/>
  <c r="I835"/>
  <c r="G839"/>
  <c r="I839"/>
  <c r="G843"/>
  <c r="I843"/>
  <c r="G849"/>
  <c r="I849"/>
  <c r="G853"/>
  <c r="I853"/>
  <c r="G857"/>
  <c r="I857"/>
  <c r="G862"/>
  <c r="I862"/>
  <c r="G866"/>
  <c r="I866"/>
  <c r="G870"/>
  <c r="I870"/>
  <c r="G875"/>
  <c r="I875"/>
  <c r="G879"/>
  <c r="I879"/>
  <c r="H907"/>
  <c r="H916"/>
  <c r="H926"/>
  <c r="G610"/>
  <c r="I610"/>
  <c r="G614"/>
  <c r="I614"/>
  <c r="G616"/>
  <c r="I616"/>
  <c r="G619"/>
  <c r="I619"/>
  <c r="H620"/>
  <c r="G623"/>
  <c r="I623"/>
  <c r="H625"/>
  <c r="L625" s="1"/>
  <c r="G628"/>
  <c r="I628"/>
  <c r="H629"/>
  <c r="H633"/>
  <c r="G636"/>
  <c r="I636"/>
  <c r="H637"/>
  <c r="G641"/>
  <c r="I641"/>
  <c r="H642"/>
  <c r="G645"/>
  <c r="I645"/>
  <c r="H646"/>
  <c r="G650"/>
  <c r="I650"/>
  <c r="H651"/>
  <c r="G654"/>
  <c r="I654"/>
  <c r="G656"/>
  <c r="I656"/>
  <c r="G658"/>
  <c r="I658"/>
  <c r="G665"/>
  <c r="I665"/>
  <c r="G667"/>
  <c r="I667"/>
  <c r="G669"/>
  <c r="I669"/>
  <c r="G673"/>
  <c r="I673"/>
  <c r="G677"/>
  <c r="I677"/>
  <c r="G682"/>
  <c r="I682"/>
  <c r="G686"/>
  <c r="I686"/>
  <c r="G691"/>
  <c r="I691"/>
  <c r="G695"/>
  <c r="I695"/>
  <c r="G701"/>
  <c r="I701"/>
  <c r="G705"/>
  <c r="I705"/>
  <c r="G709"/>
  <c r="I709"/>
  <c r="G714"/>
  <c r="I714"/>
  <c r="G718"/>
  <c r="I718"/>
  <c r="G722"/>
  <c r="I722"/>
  <c r="G727"/>
  <c r="I727"/>
  <c r="G731"/>
  <c r="I731"/>
  <c r="G737"/>
  <c r="I737"/>
  <c r="G741"/>
  <c r="I741"/>
  <c r="G745"/>
  <c r="I745"/>
  <c r="G750"/>
  <c r="I750"/>
  <c r="G754"/>
  <c r="I754"/>
  <c r="G758"/>
  <c r="I758"/>
  <c r="G763"/>
  <c r="I763"/>
  <c r="G767"/>
  <c r="I767"/>
  <c r="G771"/>
  <c r="I771"/>
  <c r="G777"/>
  <c r="I777"/>
  <c r="G781"/>
  <c r="I781"/>
  <c r="G785"/>
  <c r="I785"/>
  <c r="G791"/>
  <c r="I791"/>
  <c r="G795"/>
  <c r="I795"/>
  <c r="G799"/>
  <c r="I799"/>
  <c r="G804"/>
  <c r="I804"/>
  <c r="G810"/>
  <c r="I810"/>
  <c r="G812"/>
  <c r="I812"/>
  <c r="G813"/>
  <c r="I813"/>
  <c r="G819"/>
  <c r="I819"/>
  <c r="G823"/>
  <c r="I823"/>
  <c r="G827"/>
  <c r="I827"/>
  <c r="G833"/>
  <c r="I833"/>
  <c r="G837"/>
  <c r="I837"/>
  <c r="G841"/>
  <c r="I841"/>
  <c r="G847"/>
  <c r="I847"/>
  <c r="G851"/>
  <c r="I851"/>
  <c r="G855"/>
  <c r="I855"/>
  <c r="G859"/>
  <c r="I859"/>
  <c r="G864"/>
  <c r="I864"/>
  <c r="G868"/>
  <c r="I868"/>
  <c r="G872"/>
  <c r="I872"/>
  <c r="G877"/>
  <c r="I877"/>
  <c r="H900"/>
  <c r="H905"/>
  <c r="H909"/>
  <c r="H914"/>
  <c r="H919"/>
  <c r="H924"/>
  <c r="I657"/>
  <c r="G657"/>
  <c r="I662"/>
  <c r="G662"/>
  <c r="I666"/>
  <c r="G666"/>
  <c r="I670"/>
  <c r="G670"/>
  <c r="I672"/>
  <c r="G672"/>
  <c r="I674"/>
  <c r="G674"/>
  <c r="I676"/>
  <c r="G676"/>
  <c r="I679"/>
  <c r="G679"/>
  <c r="I681"/>
  <c r="G681"/>
  <c r="I683"/>
  <c r="G683"/>
  <c r="I685"/>
  <c r="G685"/>
  <c r="I687"/>
  <c r="G687"/>
  <c r="I690"/>
  <c r="G690"/>
  <c r="I692"/>
  <c r="G692"/>
  <c r="I694"/>
  <c r="G694"/>
  <c r="I696"/>
  <c r="G696"/>
  <c r="I698"/>
  <c r="G698"/>
  <c r="I702"/>
  <c r="G702"/>
  <c r="I704"/>
  <c r="G704"/>
  <c r="I706"/>
  <c r="G706"/>
  <c r="I708"/>
  <c r="G708"/>
  <c r="I710"/>
  <c r="G710"/>
  <c r="I713"/>
  <c r="G713"/>
  <c r="I715"/>
  <c r="G715"/>
  <c r="I717"/>
  <c r="G717"/>
  <c r="I719"/>
  <c r="G719"/>
  <c r="I721"/>
  <c r="G721"/>
  <c r="I724"/>
  <c r="G724"/>
  <c r="I726"/>
  <c r="G726"/>
  <c r="I728"/>
  <c r="G728"/>
  <c r="I730"/>
  <c r="G730"/>
  <c r="I732"/>
  <c r="G732"/>
  <c r="I736"/>
  <c r="G736"/>
  <c r="I738"/>
  <c r="G738"/>
  <c r="I740"/>
  <c r="G740"/>
  <c r="I742"/>
  <c r="G742"/>
  <c r="I744"/>
  <c r="G744"/>
  <c r="I746"/>
  <c r="G746"/>
  <c r="I749"/>
  <c r="G749"/>
  <c r="I751"/>
  <c r="G751"/>
  <c r="I753"/>
  <c r="G753"/>
  <c r="I755"/>
  <c r="G755"/>
  <c r="I757"/>
  <c r="G757"/>
  <c r="I759"/>
  <c r="G759"/>
  <c r="I762"/>
  <c r="G762"/>
  <c r="I764"/>
  <c r="G764"/>
  <c r="I766"/>
  <c r="G766"/>
  <c r="I768"/>
  <c r="G768"/>
  <c r="I770"/>
  <c r="G770"/>
  <c r="I774"/>
  <c r="G774"/>
  <c r="I776"/>
  <c r="G776"/>
  <c r="I778"/>
  <c r="G778"/>
  <c r="I780"/>
  <c r="G780"/>
  <c r="I782"/>
  <c r="G782"/>
  <c r="I784"/>
  <c r="G784"/>
  <c r="I788"/>
  <c r="G788"/>
  <c r="I790"/>
  <c r="G790"/>
  <c r="I792"/>
  <c r="G792"/>
  <c r="I794"/>
  <c r="G794"/>
  <c r="I796"/>
  <c r="G796"/>
  <c r="I798"/>
  <c r="G798"/>
  <c r="I800"/>
  <c r="G800"/>
  <c r="I803"/>
  <c r="G803"/>
  <c r="I807"/>
  <c r="G807"/>
  <c r="I811"/>
  <c r="G811"/>
  <c r="I816"/>
  <c r="G816"/>
  <c r="I818"/>
  <c r="G818"/>
  <c r="I820"/>
  <c r="G820"/>
  <c r="I822"/>
  <c r="G822"/>
  <c r="I824"/>
  <c r="G824"/>
  <c r="I826"/>
  <c r="G826"/>
  <c r="I828"/>
  <c r="G828"/>
  <c r="I832"/>
  <c r="G832"/>
  <c r="I834"/>
  <c r="G834"/>
  <c r="I836"/>
  <c r="G836"/>
  <c r="I838"/>
  <c r="G838"/>
  <c r="I840"/>
  <c r="G840"/>
  <c r="I842"/>
  <c r="G842"/>
  <c r="I844"/>
  <c r="G844"/>
  <c r="I848"/>
  <c r="G848"/>
  <c r="I850"/>
  <c r="G850"/>
  <c r="I852"/>
  <c r="G852"/>
  <c r="I854"/>
  <c r="G854"/>
  <c r="I856"/>
  <c r="G856"/>
  <c r="I858"/>
  <c r="G858"/>
  <c r="I861"/>
  <c r="G861"/>
  <c r="I863"/>
  <c r="G863"/>
  <c r="I865"/>
  <c r="G865"/>
  <c r="I867"/>
  <c r="G867"/>
  <c r="I869"/>
  <c r="G869"/>
  <c r="I871"/>
  <c r="G871"/>
  <c r="I874"/>
  <c r="G874"/>
  <c r="I876"/>
  <c r="G876"/>
  <c r="I878"/>
  <c r="G878"/>
  <c r="I880"/>
  <c r="G880"/>
  <c r="H881"/>
  <c r="H882"/>
  <c r="H883"/>
  <c r="H884"/>
  <c r="H886"/>
  <c r="H887"/>
  <c r="H888"/>
  <c r="H889"/>
  <c r="H890"/>
  <c r="H891"/>
  <c r="H892"/>
  <c r="H893"/>
  <c r="H894"/>
  <c r="H896"/>
  <c r="H897"/>
  <c r="H898"/>
  <c r="H903"/>
  <c r="L903" s="1"/>
  <c r="H908"/>
  <c r="H913"/>
  <c r="H917"/>
  <c r="H922"/>
  <c r="L922" s="1"/>
  <c r="H928"/>
  <c r="O655"/>
  <c r="I655"/>
  <c r="O660"/>
  <c r="I660"/>
  <c r="G660"/>
  <c r="O664"/>
  <c r="I664"/>
  <c r="G664"/>
  <c r="O805"/>
  <c r="I805"/>
  <c r="G805"/>
  <c r="O809"/>
  <c r="I809"/>
  <c r="G809"/>
  <c r="H901"/>
  <c r="H906"/>
  <c r="H910"/>
  <c r="H915"/>
  <c r="H920"/>
  <c r="H925"/>
  <c r="G608"/>
  <c r="I608"/>
  <c r="G611"/>
  <c r="I611"/>
  <c r="G613"/>
  <c r="I613"/>
  <c r="G615"/>
  <c r="I615"/>
  <c r="G618"/>
  <c r="I618"/>
  <c r="G620"/>
  <c r="I620"/>
  <c r="G622"/>
  <c r="I622"/>
  <c r="G625"/>
  <c r="I625"/>
  <c r="G627"/>
  <c r="I627"/>
  <c r="G629"/>
  <c r="I629"/>
  <c r="G631"/>
  <c r="I631"/>
  <c r="G633"/>
  <c r="I633"/>
  <c r="G635"/>
  <c r="I635"/>
  <c r="G637"/>
  <c r="I637"/>
  <c r="G639"/>
  <c r="I639"/>
  <c r="G642"/>
  <c r="I642"/>
  <c r="G644"/>
  <c r="I644"/>
  <c r="G646"/>
  <c r="I646"/>
  <c r="G648"/>
  <c r="I648"/>
  <c r="G651"/>
  <c r="I651"/>
  <c r="G653"/>
  <c r="I653"/>
  <c r="H657"/>
  <c r="H662"/>
  <c r="H666"/>
  <c r="H670"/>
  <c r="H672"/>
  <c r="H674"/>
  <c r="H676"/>
  <c r="H679"/>
  <c r="H681"/>
  <c r="H683"/>
  <c r="H685"/>
  <c r="H687"/>
  <c r="H690"/>
  <c r="H692"/>
  <c r="H694"/>
  <c r="H696"/>
  <c r="H698"/>
  <c r="H702"/>
  <c r="H704"/>
  <c r="L704" s="1"/>
  <c r="H706"/>
  <c r="L706" s="1"/>
  <c r="H708"/>
  <c r="L708" s="1"/>
  <c r="H710"/>
  <c r="L710" s="1"/>
  <c r="H713"/>
  <c r="L713" s="1"/>
  <c r="H715"/>
  <c r="H717"/>
  <c r="H719"/>
  <c r="H721"/>
  <c r="H724"/>
  <c r="H726"/>
  <c r="H728"/>
  <c r="H730"/>
  <c r="H732"/>
  <c r="H736"/>
  <c r="H738"/>
  <c r="H740"/>
  <c r="H742"/>
  <c r="H744"/>
  <c r="H746"/>
  <c r="H749"/>
  <c r="H751"/>
  <c r="H753"/>
  <c r="H755"/>
  <c r="H757"/>
  <c r="H759"/>
  <c r="H762"/>
  <c r="H764"/>
  <c r="H766"/>
  <c r="H768"/>
  <c r="H770"/>
  <c r="H774"/>
  <c r="H776"/>
  <c r="H778"/>
  <c r="H780"/>
  <c r="H782"/>
  <c r="H784"/>
  <c r="H788"/>
  <c r="H790"/>
  <c r="H792"/>
  <c r="H794"/>
  <c r="H796"/>
  <c r="H798"/>
  <c r="H800"/>
  <c r="H803"/>
  <c r="H807"/>
  <c r="H811"/>
  <c r="H816"/>
  <c r="H818"/>
  <c r="H820"/>
  <c r="H822"/>
  <c r="H824"/>
  <c r="H826"/>
  <c r="H828"/>
  <c r="H832"/>
  <c r="H834"/>
  <c r="H836"/>
  <c r="H838"/>
  <c r="H840"/>
  <c r="H842"/>
  <c r="H844"/>
  <c r="H848"/>
  <c r="H850"/>
  <c r="H852"/>
  <c r="H854"/>
  <c r="H856"/>
  <c r="H858"/>
  <c r="H861"/>
  <c r="H863"/>
  <c r="H865"/>
  <c r="H867"/>
  <c r="H869"/>
  <c r="H871"/>
  <c r="H874"/>
  <c r="H876"/>
  <c r="H878"/>
  <c r="H880"/>
  <c r="L880" s="1"/>
  <c r="Q707"/>
  <c r="O707"/>
  <c r="M707"/>
  <c r="K707"/>
  <c r="P707"/>
  <c r="N707"/>
  <c r="Q660"/>
  <c r="M664"/>
  <c r="N809"/>
  <c r="Q805"/>
  <c r="Q809"/>
  <c r="I881"/>
  <c r="G881"/>
  <c r="I882"/>
  <c r="G882"/>
  <c r="I883"/>
  <c r="G883"/>
  <c r="I884"/>
  <c r="G884"/>
  <c r="I886"/>
  <c r="G886"/>
  <c r="I887"/>
  <c r="G887"/>
  <c r="I888"/>
  <c r="G888"/>
  <c r="I889"/>
  <c r="G889"/>
  <c r="I890"/>
  <c r="G890"/>
  <c r="I891"/>
  <c r="G891"/>
  <c r="I892"/>
  <c r="G892"/>
  <c r="I893"/>
  <c r="G893"/>
  <c r="I894"/>
  <c r="G894"/>
  <c r="I896"/>
  <c r="G896"/>
  <c r="I897"/>
  <c r="G897"/>
  <c r="I898"/>
  <c r="G898"/>
  <c r="I899"/>
  <c r="G899"/>
  <c r="G900"/>
  <c r="I900"/>
  <c r="G901"/>
  <c r="I901"/>
  <c r="G902"/>
  <c r="I902"/>
  <c r="G903"/>
  <c r="I903"/>
  <c r="G905"/>
  <c r="I905"/>
  <c r="G906"/>
  <c r="I906"/>
  <c r="G907"/>
  <c r="I907"/>
  <c r="G908"/>
  <c r="I908"/>
  <c r="G909"/>
  <c r="I909"/>
  <c r="G910"/>
  <c r="I910"/>
  <c r="G911"/>
  <c r="I911"/>
  <c r="G913"/>
  <c r="I913"/>
  <c r="G914"/>
  <c r="I914"/>
  <c r="G915"/>
  <c r="I915"/>
  <c r="G916"/>
  <c r="I916"/>
  <c r="G917"/>
  <c r="I917"/>
  <c r="G919"/>
  <c r="I919"/>
  <c r="G920"/>
  <c r="I920"/>
  <c r="G921"/>
  <c r="I921"/>
  <c r="G922"/>
  <c r="I922"/>
  <c r="G924"/>
  <c r="I924"/>
  <c r="G925"/>
  <c r="I925"/>
  <c r="G926"/>
  <c r="I926"/>
  <c r="G928"/>
  <c r="I928"/>
  <c r="Q926" i="17" l="1"/>
  <c r="O926"/>
  <c r="M926"/>
  <c r="K926"/>
  <c r="P926"/>
  <c r="N926"/>
  <c r="Q916"/>
  <c r="O916"/>
  <c r="M916"/>
  <c r="K916"/>
  <c r="P916"/>
  <c r="N916"/>
  <c r="Q907"/>
  <c r="O907"/>
  <c r="M907"/>
  <c r="K907"/>
  <c r="P907"/>
  <c r="N907"/>
  <c r="Q898"/>
  <c r="O898"/>
  <c r="M898"/>
  <c r="K898"/>
  <c r="P898"/>
  <c r="N898"/>
  <c r="Q889"/>
  <c r="O889"/>
  <c r="M889"/>
  <c r="K889"/>
  <c r="P889"/>
  <c r="N889"/>
  <c r="Q880"/>
  <c r="O880"/>
  <c r="M880"/>
  <c r="K880"/>
  <c r="P880"/>
  <c r="N880"/>
  <c r="Q871"/>
  <c r="O871"/>
  <c r="M871"/>
  <c r="K871"/>
  <c r="P871"/>
  <c r="N871"/>
  <c r="Q921"/>
  <c r="O921"/>
  <c r="M921"/>
  <c r="K921"/>
  <c r="P921"/>
  <c r="N921"/>
  <c r="Q911"/>
  <c r="O911"/>
  <c r="M911"/>
  <c r="K911"/>
  <c r="P911"/>
  <c r="N911"/>
  <c r="Q902"/>
  <c r="O902"/>
  <c r="M902"/>
  <c r="K902"/>
  <c r="P902"/>
  <c r="N902"/>
  <c r="Q893"/>
  <c r="O893"/>
  <c r="M893"/>
  <c r="K893"/>
  <c r="P893"/>
  <c r="N893"/>
  <c r="Q884"/>
  <c r="O884"/>
  <c r="M884"/>
  <c r="K884"/>
  <c r="P884"/>
  <c r="N884"/>
  <c r="Q876"/>
  <c r="O876"/>
  <c r="M876"/>
  <c r="K876"/>
  <c r="P876"/>
  <c r="N876"/>
  <c r="Q867"/>
  <c r="O867"/>
  <c r="M867"/>
  <c r="K867"/>
  <c r="P867"/>
  <c r="N867"/>
  <c r="P430"/>
  <c r="N430"/>
  <c r="L430"/>
  <c r="Q430"/>
  <c r="O430"/>
  <c r="K430"/>
  <c r="P590"/>
  <c r="N590"/>
  <c r="L590"/>
  <c r="Q590"/>
  <c r="O590"/>
  <c r="K590"/>
  <c r="P571"/>
  <c r="N571"/>
  <c r="L571"/>
  <c r="Q571"/>
  <c r="O571"/>
  <c r="K571"/>
  <c r="P540"/>
  <c r="N540"/>
  <c r="L540"/>
  <c r="Q540"/>
  <c r="O540"/>
  <c r="K540"/>
  <c r="Q533"/>
  <c r="O533"/>
  <c r="K533"/>
  <c r="N533"/>
  <c r="P533"/>
  <c r="L533"/>
  <c r="Q535"/>
  <c r="O535"/>
  <c r="K535"/>
  <c r="P535"/>
  <c r="L535"/>
  <c r="N535"/>
  <c r="Q531"/>
  <c r="O531"/>
  <c r="K531"/>
  <c r="P531"/>
  <c r="L531"/>
  <c r="N531"/>
  <c r="P342"/>
  <c r="N342"/>
  <c r="L342"/>
  <c r="Q342"/>
  <c r="O342"/>
  <c r="K342"/>
  <c r="Q381"/>
  <c r="O381"/>
  <c r="K381"/>
  <c r="P381"/>
  <c r="L381"/>
  <c r="N381"/>
  <c r="Q376"/>
  <c r="O376"/>
  <c r="K376"/>
  <c r="P376"/>
  <c r="L376"/>
  <c r="N376"/>
  <c r="Q372"/>
  <c r="O372"/>
  <c r="K372"/>
  <c r="P372"/>
  <c r="L372"/>
  <c r="N372"/>
  <c r="Q367"/>
  <c r="O367"/>
  <c r="K367"/>
  <c r="P367"/>
  <c r="L367"/>
  <c r="N367"/>
  <c r="Q379"/>
  <c r="O379"/>
  <c r="K379"/>
  <c r="N379"/>
  <c r="P379"/>
  <c r="L379"/>
  <c r="Q374"/>
  <c r="O374"/>
  <c r="K374"/>
  <c r="N374"/>
  <c r="P374"/>
  <c r="L374"/>
  <c r="Q370"/>
  <c r="O370"/>
  <c r="K370"/>
  <c r="N370"/>
  <c r="P370"/>
  <c r="L370"/>
  <c r="Q235"/>
  <c r="O235"/>
  <c r="M235"/>
  <c r="K235"/>
  <c r="P235"/>
  <c r="L235"/>
  <c r="Q88"/>
  <c r="O88"/>
  <c r="M88"/>
  <c r="K88"/>
  <c r="P88"/>
  <c r="L88"/>
  <c r="Q241"/>
  <c r="O241"/>
  <c r="M241"/>
  <c r="K241"/>
  <c r="P241"/>
  <c r="L241"/>
  <c r="Q237"/>
  <c r="O237"/>
  <c r="M237"/>
  <c r="K237"/>
  <c r="P237"/>
  <c r="L237"/>
  <c r="Q232"/>
  <c r="O232"/>
  <c r="M232"/>
  <c r="K232"/>
  <c r="P232"/>
  <c r="L232"/>
  <c r="Q193"/>
  <c r="O193"/>
  <c r="M193"/>
  <c r="K193"/>
  <c r="P193"/>
  <c r="L193"/>
  <c r="Q191"/>
  <c r="O191"/>
  <c r="M191"/>
  <c r="K191"/>
  <c r="P191"/>
  <c r="L191"/>
  <c r="Q189"/>
  <c r="O189"/>
  <c r="M189"/>
  <c r="K189"/>
  <c r="P189"/>
  <c r="L189"/>
  <c r="Q187"/>
  <c r="O187"/>
  <c r="M187"/>
  <c r="K187"/>
  <c r="P187"/>
  <c r="L187"/>
  <c r="Q184"/>
  <c r="O184"/>
  <c r="M184"/>
  <c r="K184"/>
  <c r="P184"/>
  <c r="L184"/>
  <c r="Q182"/>
  <c r="O182"/>
  <c r="M182"/>
  <c r="K182"/>
  <c r="P182"/>
  <c r="L182"/>
  <c r="Q180"/>
  <c r="O180"/>
  <c r="M180"/>
  <c r="K180"/>
  <c r="P180"/>
  <c r="L180"/>
  <c r="Q178"/>
  <c r="O178"/>
  <c r="M178"/>
  <c r="K178"/>
  <c r="P178"/>
  <c r="L178"/>
  <c r="Q176"/>
  <c r="O176"/>
  <c r="M176"/>
  <c r="K176"/>
  <c r="P176"/>
  <c r="L176"/>
  <c r="Q173"/>
  <c r="O173"/>
  <c r="M173"/>
  <c r="K173"/>
  <c r="P173"/>
  <c r="L173"/>
  <c r="Q171"/>
  <c r="O171"/>
  <c r="M171"/>
  <c r="K171"/>
  <c r="P171"/>
  <c r="L171"/>
  <c r="Q169"/>
  <c r="O169"/>
  <c r="M169"/>
  <c r="K169"/>
  <c r="P169"/>
  <c r="L169"/>
  <c r="Q167"/>
  <c r="O167"/>
  <c r="M167"/>
  <c r="K167"/>
  <c r="P167"/>
  <c r="L167"/>
  <c r="Q165"/>
  <c r="O165"/>
  <c r="M165"/>
  <c r="K165"/>
  <c r="P165"/>
  <c r="L165"/>
  <c r="Q162"/>
  <c r="O162"/>
  <c r="M162"/>
  <c r="K162"/>
  <c r="P162"/>
  <c r="L162"/>
  <c r="Q160"/>
  <c r="O160"/>
  <c r="M160"/>
  <c r="K160"/>
  <c r="P160"/>
  <c r="L160"/>
  <c r="Q158"/>
  <c r="O158"/>
  <c r="M158"/>
  <c r="K158"/>
  <c r="P158"/>
  <c r="L158"/>
  <c r="Q156"/>
  <c r="O156"/>
  <c r="M156"/>
  <c r="K156"/>
  <c r="P156"/>
  <c r="L156"/>
  <c r="Q154"/>
  <c r="O154"/>
  <c r="M154"/>
  <c r="K154"/>
  <c r="P154"/>
  <c r="L154"/>
  <c r="Q151"/>
  <c r="O151"/>
  <c r="M151"/>
  <c r="K151"/>
  <c r="P151"/>
  <c r="L151"/>
  <c r="Q149"/>
  <c r="O149"/>
  <c r="M149"/>
  <c r="K149"/>
  <c r="P149"/>
  <c r="L149"/>
  <c r="Q147"/>
  <c r="O147"/>
  <c r="M147"/>
  <c r="K147"/>
  <c r="P147"/>
  <c r="L147"/>
  <c r="Q145"/>
  <c r="O145"/>
  <c r="M145"/>
  <c r="K145"/>
  <c r="P145"/>
  <c r="L145"/>
  <c r="Q142"/>
  <c r="O142"/>
  <c r="M142"/>
  <c r="K142"/>
  <c r="P142"/>
  <c r="L142"/>
  <c r="Q140"/>
  <c r="O140"/>
  <c r="M140"/>
  <c r="K140"/>
  <c r="P140"/>
  <c r="L140"/>
  <c r="Q138"/>
  <c r="O138"/>
  <c r="M138"/>
  <c r="K138"/>
  <c r="P138"/>
  <c r="L138"/>
  <c r="Q136"/>
  <c r="O136"/>
  <c r="M136"/>
  <c r="K136"/>
  <c r="P136"/>
  <c r="L136"/>
  <c r="Q134"/>
  <c r="O134"/>
  <c r="M134"/>
  <c r="K134"/>
  <c r="P134"/>
  <c r="L134"/>
  <c r="Q131"/>
  <c r="O131"/>
  <c r="M131"/>
  <c r="K131"/>
  <c r="P131"/>
  <c r="L131"/>
  <c r="Q129"/>
  <c r="O129"/>
  <c r="M129"/>
  <c r="K129"/>
  <c r="P129"/>
  <c r="L129"/>
  <c r="Q127"/>
  <c r="O127"/>
  <c r="M127"/>
  <c r="K127"/>
  <c r="P127"/>
  <c r="L127"/>
  <c r="Q125"/>
  <c r="O125"/>
  <c r="M125"/>
  <c r="K125"/>
  <c r="P125"/>
  <c r="L125"/>
  <c r="Q86"/>
  <c r="O86"/>
  <c r="M86"/>
  <c r="K86"/>
  <c r="P86"/>
  <c r="L86"/>
  <c r="Q81"/>
  <c r="O81"/>
  <c r="M81"/>
  <c r="K81"/>
  <c r="P81"/>
  <c r="L81"/>
  <c r="Q289"/>
  <c r="O289"/>
  <c r="M289"/>
  <c r="K289"/>
  <c r="P289"/>
  <c r="L289"/>
  <c r="Q239"/>
  <c r="O239"/>
  <c r="M239"/>
  <c r="K239"/>
  <c r="P239"/>
  <c r="L239"/>
  <c r="Q83"/>
  <c r="O83"/>
  <c r="M83"/>
  <c r="K83"/>
  <c r="P83"/>
  <c r="L83"/>
  <c r="Q349" i="16"/>
  <c r="N349"/>
  <c r="N332"/>
  <c r="L332"/>
  <c r="O358"/>
  <c r="Q358"/>
  <c r="P358"/>
  <c r="L358"/>
  <c r="L349"/>
  <c r="Q332"/>
  <c r="P332"/>
  <c r="K332"/>
  <c r="O233"/>
  <c r="P197"/>
  <c r="L197"/>
  <c r="O197"/>
  <c r="P233"/>
  <c r="M197"/>
  <c r="Q197"/>
  <c r="K163"/>
  <c r="P163"/>
  <c r="O163"/>
  <c r="Q163"/>
  <c r="L163"/>
  <c r="K121"/>
  <c r="P121"/>
  <c r="O121"/>
  <c r="Q121"/>
  <c r="L121"/>
  <c r="L871"/>
  <c r="O871" s="1"/>
  <c r="L867"/>
  <c r="N867" s="1"/>
  <c r="L858"/>
  <c r="M858" s="1"/>
  <c r="L850"/>
  <c r="N850" s="1"/>
  <c r="L840"/>
  <c r="M840" s="1"/>
  <c r="L832"/>
  <c r="N832" s="1"/>
  <c r="L822"/>
  <c r="M822" s="1"/>
  <c r="L811"/>
  <c r="L798"/>
  <c r="O798" s="1"/>
  <c r="L794"/>
  <c r="P794" s="1"/>
  <c r="L784"/>
  <c r="O784" s="1"/>
  <c r="L776"/>
  <c r="P776" s="1"/>
  <c r="L766"/>
  <c r="O766" s="1"/>
  <c r="L762"/>
  <c r="P762" s="1"/>
  <c r="L753"/>
  <c r="O753" s="1"/>
  <c r="L740"/>
  <c r="M740" s="1"/>
  <c r="L878"/>
  <c r="Q878" s="1"/>
  <c r="L874"/>
  <c r="M874" s="1"/>
  <c r="L869"/>
  <c r="Q869" s="1"/>
  <c r="L865"/>
  <c r="M865" s="1"/>
  <c r="L861"/>
  <c r="Q861" s="1"/>
  <c r="L856"/>
  <c r="M856" s="1"/>
  <c r="L852"/>
  <c r="Q852" s="1"/>
  <c r="L848"/>
  <c r="M848" s="1"/>
  <c r="L842"/>
  <c r="Q842" s="1"/>
  <c r="L838"/>
  <c r="M838" s="1"/>
  <c r="L834"/>
  <c r="Q834" s="1"/>
  <c r="L828"/>
  <c r="M828" s="1"/>
  <c r="L824"/>
  <c r="Q824" s="1"/>
  <c r="L820"/>
  <c r="M820" s="1"/>
  <c r="L816"/>
  <c r="Q816" s="1"/>
  <c r="L807"/>
  <c r="M807" s="1"/>
  <c r="L800"/>
  <c r="O800" s="1"/>
  <c r="L796"/>
  <c r="K796" s="1"/>
  <c r="L792"/>
  <c r="O792" s="1"/>
  <c r="L788"/>
  <c r="N788" s="1"/>
  <c r="L782"/>
  <c r="O782" s="1"/>
  <c r="L778"/>
  <c r="M778" s="1"/>
  <c r="L774"/>
  <c r="O774" s="1"/>
  <c r="L768"/>
  <c r="N768" s="1"/>
  <c r="L764"/>
  <c r="O764" s="1"/>
  <c r="L759"/>
  <c r="K759" s="1"/>
  <c r="L755"/>
  <c r="O755" s="1"/>
  <c r="L751"/>
  <c r="N751" s="1"/>
  <c r="L746"/>
  <c r="O746" s="1"/>
  <c r="L742"/>
  <c r="M742" s="1"/>
  <c r="L738"/>
  <c r="O738" s="1"/>
  <c r="L732"/>
  <c r="N732" s="1"/>
  <c r="L728"/>
  <c r="O728" s="1"/>
  <c r="L724"/>
  <c r="M724" s="1"/>
  <c r="L719"/>
  <c r="O719" s="1"/>
  <c r="L715"/>
  <c r="K715" s="1"/>
  <c r="L702"/>
  <c r="O702" s="1"/>
  <c r="L696"/>
  <c r="M696" s="1"/>
  <c r="L692"/>
  <c r="O692" s="1"/>
  <c r="L687"/>
  <c r="N687" s="1"/>
  <c r="L683"/>
  <c r="O683" s="1"/>
  <c r="L679"/>
  <c r="M679" s="1"/>
  <c r="L674"/>
  <c r="O674" s="1"/>
  <c r="L670"/>
  <c r="N670" s="1"/>
  <c r="L662"/>
  <c r="O662" s="1"/>
  <c r="L925"/>
  <c r="K925" s="1"/>
  <c r="L915"/>
  <c r="N915" s="1"/>
  <c r="L906"/>
  <c r="K906" s="1"/>
  <c r="L928"/>
  <c r="N928" s="1"/>
  <c r="L917"/>
  <c r="Q917" s="1"/>
  <c r="L908"/>
  <c r="N908" s="1"/>
  <c r="L898"/>
  <c r="M898" s="1"/>
  <c r="L896"/>
  <c r="N896" s="1"/>
  <c r="L893"/>
  <c r="K893" s="1"/>
  <c r="L891"/>
  <c r="N891" s="1"/>
  <c r="L889"/>
  <c r="P889" s="1"/>
  <c r="L887"/>
  <c r="N887" s="1"/>
  <c r="L884"/>
  <c r="P884" s="1"/>
  <c r="L882"/>
  <c r="N882" s="1"/>
  <c r="L924"/>
  <c r="N924" s="1"/>
  <c r="L914"/>
  <c r="P914" s="1"/>
  <c r="L905"/>
  <c r="L651"/>
  <c r="M651" s="1"/>
  <c r="L642"/>
  <c r="N642" s="1"/>
  <c r="L633"/>
  <c r="K633" s="1"/>
  <c r="L926"/>
  <c r="P926" s="1"/>
  <c r="L907"/>
  <c r="P907" s="1"/>
  <c r="L667"/>
  <c r="P667" s="1"/>
  <c r="L653"/>
  <c r="N653" s="1"/>
  <c r="L644"/>
  <c r="L635"/>
  <c r="N635" s="1"/>
  <c r="L627"/>
  <c r="O627" s="1"/>
  <c r="L615"/>
  <c r="Q615" s="1"/>
  <c r="L611"/>
  <c r="M611" s="1"/>
  <c r="L921"/>
  <c r="P921" s="1"/>
  <c r="L877"/>
  <c r="Q877" s="1"/>
  <c r="L868"/>
  <c r="Q868" s="1"/>
  <c r="L859"/>
  <c r="L851"/>
  <c r="O851" s="1"/>
  <c r="L841"/>
  <c r="O841" s="1"/>
  <c r="L833"/>
  <c r="Q833" s="1"/>
  <c r="L823"/>
  <c r="L813"/>
  <c r="Q813" s="1"/>
  <c r="L804"/>
  <c r="Q804" s="1"/>
  <c r="L795"/>
  <c r="O795" s="1"/>
  <c r="L785"/>
  <c r="O785" s="1"/>
  <c r="L777"/>
  <c r="Q777" s="1"/>
  <c r="L767"/>
  <c r="O767" s="1"/>
  <c r="L758"/>
  <c r="Q758" s="1"/>
  <c r="L750"/>
  <c r="Q750" s="1"/>
  <c r="L741"/>
  <c r="Q741" s="1"/>
  <c r="L731"/>
  <c r="O731" s="1"/>
  <c r="L722"/>
  <c r="O722" s="1"/>
  <c r="L714"/>
  <c r="K714" s="1"/>
  <c r="L695"/>
  <c r="Q695" s="1"/>
  <c r="L686"/>
  <c r="Q686" s="1"/>
  <c r="L677"/>
  <c r="Q677" s="1"/>
  <c r="L669"/>
  <c r="M669" s="1"/>
  <c r="L658"/>
  <c r="O658" s="1"/>
  <c r="L647"/>
  <c r="N647" s="1"/>
  <c r="L638"/>
  <c r="O638" s="1"/>
  <c r="L630"/>
  <c r="Q630" s="1"/>
  <c r="L621"/>
  <c r="K621" s="1"/>
  <c r="L911"/>
  <c r="L866"/>
  <c r="Q866" s="1"/>
  <c r="L849"/>
  <c r="L831"/>
  <c r="Q831" s="1"/>
  <c r="L810"/>
  <c r="N810" s="1"/>
  <c r="L793"/>
  <c r="O793" s="1"/>
  <c r="L775"/>
  <c r="O775" s="1"/>
  <c r="L756"/>
  <c r="Q756" s="1"/>
  <c r="L739"/>
  <c r="N739" s="1"/>
  <c r="L720"/>
  <c r="O720" s="1"/>
  <c r="L684"/>
  <c r="P684" s="1"/>
  <c r="L665"/>
  <c r="O665" s="1"/>
  <c r="L645"/>
  <c r="P645" s="1"/>
  <c r="L628"/>
  <c r="O628" s="1"/>
  <c r="L610"/>
  <c r="M610" s="1"/>
  <c r="L862"/>
  <c r="O862" s="1"/>
  <c r="L825"/>
  <c r="K825" s="1"/>
  <c r="L789"/>
  <c r="Q789" s="1"/>
  <c r="L752"/>
  <c r="P752" s="1"/>
  <c r="L716"/>
  <c r="Q716" s="1"/>
  <c r="L680"/>
  <c r="P680" s="1"/>
  <c r="L650"/>
  <c r="O650" s="1"/>
  <c r="L614"/>
  <c r="O614" s="1"/>
  <c r="L835"/>
  <c r="Q835" s="1"/>
  <c r="L761"/>
  <c r="N761" s="1"/>
  <c r="L688"/>
  <c r="O688" s="1"/>
  <c r="L623"/>
  <c r="P623" s="1"/>
  <c r="L743"/>
  <c r="Q743" s="1"/>
  <c r="L779"/>
  <c r="O779" s="1"/>
  <c r="L772"/>
  <c r="P772" s="1"/>
  <c r="L876"/>
  <c r="N876" s="1"/>
  <c r="L863"/>
  <c r="O863" s="1"/>
  <c r="L854"/>
  <c r="N854" s="1"/>
  <c r="L844"/>
  <c r="O844" s="1"/>
  <c r="L836"/>
  <c r="M836" s="1"/>
  <c r="L826"/>
  <c r="O826" s="1"/>
  <c r="L818"/>
  <c r="N818" s="1"/>
  <c r="L803"/>
  <c r="O803" s="1"/>
  <c r="L790"/>
  <c r="N790" s="1"/>
  <c r="L780"/>
  <c r="O780" s="1"/>
  <c r="L770"/>
  <c r="N770" s="1"/>
  <c r="L757"/>
  <c r="O757" s="1"/>
  <c r="L749"/>
  <c r="N749" s="1"/>
  <c r="L744"/>
  <c r="O744" s="1"/>
  <c r="L736"/>
  <c r="N736" s="1"/>
  <c r="L730"/>
  <c r="O730" s="1"/>
  <c r="L726"/>
  <c r="N726" s="1"/>
  <c r="L721"/>
  <c r="O721" s="1"/>
  <c r="L717"/>
  <c r="N717" s="1"/>
  <c r="O713"/>
  <c r="L698"/>
  <c r="P698" s="1"/>
  <c r="L694"/>
  <c r="O694" s="1"/>
  <c r="L690"/>
  <c r="N690" s="1"/>
  <c r="L685"/>
  <c r="O685" s="1"/>
  <c r="L681"/>
  <c r="N681" s="1"/>
  <c r="L676"/>
  <c r="O676" s="1"/>
  <c r="L672"/>
  <c r="N672" s="1"/>
  <c r="L666"/>
  <c r="O666" s="1"/>
  <c r="L657"/>
  <c r="Q657" s="1"/>
  <c r="L920"/>
  <c r="M920" s="1"/>
  <c r="L910"/>
  <c r="N910" s="1"/>
  <c r="L901"/>
  <c r="M901" s="1"/>
  <c r="L913"/>
  <c r="K913" s="1"/>
  <c r="L897"/>
  <c r="N897" s="1"/>
  <c r="L894"/>
  <c r="Q894" s="1"/>
  <c r="L892"/>
  <c r="N892" s="1"/>
  <c r="L890"/>
  <c r="P890" s="1"/>
  <c r="L888"/>
  <c r="N888" s="1"/>
  <c r="L886"/>
  <c r="K886" s="1"/>
  <c r="L883"/>
  <c r="N883" s="1"/>
  <c r="L881"/>
  <c r="K881" s="1"/>
  <c r="L919"/>
  <c r="P919" s="1"/>
  <c r="L909"/>
  <c r="M909" s="1"/>
  <c r="L900"/>
  <c r="N900" s="1"/>
  <c r="L646"/>
  <c r="P646" s="1"/>
  <c r="L637"/>
  <c r="M637" s="1"/>
  <c r="L629"/>
  <c r="L620"/>
  <c r="N620" s="1"/>
  <c r="L916"/>
  <c r="Q916" s="1"/>
  <c r="L812"/>
  <c r="K812" s="1"/>
  <c r="L656"/>
  <c r="M656" s="1"/>
  <c r="L648"/>
  <c r="N648" s="1"/>
  <c r="L639"/>
  <c r="K639" s="1"/>
  <c r="L631"/>
  <c r="N631" s="1"/>
  <c r="L622"/>
  <c r="K622" s="1"/>
  <c r="L618"/>
  <c r="P618" s="1"/>
  <c r="L613"/>
  <c r="L608"/>
  <c r="P608" s="1"/>
  <c r="L902"/>
  <c r="O902" s="1"/>
  <c r="L872"/>
  <c r="O872" s="1"/>
  <c r="L864"/>
  <c r="O864" s="1"/>
  <c r="L855"/>
  <c r="O855" s="1"/>
  <c r="L847"/>
  <c r="L837"/>
  <c r="M837" s="1"/>
  <c r="L827"/>
  <c r="P827" s="1"/>
  <c r="L819"/>
  <c r="Q819" s="1"/>
  <c r="L808"/>
  <c r="O808" s="1"/>
  <c r="L799"/>
  <c r="K799" s="1"/>
  <c r="L791"/>
  <c r="P791" s="1"/>
  <c r="L781"/>
  <c r="K781" s="1"/>
  <c r="L771"/>
  <c r="Q771" s="1"/>
  <c r="L763"/>
  <c r="K763" s="1"/>
  <c r="L754"/>
  <c r="P754" s="1"/>
  <c r="L745"/>
  <c r="K745" s="1"/>
  <c r="L737"/>
  <c r="Q737" s="1"/>
  <c r="L727"/>
  <c r="K727" s="1"/>
  <c r="L718"/>
  <c r="N718" s="1"/>
  <c r="L701"/>
  <c r="Q701" s="1"/>
  <c r="L691"/>
  <c r="Q691" s="1"/>
  <c r="L682"/>
  <c r="K682" s="1"/>
  <c r="L673"/>
  <c r="L663"/>
  <c r="M663" s="1"/>
  <c r="L652"/>
  <c r="O652" s="1"/>
  <c r="L643"/>
  <c r="N643" s="1"/>
  <c r="L634"/>
  <c r="O634" s="1"/>
  <c r="L626"/>
  <c r="N626" s="1"/>
  <c r="L616"/>
  <c r="L875"/>
  <c r="K875" s="1"/>
  <c r="L857"/>
  <c r="L839"/>
  <c r="Q839" s="1"/>
  <c r="L821"/>
  <c r="L802"/>
  <c r="Q802" s="1"/>
  <c r="L783"/>
  <c r="Q783" s="1"/>
  <c r="L765"/>
  <c r="O765" s="1"/>
  <c r="L748"/>
  <c r="L729"/>
  <c r="O729" s="1"/>
  <c r="L712"/>
  <c r="Q712" s="1"/>
  <c r="L693"/>
  <c r="K693" s="1"/>
  <c r="L675"/>
  <c r="K675" s="1"/>
  <c r="L654"/>
  <c r="N654" s="1"/>
  <c r="L636"/>
  <c r="M636" s="1"/>
  <c r="L619"/>
  <c r="N619" s="1"/>
  <c r="L879"/>
  <c r="M879" s="1"/>
  <c r="L843"/>
  <c r="M843" s="1"/>
  <c r="L806"/>
  <c r="L769"/>
  <c r="O769" s="1"/>
  <c r="L733"/>
  <c r="P733" s="1"/>
  <c r="L697"/>
  <c r="O697" s="1"/>
  <c r="L661"/>
  <c r="O661" s="1"/>
  <c r="L870"/>
  <c r="K870" s="1"/>
  <c r="L797"/>
  <c r="N797" s="1"/>
  <c r="L725"/>
  <c r="O725" s="1"/>
  <c r="L817"/>
  <c r="L671"/>
  <c r="Q671" s="1"/>
  <c r="L641"/>
  <c r="K641" s="1"/>
  <c r="L853"/>
  <c r="N853" s="1"/>
  <c r="L814"/>
  <c r="K814" s="1"/>
  <c r="L734"/>
  <c r="K734" s="1"/>
  <c r="L699"/>
  <c r="K699" s="1"/>
  <c r="N511"/>
  <c r="K511"/>
  <c r="N831"/>
  <c r="Q537"/>
  <c r="Q913"/>
  <c r="L511"/>
  <c r="K756"/>
  <c r="K537"/>
  <c r="L537"/>
  <c r="K845"/>
  <c r="N845"/>
  <c r="P845"/>
  <c r="M845"/>
  <c r="O845"/>
  <c r="Q845"/>
  <c r="K829"/>
  <c r="N829"/>
  <c r="P829"/>
  <c r="M829"/>
  <c r="O829"/>
  <c r="Q829"/>
  <c r="O905"/>
  <c r="P831"/>
  <c r="O537"/>
  <c r="Q511"/>
  <c r="P537"/>
  <c r="P511"/>
  <c r="O739"/>
  <c r="K786"/>
  <c r="N786"/>
  <c r="P786"/>
  <c r="M786"/>
  <c r="O786"/>
  <c r="Q786"/>
  <c r="O708"/>
  <c r="O704"/>
  <c r="M705"/>
  <c r="O703"/>
  <c r="O461"/>
  <c r="O710"/>
  <c r="K706"/>
  <c r="K709"/>
  <c r="N716"/>
  <c r="M658"/>
  <c r="K849"/>
  <c r="M789"/>
  <c r="P485"/>
  <c r="P461"/>
  <c r="N461"/>
  <c r="O629"/>
  <c r="N880"/>
  <c r="M880"/>
  <c r="N922"/>
  <c r="Q922"/>
  <c r="N903"/>
  <c r="Q903"/>
  <c r="N613"/>
  <c r="M727"/>
  <c r="K806"/>
  <c r="O817"/>
  <c r="K809"/>
  <c r="M776"/>
  <c r="Q485"/>
  <c r="Q461"/>
  <c r="L461"/>
  <c r="O485"/>
  <c r="N485"/>
  <c r="L485"/>
  <c r="M922"/>
  <c r="P922"/>
  <c r="M903"/>
  <c r="P903"/>
  <c r="N805"/>
  <c r="M655"/>
  <c r="N660"/>
  <c r="P655"/>
  <c r="K660"/>
  <c r="P880"/>
  <c r="Q880"/>
  <c r="P858"/>
  <c r="N664"/>
  <c r="K664"/>
  <c r="K889"/>
  <c r="K922"/>
  <c r="O922"/>
  <c r="K903"/>
  <c r="O903"/>
  <c r="M805"/>
  <c r="P805"/>
  <c r="K805"/>
  <c r="K838"/>
  <c r="M660"/>
  <c r="Q655"/>
  <c r="P660"/>
  <c r="N655"/>
  <c r="K655"/>
  <c r="M768"/>
  <c r="K880"/>
  <c r="O880"/>
  <c r="M809"/>
  <c r="P809"/>
  <c r="N836"/>
  <c r="Q664"/>
  <c r="P664"/>
  <c r="P899"/>
  <c r="N899"/>
  <c r="Q899"/>
  <c r="O899"/>
  <c r="M899"/>
  <c r="K899"/>
  <c r="P822" l="1"/>
  <c r="Q692"/>
  <c r="K816"/>
  <c r="M799"/>
  <c r="K688"/>
  <c r="K833"/>
  <c r="K651"/>
  <c r="K914"/>
  <c r="N740"/>
  <c r="M687"/>
  <c r="P681"/>
  <c r="Q848"/>
  <c r="Q886"/>
  <c r="M749"/>
  <c r="K636"/>
  <c r="N926"/>
  <c r="K614"/>
  <c r="Q803"/>
  <c r="P840"/>
  <c r="P683"/>
  <c r="Q792"/>
  <c r="M753"/>
  <c r="M803"/>
  <c r="P853"/>
  <c r="K665"/>
  <c r="O839"/>
  <c r="M763"/>
  <c r="K837"/>
  <c r="Q653"/>
  <c r="P920"/>
  <c r="P756"/>
  <c r="M835"/>
  <c r="N851"/>
  <c r="K758"/>
  <c r="K921"/>
  <c r="N698"/>
  <c r="N776"/>
  <c r="M732"/>
  <c r="K874"/>
  <c r="P893"/>
  <c r="P726"/>
  <c r="P818"/>
  <c r="P836"/>
  <c r="P854"/>
  <c r="P876"/>
  <c r="M667"/>
  <c r="P797"/>
  <c r="K630"/>
  <c r="P767"/>
  <c r="K916"/>
  <c r="N652"/>
  <c r="K757"/>
  <c r="O928"/>
  <c r="O896"/>
  <c r="Q766"/>
  <c r="P746"/>
  <c r="N824"/>
  <c r="O869"/>
  <c r="M746"/>
  <c r="P725"/>
  <c r="Q870"/>
  <c r="P697"/>
  <c r="Q769"/>
  <c r="N843"/>
  <c r="K619"/>
  <c r="P654"/>
  <c r="M682"/>
  <c r="M745"/>
  <c r="M781"/>
  <c r="K819"/>
  <c r="M620"/>
  <c r="O637"/>
  <c r="O840"/>
  <c r="M650"/>
  <c r="K722"/>
  <c r="M844"/>
  <c r="O822"/>
  <c r="P722"/>
  <c r="Q795"/>
  <c r="Q914"/>
  <c r="P897"/>
  <c r="K813"/>
  <c r="K741"/>
  <c r="M871"/>
  <c r="M670"/>
  <c r="M715"/>
  <c r="M751"/>
  <c r="M788"/>
  <c r="K820"/>
  <c r="K856"/>
  <c r="K910"/>
  <c r="P898"/>
  <c r="P740"/>
  <c r="Q910"/>
  <c r="P718"/>
  <c r="N827"/>
  <c r="M864"/>
  <c r="Q642"/>
  <c r="N630"/>
  <c r="P630"/>
  <c r="M894"/>
  <c r="K766"/>
  <c r="N784"/>
  <c r="N822"/>
  <c r="K844"/>
  <c r="N674"/>
  <c r="K702"/>
  <c r="N719"/>
  <c r="K746"/>
  <c r="N755"/>
  <c r="K782"/>
  <c r="N792"/>
  <c r="M662"/>
  <c r="M834"/>
  <c r="P842"/>
  <c r="M869"/>
  <c r="P878"/>
  <c r="O901"/>
  <c r="O908"/>
  <c r="O920"/>
  <c r="K882"/>
  <c r="O888"/>
  <c r="P887"/>
  <c r="P891"/>
  <c r="P896"/>
  <c r="P676"/>
  <c r="Q685"/>
  <c r="P721"/>
  <c r="Q730"/>
  <c r="P744"/>
  <c r="Q784"/>
  <c r="Q719"/>
  <c r="P764"/>
  <c r="Q774"/>
  <c r="Q662"/>
  <c r="N842"/>
  <c r="O852"/>
  <c r="P928"/>
  <c r="P882"/>
  <c r="M702"/>
  <c r="M782"/>
  <c r="K852"/>
  <c r="M631"/>
  <c r="P765"/>
  <c r="O635"/>
  <c r="K907"/>
  <c r="O633"/>
  <c r="N901"/>
  <c r="P631"/>
  <c r="P665"/>
  <c r="P677"/>
  <c r="M716"/>
  <c r="P741"/>
  <c r="K795"/>
  <c r="M813"/>
  <c r="P866"/>
  <c r="K695"/>
  <c r="O741"/>
  <c r="O777"/>
  <c r="N813"/>
  <c r="M862"/>
  <c r="N855"/>
  <c r="Q650"/>
  <c r="O758"/>
  <c r="P915"/>
  <c r="K677"/>
  <c r="O833"/>
  <c r="N914"/>
  <c r="K777"/>
  <c r="N762"/>
  <c r="N794"/>
  <c r="K884"/>
  <c r="K890"/>
  <c r="K894"/>
  <c r="N667"/>
  <c r="P731"/>
  <c r="M804"/>
  <c r="M825"/>
  <c r="K841"/>
  <c r="Q611"/>
  <c r="N744"/>
  <c r="K753"/>
  <c r="N780"/>
  <c r="N798"/>
  <c r="K840"/>
  <c r="N858"/>
  <c r="N871"/>
  <c r="N683"/>
  <c r="K692"/>
  <c r="N728"/>
  <c r="K738"/>
  <c r="N764"/>
  <c r="K774"/>
  <c r="N800"/>
  <c r="K662"/>
  <c r="P816"/>
  <c r="M824"/>
  <c r="P852"/>
  <c r="M861"/>
  <c r="O915"/>
  <c r="O887"/>
  <c r="K891"/>
  <c r="O897"/>
  <c r="P753"/>
  <c r="Q798"/>
  <c r="Q871"/>
  <c r="P674"/>
  <c r="Q702"/>
  <c r="Q728"/>
  <c r="P738"/>
  <c r="P755"/>
  <c r="Q782"/>
  <c r="Q800"/>
  <c r="N816"/>
  <c r="N834"/>
  <c r="O861"/>
  <c r="O878"/>
  <c r="M908"/>
  <c r="Q915"/>
  <c r="Q882"/>
  <c r="Q891"/>
  <c r="Q896"/>
  <c r="M694"/>
  <c r="M766"/>
  <c r="M784"/>
  <c r="M683"/>
  <c r="M728"/>
  <c r="M764"/>
  <c r="M800"/>
  <c r="K834"/>
  <c r="K869"/>
  <c r="Q693"/>
  <c r="M626"/>
  <c r="K643"/>
  <c r="P663"/>
  <c r="Q855"/>
  <c r="P872"/>
  <c r="Q608"/>
  <c r="M618"/>
  <c r="P635"/>
  <c r="K653"/>
  <c r="N907"/>
  <c r="Q633"/>
  <c r="P651"/>
  <c r="P648"/>
  <c r="O615"/>
  <c r="P621"/>
  <c r="N628"/>
  <c r="P638"/>
  <c r="P650"/>
  <c r="Q628"/>
  <c r="Q665"/>
  <c r="M695"/>
  <c r="K720"/>
  <c r="P743"/>
  <c r="P758"/>
  <c r="M777"/>
  <c r="K793"/>
  <c r="M833"/>
  <c r="N862"/>
  <c r="P868"/>
  <c r="Q921"/>
  <c r="K638"/>
  <c r="Q621"/>
  <c r="N677"/>
  <c r="M720"/>
  <c r="K743"/>
  <c r="O756"/>
  <c r="K789"/>
  <c r="Q812"/>
  <c r="N835"/>
  <c r="Q851"/>
  <c r="O868"/>
  <c r="O620"/>
  <c r="K650"/>
  <c r="P688"/>
  <c r="M722"/>
  <c r="P793"/>
  <c r="N866"/>
  <c r="M887"/>
  <c r="P628"/>
  <c r="O716"/>
  <c r="M795"/>
  <c r="N650"/>
  <c r="Q688"/>
  <c r="Q793"/>
  <c r="Q862"/>
  <c r="M896"/>
  <c r="M812"/>
  <c r="K855"/>
  <c r="O781"/>
  <c r="Q772"/>
  <c r="K725"/>
  <c r="O763"/>
  <c r="O853"/>
  <c r="P691"/>
  <c r="K676"/>
  <c r="N685"/>
  <c r="K694"/>
  <c r="N713"/>
  <c r="K721"/>
  <c r="N730"/>
  <c r="N753"/>
  <c r="N766"/>
  <c r="K784"/>
  <c r="K798"/>
  <c r="N803"/>
  <c r="Q666"/>
  <c r="K822"/>
  <c r="K826"/>
  <c r="N840"/>
  <c r="K858"/>
  <c r="K863"/>
  <c r="K871"/>
  <c r="K674"/>
  <c r="K683"/>
  <c r="N692"/>
  <c r="N702"/>
  <c r="K719"/>
  <c r="K728"/>
  <c r="N738"/>
  <c r="N746"/>
  <c r="K755"/>
  <c r="K764"/>
  <c r="N774"/>
  <c r="N782"/>
  <c r="K792"/>
  <c r="K800"/>
  <c r="P662"/>
  <c r="M816"/>
  <c r="P824"/>
  <c r="P834"/>
  <c r="M842"/>
  <c r="M852"/>
  <c r="P861"/>
  <c r="P869"/>
  <c r="M878"/>
  <c r="K908"/>
  <c r="K915"/>
  <c r="K928"/>
  <c r="O882"/>
  <c r="O883"/>
  <c r="K887"/>
  <c r="O891"/>
  <c r="O892"/>
  <c r="K896"/>
  <c r="P883"/>
  <c r="Q694"/>
  <c r="P713"/>
  <c r="Q753"/>
  <c r="P757"/>
  <c r="P766"/>
  <c r="P780"/>
  <c r="P784"/>
  <c r="P798"/>
  <c r="M666"/>
  <c r="Q822"/>
  <c r="Q826"/>
  <c r="Q840"/>
  <c r="P844"/>
  <c r="Q858"/>
  <c r="Q863"/>
  <c r="P871"/>
  <c r="Q674"/>
  <c r="Q683"/>
  <c r="P692"/>
  <c r="P702"/>
  <c r="P719"/>
  <c r="P728"/>
  <c r="Q738"/>
  <c r="Q746"/>
  <c r="Q755"/>
  <c r="Q764"/>
  <c r="P774"/>
  <c r="P782"/>
  <c r="P792"/>
  <c r="P800"/>
  <c r="O816"/>
  <c r="O824"/>
  <c r="O834"/>
  <c r="O842"/>
  <c r="N852"/>
  <c r="N861"/>
  <c r="N869"/>
  <c r="N878"/>
  <c r="P908"/>
  <c r="Q920"/>
  <c r="M928"/>
  <c r="Q883"/>
  <c r="Q887"/>
  <c r="Q897"/>
  <c r="M676"/>
  <c r="M721"/>
  <c r="M757"/>
  <c r="M798"/>
  <c r="M674"/>
  <c r="M692"/>
  <c r="M719"/>
  <c r="M738"/>
  <c r="M755"/>
  <c r="M774"/>
  <c r="M792"/>
  <c r="N662"/>
  <c r="K824"/>
  <c r="K842"/>
  <c r="K861"/>
  <c r="K878"/>
  <c r="Q900"/>
  <c r="K853"/>
  <c r="Q725"/>
  <c r="P870"/>
  <c r="Q697"/>
  <c r="P769"/>
  <c r="O843"/>
  <c r="M619"/>
  <c r="P693"/>
  <c r="M729"/>
  <c r="Q765"/>
  <c r="N839"/>
  <c r="M875"/>
  <c r="K626"/>
  <c r="M643"/>
  <c r="O663"/>
  <c r="P855"/>
  <c r="Q872"/>
  <c r="M608"/>
  <c r="O618"/>
  <c r="Q635"/>
  <c r="K635"/>
  <c r="P653"/>
  <c r="O653"/>
  <c r="O907"/>
  <c r="P633"/>
  <c r="Q651"/>
  <c r="O651"/>
  <c r="O631"/>
  <c r="O648"/>
  <c r="P620"/>
  <c r="Q637"/>
  <c r="O900"/>
  <c r="K628"/>
  <c r="P615"/>
  <c r="P658"/>
  <c r="M621"/>
  <c r="M638"/>
  <c r="Q658"/>
  <c r="M677"/>
  <c r="N688"/>
  <c r="P695"/>
  <c r="P716"/>
  <c r="N720"/>
  <c r="N722"/>
  <c r="M741"/>
  <c r="M743"/>
  <c r="M756"/>
  <c r="M758"/>
  <c r="P777"/>
  <c r="P789"/>
  <c r="N793"/>
  <c r="N795"/>
  <c r="N812"/>
  <c r="P813"/>
  <c r="P833"/>
  <c r="P835"/>
  <c r="K851"/>
  <c r="K862"/>
  <c r="M866"/>
  <c r="M868"/>
  <c r="M921"/>
  <c r="O858"/>
  <c r="N615"/>
  <c r="N621"/>
  <c r="N638"/>
  <c r="N665"/>
  <c r="Q638"/>
  <c r="O677"/>
  <c r="M688"/>
  <c r="K716"/>
  <c r="Q722"/>
  <c r="N741"/>
  <c r="N756"/>
  <c r="N777"/>
  <c r="M793"/>
  <c r="P795"/>
  <c r="O813"/>
  <c r="O835"/>
  <c r="P851"/>
  <c r="K866"/>
  <c r="N868"/>
  <c r="M914"/>
  <c r="O921"/>
  <c r="K618"/>
  <c r="N729"/>
  <c r="Q620"/>
  <c r="P819"/>
  <c r="O914"/>
  <c r="K658"/>
  <c r="K615"/>
  <c r="M628"/>
  <c r="M665"/>
  <c r="N695"/>
  <c r="Q720"/>
  <c r="O743"/>
  <c r="O789"/>
  <c r="M635"/>
  <c r="N833"/>
  <c r="P862"/>
  <c r="Q908"/>
  <c r="M882"/>
  <c r="M891"/>
  <c r="M615"/>
  <c r="N633"/>
  <c r="O695"/>
  <c r="P720"/>
  <c r="N758"/>
  <c r="M633"/>
  <c r="O866"/>
  <c r="M907"/>
  <c r="N921"/>
  <c r="N658"/>
  <c r="N651"/>
  <c r="N743"/>
  <c r="N789"/>
  <c r="M653"/>
  <c r="M851"/>
  <c r="M883"/>
  <c r="M915"/>
  <c r="Q618"/>
  <c r="N682"/>
  <c r="M892"/>
  <c r="K729"/>
  <c r="Q843"/>
  <c r="O870"/>
  <c r="K868"/>
  <c r="M831"/>
  <c r="K835"/>
  <c r="Q928"/>
  <c r="K831"/>
  <c r="K671"/>
  <c r="O831"/>
  <c r="N769"/>
  <c r="N781"/>
  <c r="N693"/>
  <c r="N763"/>
  <c r="P802"/>
  <c r="Q619"/>
  <c r="K802"/>
  <c r="N802"/>
  <c r="Q919"/>
  <c r="K701"/>
  <c r="N919"/>
  <c r="N676"/>
  <c r="K685"/>
  <c r="N694"/>
  <c r="K713"/>
  <c r="N721"/>
  <c r="K730"/>
  <c r="K744"/>
  <c r="N757"/>
  <c r="K780"/>
  <c r="K803"/>
  <c r="K666"/>
  <c r="P666"/>
  <c r="N826"/>
  <c r="N844"/>
  <c r="N863"/>
  <c r="M759"/>
  <c r="M796"/>
  <c r="K828"/>
  <c r="K848"/>
  <c r="K865"/>
  <c r="P807"/>
  <c r="K901"/>
  <c r="K917"/>
  <c r="K920"/>
  <c r="K883"/>
  <c r="K888"/>
  <c r="K892"/>
  <c r="K897"/>
  <c r="Q676"/>
  <c r="P685"/>
  <c r="P694"/>
  <c r="Q713"/>
  <c r="Q721"/>
  <c r="P730"/>
  <c r="Q744"/>
  <c r="Q757"/>
  <c r="Q780"/>
  <c r="P803"/>
  <c r="P826"/>
  <c r="Q844"/>
  <c r="P863"/>
  <c r="N715"/>
  <c r="Q828"/>
  <c r="Q865"/>
  <c r="Q901"/>
  <c r="Q888"/>
  <c r="Q892"/>
  <c r="M685"/>
  <c r="M713"/>
  <c r="M730"/>
  <c r="M744"/>
  <c r="M780"/>
  <c r="N666"/>
  <c r="M853"/>
  <c r="O654"/>
  <c r="K637"/>
  <c r="N637"/>
  <c r="M648"/>
  <c r="Q853"/>
  <c r="M725"/>
  <c r="M870"/>
  <c r="M697"/>
  <c r="M769"/>
  <c r="K843"/>
  <c r="P619"/>
  <c r="O619"/>
  <c r="Q654"/>
  <c r="K654"/>
  <c r="M693"/>
  <c r="P729"/>
  <c r="Q729"/>
  <c r="M765"/>
  <c r="K839"/>
  <c r="P875"/>
  <c r="Q875"/>
  <c r="P626"/>
  <c r="P643"/>
  <c r="O643"/>
  <c r="Q663"/>
  <c r="K663"/>
  <c r="P682"/>
  <c r="Q682"/>
  <c r="P727"/>
  <c r="Q727"/>
  <c r="P745"/>
  <c r="Q745"/>
  <c r="P763"/>
  <c r="Q763"/>
  <c r="P781"/>
  <c r="Q781"/>
  <c r="P799"/>
  <c r="Q799"/>
  <c r="N819"/>
  <c r="O819"/>
  <c r="N837"/>
  <c r="O837"/>
  <c r="M855"/>
  <c r="M872"/>
  <c r="N608"/>
  <c r="N618"/>
  <c r="P901"/>
  <c r="N920"/>
  <c r="Q631"/>
  <c r="K631"/>
  <c r="Q648"/>
  <c r="K648"/>
  <c r="K620"/>
  <c r="P637"/>
  <c r="K900"/>
  <c r="N686"/>
  <c r="N750"/>
  <c r="P779"/>
  <c r="O812"/>
  <c r="M826"/>
  <c r="M863"/>
  <c r="K877"/>
  <c r="P892"/>
  <c r="K608"/>
  <c r="Q643"/>
  <c r="N697"/>
  <c r="N725"/>
  <c r="N765"/>
  <c r="P839"/>
  <c r="N872"/>
  <c r="P888"/>
  <c r="M642"/>
  <c r="M897"/>
  <c r="M888"/>
  <c r="O608"/>
  <c r="O745"/>
  <c r="O799"/>
  <c r="M819"/>
  <c r="Q837"/>
  <c r="K872"/>
  <c r="N663"/>
  <c r="O682"/>
  <c r="O727"/>
  <c r="N745"/>
  <c r="K769"/>
  <c r="M802"/>
  <c r="M839"/>
  <c r="O875"/>
  <c r="N814"/>
  <c r="M654"/>
  <c r="N799"/>
  <c r="P812"/>
  <c r="M814"/>
  <c r="O802"/>
  <c r="P671"/>
  <c r="M701"/>
  <c r="P837"/>
  <c r="M919"/>
  <c r="O924"/>
  <c r="K919"/>
  <c r="O919"/>
  <c r="N701"/>
  <c r="M641"/>
  <c r="O641"/>
  <c r="P641"/>
  <c r="M817"/>
  <c r="K817"/>
  <c r="O797"/>
  <c r="M797"/>
  <c r="K661"/>
  <c r="N661"/>
  <c r="P661"/>
  <c r="O733"/>
  <c r="N733"/>
  <c r="M733"/>
  <c r="P806"/>
  <c r="M806"/>
  <c r="O806"/>
  <c r="N806"/>
  <c r="K879"/>
  <c r="Q879"/>
  <c r="P879"/>
  <c r="N636"/>
  <c r="O636"/>
  <c r="P636"/>
  <c r="O748"/>
  <c r="M748"/>
  <c r="O783"/>
  <c r="M783"/>
  <c r="M821"/>
  <c r="P821"/>
  <c r="O821"/>
  <c r="N821"/>
  <c r="K857"/>
  <c r="Q857"/>
  <c r="P857"/>
  <c r="K616"/>
  <c r="Q616"/>
  <c r="O616"/>
  <c r="Q634"/>
  <c r="N634"/>
  <c r="K634"/>
  <c r="M634"/>
  <c r="Q652"/>
  <c r="K652"/>
  <c r="M652"/>
  <c r="Q673"/>
  <c r="K673"/>
  <c r="P673"/>
  <c r="O718"/>
  <c r="K718"/>
  <c r="M718"/>
  <c r="K737"/>
  <c r="M737"/>
  <c r="K754"/>
  <c r="N754"/>
  <c r="M754"/>
  <c r="K771"/>
  <c r="N771"/>
  <c r="M771"/>
  <c r="O791"/>
  <c r="K791"/>
  <c r="N791"/>
  <c r="M791"/>
  <c r="K808"/>
  <c r="P808"/>
  <c r="N808"/>
  <c r="M827"/>
  <c r="Q827"/>
  <c r="K827"/>
  <c r="Q847"/>
  <c r="K847"/>
  <c r="M847"/>
  <c r="K864"/>
  <c r="N864"/>
  <c r="Q864"/>
  <c r="P864"/>
  <c r="P902"/>
  <c r="M902"/>
  <c r="N902"/>
  <c r="K902"/>
  <c r="P613"/>
  <c r="O613"/>
  <c r="M613"/>
  <c r="N622"/>
  <c r="O622"/>
  <c r="P622"/>
  <c r="M622"/>
  <c r="M639"/>
  <c r="O639"/>
  <c r="P639"/>
  <c r="O656"/>
  <c r="N656"/>
  <c r="P656"/>
  <c r="K656"/>
  <c r="P916"/>
  <c r="O916"/>
  <c r="N916"/>
  <c r="M916"/>
  <c r="M629"/>
  <c r="K629"/>
  <c r="P629"/>
  <c r="N629"/>
  <c r="K646"/>
  <c r="N646"/>
  <c r="O646"/>
  <c r="Q646"/>
  <c r="Q909"/>
  <c r="N909"/>
  <c r="K909"/>
  <c r="P909"/>
  <c r="N881"/>
  <c r="P881"/>
  <c r="N886"/>
  <c r="P886"/>
  <c r="N890"/>
  <c r="M890"/>
  <c r="N894"/>
  <c r="P894"/>
  <c r="N913"/>
  <c r="P913"/>
  <c r="M910"/>
  <c r="P910"/>
  <c r="O657"/>
  <c r="N657"/>
  <c r="M657"/>
  <c r="O672"/>
  <c r="M672"/>
  <c r="Q672"/>
  <c r="O681"/>
  <c r="M681"/>
  <c r="Q681"/>
  <c r="O690"/>
  <c r="M690"/>
  <c r="Q690"/>
  <c r="O698"/>
  <c r="M698"/>
  <c r="Q698"/>
  <c r="O717"/>
  <c r="M717"/>
  <c r="Q717"/>
  <c r="O726"/>
  <c r="M726"/>
  <c r="Q726"/>
  <c r="O736"/>
  <c r="M736"/>
  <c r="Q736"/>
  <c r="O749"/>
  <c r="Q749"/>
  <c r="O770"/>
  <c r="M770"/>
  <c r="Q770"/>
  <c r="O790"/>
  <c r="M790"/>
  <c r="Q790"/>
  <c r="O818"/>
  <c r="Q818"/>
  <c r="O836"/>
  <c r="Q836"/>
  <c r="O854"/>
  <c r="M854"/>
  <c r="Q854"/>
  <c r="M876"/>
  <c r="Q876"/>
  <c r="K772"/>
  <c r="M772"/>
  <c r="N772"/>
  <c r="O772"/>
  <c r="Q779"/>
  <c r="N779"/>
  <c r="K779"/>
  <c r="M779"/>
  <c r="O623"/>
  <c r="N623"/>
  <c r="Q623"/>
  <c r="Q761"/>
  <c r="K761"/>
  <c r="O761"/>
  <c r="M761"/>
  <c r="N614"/>
  <c r="M614"/>
  <c r="Q614"/>
  <c r="Q680"/>
  <c r="O680"/>
  <c r="M680"/>
  <c r="O752"/>
  <c r="M752"/>
  <c r="Q752"/>
  <c r="K752"/>
  <c r="O825"/>
  <c r="P825"/>
  <c r="N825"/>
  <c r="P610"/>
  <c r="Q610"/>
  <c r="O610"/>
  <c r="O645"/>
  <c r="K645"/>
  <c r="M645"/>
  <c r="Q645"/>
  <c r="O684"/>
  <c r="M684"/>
  <c r="K684"/>
  <c r="Q739"/>
  <c r="M739"/>
  <c r="Q775"/>
  <c r="N775"/>
  <c r="M775"/>
  <c r="O810"/>
  <c r="M810"/>
  <c r="Q810"/>
  <c r="K810"/>
  <c r="O849"/>
  <c r="M849"/>
  <c r="N849"/>
  <c r="P911"/>
  <c r="N911"/>
  <c r="K911"/>
  <c r="M911"/>
  <c r="O630"/>
  <c r="M630"/>
  <c r="O647"/>
  <c r="P647"/>
  <c r="K647"/>
  <c r="O669"/>
  <c r="K669"/>
  <c r="P669"/>
  <c r="O686"/>
  <c r="M686"/>
  <c r="P686"/>
  <c r="K686"/>
  <c r="Q714"/>
  <c r="N714"/>
  <c r="M714"/>
  <c r="Q731"/>
  <c r="K731"/>
  <c r="N731"/>
  <c r="M731"/>
  <c r="O750"/>
  <c r="P750"/>
  <c r="K750"/>
  <c r="Q767"/>
  <c r="K767"/>
  <c r="N767"/>
  <c r="M767"/>
  <c r="Q785"/>
  <c r="N785"/>
  <c r="M785"/>
  <c r="O804"/>
  <c r="N804"/>
  <c r="O823"/>
  <c r="P823"/>
  <c r="N823"/>
  <c r="Q841"/>
  <c r="N841"/>
  <c r="P841"/>
  <c r="O859"/>
  <c r="P859"/>
  <c r="N859"/>
  <c r="O877"/>
  <c r="P877"/>
  <c r="N877"/>
  <c r="O611"/>
  <c r="N611"/>
  <c r="N627"/>
  <c r="M627"/>
  <c r="K627"/>
  <c r="Q627"/>
  <c r="N644"/>
  <c r="K644"/>
  <c r="Q644"/>
  <c r="O644"/>
  <c r="O667"/>
  <c r="Q667"/>
  <c r="Q926"/>
  <c r="M926"/>
  <c r="K926"/>
  <c r="O926"/>
  <c r="K642"/>
  <c r="P642"/>
  <c r="N905"/>
  <c r="Q905"/>
  <c r="M905"/>
  <c r="K905"/>
  <c r="P924"/>
  <c r="K924"/>
  <c r="M924"/>
  <c r="N884"/>
  <c r="M884"/>
  <c r="Q884"/>
  <c r="N889"/>
  <c r="M889"/>
  <c r="Q889"/>
  <c r="N893"/>
  <c r="M893"/>
  <c r="Q893"/>
  <c r="N898"/>
  <c r="Q898"/>
  <c r="O898"/>
  <c r="N917"/>
  <c r="M917"/>
  <c r="N906"/>
  <c r="M906"/>
  <c r="P906"/>
  <c r="Q906"/>
  <c r="N925"/>
  <c r="M925"/>
  <c r="P925"/>
  <c r="Q925"/>
  <c r="Q670"/>
  <c r="K670"/>
  <c r="O670"/>
  <c r="Q679"/>
  <c r="K679"/>
  <c r="O679"/>
  <c r="K687"/>
  <c r="O687"/>
  <c r="Q696"/>
  <c r="K696"/>
  <c r="O696"/>
  <c r="Q715"/>
  <c r="O715"/>
  <c r="Q724"/>
  <c r="K724"/>
  <c r="O724"/>
  <c r="Q732"/>
  <c r="K732"/>
  <c r="O732"/>
  <c r="Q742"/>
  <c r="O742"/>
  <c r="Q751"/>
  <c r="O751"/>
  <c r="Q759"/>
  <c r="O759"/>
  <c r="Q768"/>
  <c r="K768"/>
  <c r="O768"/>
  <c r="Q778"/>
  <c r="K778"/>
  <c r="O778"/>
  <c r="Q788"/>
  <c r="O788"/>
  <c r="Q796"/>
  <c r="O796"/>
  <c r="O807"/>
  <c r="K807"/>
  <c r="Q807"/>
  <c r="O820"/>
  <c r="P820"/>
  <c r="O828"/>
  <c r="P828"/>
  <c r="O838"/>
  <c r="P838"/>
  <c r="O848"/>
  <c r="P848"/>
  <c r="O856"/>
  <c r="P856"/>
  <c r="O865"/>
  <c r="P865"/>
  <c r="O874"/>
  <c r="P874"/>
  <c r="O740"/>
  <c r="Q740"/>
  <c r="O762"/>
  <c r="M762"/>
  <c r="Q762"/>
  <c r="O776"/>
  <c r="Q776"/>
  <c r="O794"/>
  <c r="Q794"/>
  <c r="O811"/>
  <c r="N811"/>
  <c r="M832"/>
  <c r="O832"/>
  <c r="Q832"/>
  <c r="M850"/>
  <c r="Q850"/>
  <c r="M867"/>
  <c r="O867"/>
  <c r="Q867"/>
  <c r="K672"/>
  <c r="K681"/>
  <c r="K690"/>
  <c r="K698"/>
  <c r="K717"/>
  <c r="K726"/>
  <c r="K736"/>
  <c r="K740"/>
  <c r="K749"/>
  <c r="K762"/>
  <c r="K770"/>
  <c r="K776"/>
  <c r="K790"/>
  <c r="K794"/>
  <c r="K657"/>
  <c r="P657"/>
  <c r="K818"/>
  <c r="K832"/>
  <c r="K836"/>
  <c r="K850"/>
  <c r="K854"/>
  <c r="K867"/>
  <c r="K876"/>
  <c r="K811"/>
  <c r="P811"/>
  <c r="M811"/>
  <c r="P670"/>
  <c r="P679"/>
  <c r="P687"/>
  <c r="P696"/>
  <c r="P715"/>
  <c r="P724"/>
  <c r="P732"/>
  <c r="P742"/>
  <c r="P751"/>
  <c r="P759"/>
  <c r="P768"/>
  <c r="P778"/>
  <c r="P788"/>
  <c r="P796"/>
  <c r="N820"/>
  <c r="N828"/>
  <c r="N838"/>
  <c r="N848"/>
  <c r="N856"/>
  <c r="N865"/>
  <c r="N874"/>
  <c r="O906"/>
  <c r="O910"/>
  <c r="O913"/>
  <c r="O917"/>
  <c r="O925"/>
  <c r="O881"/>
  <c r="O884"/>
  <c r="O886"/>
  <c r="O889"/>
  <c r="O890"/>
  <c r="O893"/>
  <c r="O894"/>
  <c r="K898"/>
  <c r="P672"/>
  <c r="P690"/>
  <c r="P717"/>
  <c r="P736"/>
  <c r="P749"/>
  <c r="P770"/>
  <c r="P790"/>
  <c r="P832"/>
  <c r="P850"/>
  <c r="P867"/>
  <c r="Q811"/>
  <c r="N679"/>
  <c r="N696"/>
  <c r="N724"/>
  <c r="N742"/>
  <c r="N759"/>
  <c r="N778"/>
  <c r="N796"/>
  <c r="Q820"/>
  <c r="Q838"/>
  <c r="Q856"/>
  <c r="Q874"/>
  <c r="M913"/>
  <c r="P917"/>
  <c r="Q881"/>
  <c r="Q890"/>
  <c r="M794"/>
  <c r="O850"/>
  <c r="M644"/>
  <c r="Q641"/>
  <c r="N817"/>
  <c r="Q797"/>
  <c r="Q661"/>
  <c r="Q733"/>
  <c r="Q806"/>
  <c r="Q636"/>
  <c r="P783"/>
  <c r="K821"/>
  <c r="M857"/>
  <c r="P616"/>
  <c r="P634"/>
  <c r="P652"/>
  <c r="Q718"/>
  <c r="P737"/>
  <c r="Q754"/>
  <c r="P771"/>
  <c r="Q791"/>
  <c r="M808"/>
  <c r="O827"/>
  <c r="Q639"/>
  <c r="O642"/>
  <c r="P627"/>
  <c r="P644"/>
  <c r="K667"/>
  <c r="Q629"/>
  <c r="O909"/>
  <c r="K623"/>
  <c r="K804"/>
  <c r="O876"/>
  <c r="K610"/>
  <c r="M647"/>
  <c r="Q656"/>
  <c r="N684"/>
  <c r="P714"/>
  <c r="P739"/>
  <c r="N752"/>
  <c r="P775"/>
  <c r="P785"/>
  <c r="K823"/>
  <c r="M841"/>
  <c r="K859"/>
  <c r="Q911"/>
  <c r="P611"/>
  <c r="N610"/>
  <c r="M623"/>
  <c r="Q647"/>
  <c r="K680"/>
  <c r="O714"/>
  <c r="K739"/>
  <c r="M750"/>
  <c r="K775"/>
  <c r="P804"/>
  <c r="M818"/>
  <c r="Q823"/>
  <c r="Q859"/>
  <c r="O911"/>
  <c r="N783"/>
  <c r="Q808"/>
  <c r="N645"/>
  <c r="K751"/>
  <c r="Q684"/>
  <c r="N807"/>
  <c r="M823"/>
  <c r="P849"/>
  <c r="M859"/>
  <c r="K785"/>
  <c r="Q849"/>
  <c r="M881"/>
  <c r="P810"/>
  <c r="Q825"/>
  <c r="K742"/>
  <c r="O754"/>
  <c r="Q902"/>
  <c r="Q622"/>
  <c r="N737"/>
  <c r="K748"/>
  <c r="M646"/>
  <c r="K788"/>
  <c r="P761"/>
  <c r="Q748"/>
  <c r="N680"/>
  <c r="Q924"/>
  <c r="P905"/>
  <c r="N669"/>
  <c r="M877"/>
  <c r="O693"/>
  <c r="P701"/>
  <c r="K765"/>
  <c r="N875"/>
  <c r="O671"/>
  <c r="K697"/>
  <c r="P843"/>
  <c r="N870"/>
  <c r="O701"/>
  <c r="N727"/>
  <c r="O814"/>
  <c r="P814"/>
  <c r="Q814"/>
  <c r="M712"/>
  <c r="N857"/>
  <c r="O879"/>
  <c r="M699"/>
  <c r="M734"/>
  <c r="N712"/>
  <c r="P734"/>
  <c r="O734"/>
  <c r="P675"/>
  <c r="K691"/>
  <c r="O691"/>
  <c r="K712"/>
  <c r="N691"/>
  <c r="M661"/>
  <c r="K733"/>
  <c r="N748"/>
  <c r="K797"/>
  <c r="P817"/>
  <c r="O857"/>
  <c r="N879"/>
  <c r="N641"/>
  <c r="P748"/>
  <c r="O771"/>
  <c r="Q817"/>
  <c r="O737"/>
  <c r="K783"/>
  <c r="Q821"/>
  <c r="N639"/>
  <c r="M673"/>
  <c r="M675"/>
  <c r="M691"/>
  <c r="P712"/>
  <c r="P847"/>
  <c r="M886"/>
  <c r="N675"/>
  <c r="O712"/>
  <c r="N673"/>
  <c r="O847"/>
  <c r="O673"/>
  <c r="N847"/>
  <c r="Q626"/>
  <c r="O626"/>
  <c r="P900"/>
  <c r="M900"/>
  <c r="M671"/>
  <c r="Q699"/>
  <c r="N699"/>
  <c r="Q734"/>
  <c r="N734"/>
  <c r="N671"/>
  <c r="O675"/>
  <c r="P699"/>
  <c r="O699"/>
  <c r="Q675"/>
  <c r="N616"/>
  <c r="M616"/>
  <c r="K613"/>
  <c r="Q613"/>
  <c r="P614"/>
  <c r="O621"/>
  <c r="Q669"/>
  <c r="K611"/>
  <c r="Q907"/>
  <c r="Q687"/>
  <c r="P705"/>
  <c r="M710"/>
  <c r="P710"/>
  <c r="M704"/>
  <c r="M703"/>
  <c r="N706"/>
  <c r="M708"/>
  <c r="N708"/>
  <c r="M706"/>
  <c r="P708"/>
  <c r="N705"/>
  <c r="N704"/>
  <c r="K710"/>
  <c r="P704"/>
  <c r="M709"/>
  <c r="N703"/>
  <c r="K708"/>
  <c r="P706"/>
  <c r="Q708"/>
  <c r="O706"/>
  <c r="K705"/>
  <c r="Q705"/>
  <c r="K704"/>
  <c r="N710"/>
  <c r="Q704"/>
  <c r="Q710"/>
  <c r="P709"/>
  <c r="Q709"/>
  <c r="K703"/>
  <c r="N709"/>
  <c r="O705"/>
  <c r="P703"/>
  <c r="Q703"/>
  <c r="O709"/>
  <c r="Q706"/>
  <c r="J594"/>
  <c r="M594" s="1"/>
  <c r="E594"/>
  <c r="D594"/>
  <c r="C594"/>
  <c r="J592"/>
  <c r="M592" s="1"/>
  <c r="E592"/>
  <c r="D592"/>
  <c r="C592"/>
  <c r="J591"/>
  <c r="M591" s="1"/>
  <c r="E591"/>
  <c r="D591"/>
  <c r="C591"/>
  <c r="J590"/>
  <c r="E590"/>
  <c r="D590"/>
  <c r="C590"/>
  <c r="J588"/>
  <c r="M588" s="1"/>
  <c r="E588"/>
  <c r="D588"/>
  <c r="C588"/>
  <c r="J587"/>
  <c r="M587" s="1"/>
  <c r="E587"/>
  <c r="D587"/>
  <c r="C587"/>
  <c r="J586"/>
  <c r="M586" s="1"/>
  <c r="E586"/>
  <c r="D586"/>
  <c r="C586"/>
  <c r="J585"/>
  <c r="M585" s="1"/>
  <c r="E585"/>
  <c r="D585"/>
  <c r="C585"/>
  <c r="J583"/>
  <c r="M583" s="1"/>
  <c r="E583"/>
  <c r="D583"/>
  <c r="C583"/>
  <c r="J582"/>
  <c r="M582" s="1"/>
  <c r="E582"/>
  <c r="D582"/>
  <c r="C582"/>
  <c r="J581"/>
  <c r="M581" s="1"/>
  <c r="E581"/>
  <c r="D581"/>
  <c r="C581"/>
  <c r="J580"/>
  <c r="M580" s="1"/>
  <c r="E580"/>
  <c r="D580"/>
  <c r="C580"/>
  <c r="J579"/>
  <c r="M579" s="1"/>
  <c r="E579"/>
  <c r="D579"/>
  <c r="C579"/>
  <c r="J577"/>
  <c r="M577" s="1"/>
  <c r="E577"/>
  <c r="D577"/>
  <c r="C577"/>
  <c r="J576"/>
  <c r="M576" s="1"/>
  <c r="E576"/>
  <c r="D576"/>
  <c r="C576"/>
  <c r="J575"/>
  <c r="M575" s="1"/>
  <c r="E575"/>
  <c r="D575"/>
  <c r="C575"/>
  <c r="J574"/>
  <c r="M574" s="1"/>
  <c r="E574"/>
  <c r="D574"/>
  <c r="C574"/>
  <c r="J573"/>
  <c r="M573" s="1"/>
  <c r="E573"/>
  <c r="D573"/>
  <c r="C573"/>
  <c r="J572"/>
  <c r="M572" s="1"/>
  <c r="E572"/>
  <c r="D572"/>
  <c r="C572"/>
  <c r="J571"/>
  <c r="E571"/>
  <c r="D571"/>
  <c r="C571"/>
  <c r="J569"/>
  <c r="M569" s="1"/>
  <c r="E569"/>
  <c r="D569"/>
  <c r="C569"/>
  <c r="J568"/>
  <c r="M568" s="1"/>
  <c r="E568"/>
  <c r="D568"/>
  <c r="C568"/>
  <c r="J567"/>
  <c r="M567" s="1"/>
  <c r="E567"/>
  <c r="D567"/>
  <c r="C567"/>
  <c r="J566"/>
  <c r="M566" s="1"/>
  <c r="E566"/>
  <c r="D566"/>
  <c r="C566"/>
  <c r="J565"/>
  <c r="M565" s="1"/>
  <c r="E565"/>
  <c r="D565"/>
  <c r="C565"/>
  <c r="J564"/>
  <c r="M564" s="1"/>
  <c r="E564"/>
  <c r="D564"/>
  <c r="C564"/>
  <c r="J563"/>
  <c r="M563" s="1"/>
  <c r="E563"/>
  <c r="D563"/>
  <c r="C563"/>
  <c r="J562"/>
  <c r="M562" s="1"/>
  <c r="E562"/>
  <c r="D562"/>
  <c r="C562"/>
  <c r="J560"/>
  <c r="M560" s="1"/>
  <c r="E560"/>
  <c r="D560"/>
  <c r="C560"/>
  <c r="J559"/>
  <c r="M559" s="1"/>
  <c r="E559"/>
  <c r="D559"/>
  <c r="C559"/>
  <c r="J558"/>
  <c r="M558" s="1"/>
  <c r="E558"/>
  <c r="D558"/>
  <c r="C558"/>
  <c r="J557"/>
  <c r="M557" s="1"/>
  <c r="E557"/>
  <c r="D557"/>
  <c r="C557"/>
  <c r="J556"/>
  <c r="M556" s="1"/>
  <c r="E556"/>
  <c r="D556"/>
  <c r="C556"/>
  <c r="J555"/>
  <c r="M555" s="1"/>
  <c r="E555"/>
  <c r="D555"/>
  <c r="C555"/>
  <c r="J554"/>
  <c r="M554" s="1"/>
  <c r="E554"/>
  <c r="D554"/>
  <c r="C554"/>
  <c r="J553"/>
  <c r="M553" s="1"/>
  <c r="E553"/>
  <c r="D553"/>
  <c r="C553"/>
  <c r="J552"/>
  <c r="M552" s="1"/>
  <c r="E552"/>
  <c r="D552"/>
  <c r="C552"/>
  <c r="J550"/>
  <c r="M550" s="1"/>
  <c r="E550"/>
  <c r="D550"/>
  <c r="C550"/>
  <c r="J549"/>
  <c r="M549" s="1"/>
  <c r="E549"/>
  <c r="D549"/>
  <c r="C549"/>
  <c r="J548"/>
  <c r="M548" s="1"/>
  <c r="E548"/>
  <c r="D548"/>
  <c r="C548"/>
  <c r="J547"/>
  <c r="M547" s="1"/>
  <c r="E547"/>
  <c r="D547"/>
  <c r="C547"/>
  <c r="J546"/>
  <c r="M546" s="1"/>
  <c r="E546"/>
  <c r="D546"/>
  <c r="C546"/>
  <c r="J545"/>
  <c r="M545" s="1"/>
  <c r="E545"/>
  <c r="D545"/>
  <c r="C545"/>
  <c r="J544"/>
  <c r="M544" s="1"/>
  <c r="E544"/>
  <c r="D544"/>
  <c r="C544"/>
  <c r="J543"/>
  <c r="M543" s="1"/>
  <c r="E543"/>
  <c r="D543"/>
  <c r="C543"/>
  <c r="J542"/>
  <c r="M542" s="1"/>
  <c r="E542"/>
  <c r="D542"/>
  <c r="C542"/>
  <c r="J541"/>
  <c r="M541" s="1"/>
  <c r="E541"/>
  <c r="D541"/>
  <c r="C541"/>
  <c r="J540"/>
  <c r="E540"/>
  <c r="D540"/>
  <c r="C540"/>
  <c r="J536"/>
  <c r="M536" s="1"/>
  <c r="E536"/>
  <c r="D536"/>
  <c r="C536"/>
  <c r="J535"/>
  <c r="M535" s="1"/>
  <c r="E535"/>
  <c r="D535"/>
  <c r="C535"/>
  <c r="J534"/>
  <c r="M534" s="1"/>
  <c r="E534"/>
  <c r="D534"/>
  <c r="C534"/>
  <c r="J533"/>
  <c r="M533" s="1"/>
  <c r="E533"/>
  <c r="D533"/>
  <c r="C533"/>
  <c r="J532"/>
  <c r="M532" s="1"/>
  <c r="E532"/>
  <c r="D532"/>
  <c r="C532"/>
  <c r="J531"/>
  <c r="M531" s="1"/>
  <c r="E531"/>
  <c r="D531"/>
  <c r="C531"/>
  <c r="J530"/>
  <c r="M530" s="1"/>
  <c r="E530"/>
  <c r="D530"/>
  <c r="C530"/>
  <c r="J529"/>
  <c r="M529" s="1"/>
  <c r="E529"/>
  <c r="D529"/>
  <c r="C529"/>
  <c r="J528"/>
  <c r="M528" s="1"/>
  <c r="E528"/>
  <c r="D528"/>
  <c r="C528"/>
  <c r="J527"/>
  <c r="M527" s="1"/>
  <c r="E527"/>
  <c r="D527"/>
  <c r="C527"/>
  <c r="J523"/>
  <c r="M523" s="1"/>
  <c r="E523"/>
  <c r="D523"/>
  <c r="C523"/>
  <c r="J522"/>
  <c r="M522" s="1"/>
  <c r="E522"/>
  <c r="D522"/>
  <c r="C522"/>
  <c r="J521"/>
  <c r="M521" s="1"/>
  <c r="E521"/>
  <c r="D521"/>
  <c r="C521"/>
  <c r="J520"/>
  <c r="M520" s="1"/>
  <c r="E520"/>
  <c r="D520"/>
  <c r="C520"/>
  <c r="J519"/>
  <c r="M519" s="1"/>
  <c r="E519"/>
  <c r="D519"/>
  <c r="C519"/>
  <c r="J518"/>
  <c r="M518" s="1"/>
  <c r="E518"/>
  <c r="D518"/>
  <c r="C518"/>
  <c r="J517"/>
  <c r="M517" s="1"/>
  <c r="E517"/>
  <c r="D517"/>
  <c r="C517"/>
  <c r="J516"/>
  <c r="M516" s="1"/>
  <c r="E516"/>
  <c r="D516"/>
  <c r="C516"/>
  <c r="J515"/>
  <c r="M515" s="1"/>
  <c r="E515"/>
  <c r="D515"/>
  <c r="C515"/>
  <c r="J514"/>
  <c r="M514" s="1"/>
  <c r="E514"/>
  <c r="D514"/>
  <c r="C514"/>
  <c r="J510"/>
  <c r="M510" s="1"/>
  <c r="E510"/>
  <c r="D510"/>
  <c r="C510"/>
  <c r="J509"/>
  <c r="M509" s="1"/>
  <c r="E509"/>
  <c r="D509"/>
  <c r="C509"/>
  <c r="J508"/>
  <c r="M508" s="1"/>
  <c r="E508"/>
  <c r="D508"/>
  <c r="C508"/>
  <c r="J507"/>
  <c r="M507" s="1"/>
  <c r="E507"/>
  <c r="D507"/>
  <c r="C507"/>
  <c r="J506"/>
  <c r="M506" s="1"/>
  <c r="E506"/>
  <c r="D506"/>
  <c r="C506"/>
  <c r="J505"/>
  <c r="M505" s="1"/>
  <c r="E505"/>
  <c r="D505"/>
  <c r="C505"/>
  <c r="J504"/>
  <c r="M504" s="1"/>
  <c r="E504"/>
  <c r="D504"/>
  <c r="C504"/>
  <c r="J503"/>
  <c r="M503" s="1"/>
  <c r="E503"/>
  <c r="D503"/>
  <c r="C503"/>
  <c r="J502"/>
  <c r="M502" s="1"/>
  <c r="E502"/>
  <c r="D502"/>
  <c r="C502"/>
  <c r="J501"/>
  <c r="E501"/>
  <c r="D501"/>
  <c r="C501"/>
  <c r="J497"/>
  <c r="M497" s="1"/>
  <c r="E497"/>
  <c r="D497"/>
  <c r="C497"/>
  <c r="J496"/>
  <c r="M496" s="1"/>
  <c r="E496"/>
  <c r="D496"/>
  <c r="C496"/>
  <c r="J495"/>
  <c r="M495" s="1"/>
  <c r="E495"/>
  <c r="D495"/>
  <c r="C495"/>
  <c r="J494"/>
  <c r="M494" s="1"/>
  <c r="E494"/>
  <c r="D494"/>
  <c r="C494"/>
  <c r="J493"/>
  <c r="M493" s="1"/>
  <c r="E493"/>
  <c r="D493"/>
  <c r="C493"/>
  <c r="J492"/>
  <c r="M492" s="1"/>
  <c r="E492"/>
  <c r="D492"/>
  <c r="C492"/>
  <c r="J491"/>
  <c r="M491" s="1"/>
  <c r="E491"/>
  <c r="D491"/>
  <c r="C491"/>
  <c r="J490"/>
  <c r="M490" s="1"/>
  <c r="E490"/>
  <c r="D490"/>
  <c r="C490"/>
  <c r="J489"/>
  <c r="M489" s="1"/>
  <c r="E489"/>
  <c r="D489"/>
  <c r="C489"/>
  <c r="J488"/>
  <c r="M488" s="1"/>
  <c r="E488"/>
  <c r="D488"/>
  <c r="C488"/>
  <c r="J484"/>
  <c r="M484" s="1"/>
  <c r="E484"/>
  <c r="D484"/>
  <c r="C484"/>
  <c r="J483"/>
  <c r="M483" s="1"/>
  <c r="E483"/>
  <c r="D483"/>
  <c r="C483"/>
  <c r="J482"/>
  <c r="M482" s="1"/>
  <c r="E482"/>
  <c r="D482"/>
  <c r="C482"/>
  <c r="J481"/>
  <c r="M481" s="1"/>
  <c r="E481"/>
  <c r="D481"/>
  <c r="C481"/>
  <c r="J480"/>
  <c r="M480" s="1"/>
  <c r="E480"/>
  <c r="D480"/>
  <c r="C480"/>
  <c r="J479"/>
  <c r="M479" s="1"/>
  <c r="E479"/>
  <c r="D479"/>
  <c r="C479"/>
  <c r="J478"/>
  <c r="M478" s="1"/>
  <c r="E478"/>
  <c r="D478"/>
  <c r="C478"/>
  <c r="J477"/>
  <c r="M477" s="1"/>
  <c r="E477"/>
  <c r="D477"/>
  <c r="C477"/>
  <c r="J476"/>
  <c r="M476" s="1"/>
  <c r="E476"/>
  <c r="D476"/>
  <c r="C476"/>
  <c r="J473"/>
  <c r="M473" s="1"/>
  <c r="E473"/>
  <c r="D473"/>
  <c r="C473"/>
  <c r="J472"/>
  <c r="M472" s="1"/>
  <c r="E472"/>
  <c r="D472"/>
  <c r="C472"/>
  <c r="J471"/>
  <c r="M471" s="1"/>
  <c r="E471"/>
  <c r="D471"/>
  <c r="C471"/>
  <c r="J470"/>
  <c r="M470" s="1"/>
  <c r="E470"/>
  <c r="D470"/>
  <c r="C470"/>
  <c r="J469"/>
  <c r="M469" s="1"/>
  <c r="E469"/>
  <c r="D469"/>
  <c r="C469"/>
  <c r="J468"/>
  <c r="M468" s="1"/>
  <c r="E468"/>
  <c r="D468"/>
  <c r="C468"/>
  <c r="J467"/>
  <c r="M467" s="1"/>
  <c r="E467"/>
  <c r="D467"/>
  <c r="C467"/>
  <c r="J466"/>
  <c r="M466" s="1"/>
  <c r="E466"/>
  <c r="D466"/>
  <c r="C466"/>
  <c r="J465"/>
  <c r="M465" s="1"/>
  <c r="E465"/>
  <c r="D465"/>
  <c r="C465"/>
  <c r="J464"/>
  <c r="E464"/>
  <c r="D464"/>
  <c r="C464"/>
  <c r="J460"/>
  <c r="M460" s="1"/>
  <c r="E460"/>
  <c r="D460"/>
  <c r="C460"/>
  <c r="J459"/>
  <c r="M459" s="1"/>
  <c r="E459"/>
  <c r="D459"/>
  <c r="C459"/>
  <c r="J458"/>
  <c r="M458" s="1"/>
  <c r="E458"/>
  <c r="D458"/>
  <c r="C458"/>
  <c r="J457"/>
  <c r="M457" s="1"/>
  <c r="E457"/>
  <c r="D457"/>
  <c r="C457"/>
  <c r="J456"/>
  <c r="M456" s="1"/>
  <c r="E456"/>
  <c r="D456"/>
  <c r="C456"/>
  <c r="J455"/>
  <c r="M455" s="1"/>
  <c r="E455"/>
  <c r="D455"/>
  <c r="C455"/>
  <c r="J454"/>
  <c r="M454" s="1"/>
  <c r="E454"/>
  <c r="D454"/>
  <c r="C454"/>
  <c r="J453"/>
  <c r="M453" s="1"/>
  <c r="E453"/>
  <c r="D453"/>
  <c r="C453"/>
  <c r="J452"/>
  <c r="M452" s="1"/>
  <c r="E452"/>
  <c r="D452"/>
  <c r="C452"/>
  <c r="J449"/>
  <c r="M449" s="1"/>
  <c r="E449"/>
  <c r="D449"/>
  <c r="C449"/>
  <c r="J448"/>
  <c r="M448" s="1"/>
  <c r="E448"/>
  <c r="D448"/>
  <c r="C448"/>
  <c r="J447"/>
  <c r="M447" s="1"/>
  <c r="E447"/>
  <c r="D447"/>
  <c r="C447"/>
  <c r="J446"/>
  <c r="M446" s="1"/>
  <c r="E446"/>
  <c r="D446"/>
  <c r="C446"/>
  <c r="J445"/>
  <c r="M445" s="1"/>
  <c r="E445"/>
  <c r="D445"/>
  <c r="C445"/>
  <c r="J444"/>
  <c r="M444" s="1"/>
  <c r="E444"/>
  <c r="D444"/>
  <c r="C444"/>
  <c r="J443"/>
  <c r="M443" s="1"/>
  <c r="E443"/>
  <c r="D443"/>
  <c r="C443"/>
  <c r="J442"/>
  <c r="M442" s="1"/>
  <c r="E442"/>
  <c r="D442"/>
  <c r="C442"/>
  <c r="J441"/>
  <c r="M441" s="1"/>
  <c r="E441"/>
  <c r="D441"/>
  <c r="C441"/>
  <c r="J438"/>
  <c r="M438" s="1"/>
  <c r="E438"/>
  <c r="D438"/>
  <c r="C438"/>
  <c r="J437"/>
  <c r="M437" s="1"/>
  <c r="E437"/>
  <c r="D437"/>
  <c r="C437"/>
  <c r="J436"/>
  <c r="M436" s="1"/>
  <c r="E436"/>
  <c r="D436"/>
  <c r="C436"/>
  <c r="J435"/>
  <c r="M435" s="1"/>
  <c r="E435"/>
  <c r="D435"/>
  <c r="C435"/>
  <c r="J434"/>
  <c r="M434" s="1"/>
  <c r="E434"/>
  <c r="D434"/>
  <c r="C434"/>
  <c r="J433"/>
  <c r="M433" s="1"/>
  <c r="E433"/>
  <c r="D433"/>
  <c r="C433"/>
  <c r="J432"/>
  <c r="M432" s="1"/>
  <c r="E432"/>
  <c r="D432"/>
  <c r="C432"/>
  <c r="J431"/>
  <c r="M431" s="1"/>
  <c r="E431"/>
  <c r="D431"/>
  <c r="C431"/>
  <c r="J430"/>
  <c r="E430"/>
  <c r="D430"/>
  <c r="C430"/>
  <c r="J427"/>
  <c r="M427" s="1"/>
  <c r="E427"/>
  <c r="D427"/>
  <c r="C427"/>
  <c r="J426"/>
  <c r="M426" s="1"/>
  <c r="E426"/>
  <c r="D426"/>
  <c r="C426"/>
  <c r="J425"/>
  <c r="M425" s="1"/>
  <c r="E425"/>
  <c r="D425"/>
  <c r="C425"/>
  <c r="J424"/>
  <c r="M424" s="1"/>
  <c r="E424"/>
  <c r="D424"/>
  <c r="C424"/>
  <c r="J423"/>
  <c r="M423" s="1"/>
  <c r="E423"/>
  <c r="D423"/>
  <c r="C423"/>
  <c r="J422"/>
  <c r="M422" s="1"/>
  <c r="E422"/>
  <c r="D422"/>
  <c r="C422"/>
  <c r="J421"/>
  <c r="M421" s="1"/>
  <c r="E421"/>
  <c r="D421"/>
  <c r="C421"/>
  <c r="J420"/>
  <c r="M420" s="1"/>
  <c r="E420"/>
  <c r="D420"/>
  <c r="C420"/>
  <c r="J419"/>
  <c r="M419" s="1"/>
  <c r="E419"/>
  <c r="D419"/>
  <c r="C419"/>
  <c r="J416"/>
  <c r="M416" s="1"/>
  <c r="E416"/>
  <c r="D416"/>
  <c r="C416"/>
  <c r="J415"/>
  <c r="M415" s="1"/>
  <c r="E415"/>
  <c r="D415"/>
  <c r="C415"/>
  <c r="J414"/>
  <c r="M414" s="1"/>
  <c r="E414"/>
  <c r="D414"/>
  <c r="C414"/>
  <c r="J413"/>
  <c r="M413" s="1"/>
  <c r="E413"/>
  <c r="D413"/>
  <c r="C413"/>
  <c r="J412"/>
  <c r="M412" s="1"/>
  <c r="E412"/>
  <c r="D412"/>
  <c r="C412"/>
  <c r="J411"/>
  <c r="M411" s="1"/>
  <c r="E411"/>
  <c r="D411"/>
  <c r="C411"/>
  <c r="J410"/>
  <c r="M410" s="1"/>
  <c r="E410"/>
  <c r="D410"/>
  <c r="C410"/>
  <c r="J409"/>
  <c r="M409" s="1"/>
  <c r="E409"/>
  <c r="D409"/>
  <c r="C409"/>
  <c r="J406"/>
  <c r="M406" s="1"/>
  <c r="E406"/>
  <c r="D406"/>
  <c r="C406"/>
  <c r="J405"/>
  <c r="M405" s="1"/>
  <c r="E405"/>
  <c r="D405"/>
  <c r="C405"/>
  <c r="J404"/>
  <c r="M404" s="1"/>
  <c r="E404"/>
  <c r="D404"/>
  <c r="C404"/>
  <c r="J403"/>
  <c r="M403" s="1"/>
  <c r="E403"/>
  <c r="D403"/>
  <c r="C403"/>
  <c r="J402"/>
  <c r="M402" s="1"/>
  <c r="E402"/>
  <c r="D402"/>
  <c r="C402"/>
  <c r="J401"/>
  <c r="M401" s="1"/>
  <c r="E401"/>
  <c r="D401"/>
  <c r="C401"/>
  <c r="J400"/>
  <c r="M400" s="1"/>
  <c r="E400"/>
  <c r="D400"/>
  <c r="C400"/>
  <c r="J399"/>
  <c r="M399" s="1"/>
  <c r="E399"/>
  <c r="D399"/>
  <c r="C399"/>
  <c r="J398"/>
  <c r="E398"/>
  <c r="D398"/>
  <c r="C398"/>
  <c r="J395"/>
  <c r="M395" s="1"/>
  <c r="E395"/>
  <c r="D395"/>
  <c r="C395"/>
  <c r="J394"/>
  <c r="M394" s="1"/>
  <c r="E394"/>
  <c r="D394"/>
  <c r="C394"/>
  <c r="J393"/>
  <c r="M393" s="1"/>
  <c r="E393"/>
  <c r="D393"/>
  <c r="C393"/>
  <c r="J392"/>
  <c r="M392" s="1"/>
  <c r="E392"/>
  <c r="D392"/>
  <c r="C392"/>
  <c r="J391"/>
  <c r="M391" s="1"/>
  <c r="E391"/>
  <c r="D391"/>
  <c r="C391"/>
  <c r="J390"/>
  <c r="M390" s="1"/>
  <c r="E390"/>
  <c r="D390"/>
  <c r="C390"/>
  <c r="J389"/>
  <c r="M389" s="1"/>
  <c r="E389"/>
  <c r="D389"/>
  <c r="C389"/>
  <c r="J388"/>
  <c r="M388" s="1"/>
  <c r="E388"/>
  <c r="D388"/>
  <c r="C388"/>
  <c r="J386"/>
  <c r="M386" s="1"/>
  <c r="E386"/>
  <c r="D386"/>
  <c r="C386"/>
  <c r="J385"/>
  <c r="M385" s="1"/>
  <c r="E385"/>
  <c r="D385"/>
  <c r="C385"/>
  <c r="J384"/>
  <c r="M384" s="1"/>
  <c r="E384"/>
  <c r="D384"/>
  <c r="C384"/>
  <c r="J383"/>
  <c r="M383" s="1"/>
  <c r="E383"/>
  <c r="D383"/>
  <c r="C383"/>
  <c r="J382"/>
  <c r="M382" s="1"/>
  <c r="E382"/>
  <c r="D382"/>
  <c r="C382"/>
  <c r="J381"/>
  <c r="M381" s="1"/>
  <c r="E381"/>
  <c r="D381"/>
  <c r="C381"/>
  <c r="J380"/>
  <c r="M380" s="1"/>
  <c r="E380"/>
  <c r="D380"/>
  <c r="C380"/>
  <c r="J379"/>
  <c r="M379" s="1"/>
  <c r="E379"/>
  <c r="D379"/>
  <c r="C379"/>
  <c r="J376"/>
  <c r="M376" s="1"/>
  <c r="E376"/>
  <c r="D376"/>
  <c r="C376"/>
  <c r="J375"/>
  <c r="M375" s="1"/>
  <c r="E375"/>
  <c r="D375"/>
  <c r="C375"/>
  <c r="J374"/>
  <c r="M374" s="1"/>
  <c r="E374"/>
  <c r="D374"/>
  <c r="C374"/>
  <c r="J373"/>
  <c r="M373" s="1"/>
  <c r="E373"/>
  <c r="D373"/>
  <c r="C373"/>
  <c r="J372"/>
  <c r="M372" s="1"/>
  <c r="E372"/>
  <c r="D372"/>
  <c r="C372"/>
  <c r="J371"/>
  <c r="M371" s="1"/>
  <c r="E371"/>
  <c r="D371"/>
  <c r="C371"/>
  <c r="J370"/>
  <c r="M370" s="1"/>
  <c r="E370"/>
  <c r="D370"/>
  <c r="C370"/>
  <c r="J369"/>
  <c r="E369"/>
  <c r="D369"/>
  <c r="C369"/>
  <c r="J367"/>
  <c r="M367" s="1"/>
  <c r="E367"/>
  <c r="D367"/>
  <c r="C367"/>
  <c r="J366"/>
  <c r="M366" s="1"/>
  <c r="E366"/>
  <c r="D366"/>
  <c r="C366"/>
  <c r="J365"/>
  <c r="M365" s="1"/>
  <c r="E365"/>
  <c r="D365"/>
  <c r="C365"/>
  <c r="J364"/>
  <c r="M364" s="1"/>
  <c r="E364"/>
  <c r="D364"/>
  <c r="C364"/>
  <c r="J363"/>
  <c r="M363" s="1"/>
  <c r="E363"/>
  <c r="D363"/>
  <c r="C363"/>
  <c r="J362"/>
  <c r="M362" s="1"/>
  <c r="E362"/>
  <c r="D362"/>
  <c r="C362"/>
  <c r="J361"/>
  <c r="M361" s="1"/>
  <c r="E361"/>
  <c r="D361"/>
  <c r="C361"/>
  <c r="J360"/>
  <c r="M360" s="1"/>
  <c r="E360"/>
  <c r="D360"/>
  <c r="C360"/>
  <c r="J357"/>
  <c r="M357" s="1"/>
  <c r="E357"/>
  <c r="D357"/>
  <c r="C357"/>
  <c r="J356"/>
  <c r="M356" s="1"/>
  <c r="E356"/>
  <c r="D356"/>
  <c r="C356"/>
  <c r="J355"/>
  <c r="M355" s="1"/>
  <c r="E355"/>
  <c r="D355"/>
  <c r="C355"/>
  <c r="J354"/>
  <c r="M354" s="1"/>
  <c r="E354"/>
  <c r="D354"/>
  <c r="C354"/>
  <c r="J353"/>
  <c r="M353" s="1"/>
  <c r="E353"/>
  <c r="D353"/>
  <c r="C353"/>
  <c r="J352"/>
  <c r="M352" s="1"/>
  <c r="E352"/>
  <c r="D352"/>
  <c r="C352"/>
  <c r="J351"/>
  <c r="M351" s="1"/>
  <c r="E351"/>
  <c r="D351"/>
  <c r="C351"/>
  <c r="J348"/>
  <c r="M348" s="1"/>
  <c r="E348"/>
  <c r="D348"/>
  <c r="C348"/>
  <c r="J347"/>
  <c r="M347" s="1"/>
  <c r="E347"/>
  <c r="D347"/>
  <c r="C347"/>
  <c r="J346"/>
  <c r="M346" s="1"/>
  <c r="E346"/>
  <c r="D346"/>
  <c r="C346"/>
  <c r="J345"/>
  <c r="M345" s="1"/>
  <c r="E345"/>
  <c r="D345"/>
  <c r="C345"/>
  <c r="J344"/>
  <c r="M344" s="1"/>
  <c r="E344"/>
  <c r="D344"/>
  <c r="C344"/>
  <c r="J343"/>
  <c r="M343" s="1"/>
  <c r="E343"/>
  <c r="D343"/>
  <c r="C343"/>
  <c r="J342"/>
  <c r="E342"/>
  <c r="D342"/>
  <c r="C342"/>
  <c r="J340"/>
  <c r="M340" s="1"/>
  <c r="E340"/>
  <c r="D340"/>
  <c r="C340"/>
  <c r="J339"/>
  <c r="M339" s="1"/>
  <c r="E339"/>
  <c r="D339"/>
  <c r="C339"/>
  <c r="J338"/>
  <c r="M338" s="1"/>
  <c r="E338"/>
  <c r="D338"/>
  <c r="C338"/>
  <c r="J337"/>
  <c r="M337" s="1"/>
  <c r="E337"/>
  <c r="D337"/>
  <c r="C337"/>
  <c r="J336"/>
  <c r="M336" s="1"/>
  <c r="E336"/>
  <c r="D336"/>
  <c r="C336"/>
  <c r="J335"/>
  <c r="M335" s="1"/>
  <c r="E335"/>
  <c r="D335"/>
  <c r="C335"/>
  <c r="J334"/>
  <c r="M334" s="1"/>
  <c r="E334"/>
  <c r="D334"/>
  <c r="C334"/>
  <c r="J331"/>
  <c r="M331" s="1"/>
  <c r="E331"/>
  <c r="D331"/>
  <c r="C331"/>
  <c r="J330"/>
  <c r="M330" s="1"/>
  <c r="E330"/>
  <c r="D330"/>
  <c r="C330"/>
  <c r="J329"/>
  <c r="M329" s="1"/>
  <c r="E329"/>
  <c r="D329"/>
  <c r="C329"/>
  <c r="J328"/>
  <c r="M328" s="1"/>
  <c r="E328"/>
  <c r="D328"/>
  <c r="C328"/>
  <c r="J327"/>
  <c r="M327" s="1"/>
  <c r="E327"/>
  <c r="D327"/>
  <c r="C327"/>
  <c r="J326"/>
  <c r="M326" s="1"/>
  <c r="E326"/>
  <c r="D326"/>
  <c r="C326"/>
  <c r="J324"/>
  <c r="M324" s="1"/>
  <c r="E324"/>
  <c r="D324"/>
  <c r="C324"/>
  <c r="J323"/>
  <c r="M323" s="1"/>
  <c r="E323"/>
  <c r="D323"/>
  <c r="C323"/>
  <c r="J322"/>
  <c r="M322" s="1"/>
  <c r="E322"/>
  <c r="D322"/>
  <c r="C322"/>
  <c r="J321"/>
  <c r="M321" s="1"/>
  <c r="E321"/>
  <c r="D321"/>
  <c r="C321"/>
  <c r="J320"/>
  <c r="M320" s="1"/>
  <c r="E320"/>
  <c r="D320"/>
  <c r="C320"/>
  <c r="J319"/>
  <c r="M319" s="1"/>
  <c r="E319"/>
  <c r="D319"/>
  <c r="C319"/>
  <c r="J318"/>
  <c r="E318"/>
  <c r="D318"/>
  <c r="C318"/>
  <c r="J316"/>
  <c r="M316" s="1"/>
  <c r="E316"/>
  <c r="D316"/>
  <c r="C316"/>
  <c r="J315"/>
  <c r="M315" s="1"/>
  <c r="E315"/>
  <c r="D315"/>
  <c r="C315"/>
  <c r="J314"/>
  <c r="M314" s="1"/>
  <c r="E314"/>
  <c r="D314"/>
  <c r="C314"/>
  <c r="J313"/>
  <c r="M313" s="1"/>
  <c r="E313"/>
  <c r="D313"/>
  <c r="C313"/>
  <c r="J312"/>
  <c r="M312" s="1"/>
  <c r="E312"/>
  <c r="D312"/>
  <c r="C312"/>
  <c r="J310"/>
  <c r="M310" s="1"/>
  <c r="E310"/>
  <c r="D310"/>
  <c r="C310"/>
  <c r="J309"/>
  <c r="M309" s="1"/>
  <c r="E309"/>
  <c r="D309"/>
  <c r="C309"/>
  <c r="J308"/>
  <c r="M308" s="1"/>
  <c r="E308"/>
  <c r="D308"/>
  <c r="C308"/>
  <c r="J307"/>
  <c r="M307" s="1"/>
  <c r="E307"/>
  <c r="D307"/>
  <c r="C307"/>
  <c r="J305"/>
  <c r="M305" s="1"/>
  <c r="E305"/>
  <c r="D305"/>
  <c r="C305"/>
  <c r="J304"/>
  <c r="M304" s="1"/>
  <c r="E304"/>
  <c r="D304"/>
  <c r="C304"/>
  <c r="J302"/>
  <c r="M302" s="1"/>
  <c r="E302"/>
  <c r="D302"/>
  <c r="C302"/>
  <c r="Q296"/>
  <c r="P296"/>
  <c r="O296"/>
  <c r="M296"/>
  <c r="L296"/>
  <c r="K296"/>
  <c r="I296"/>
  <c r="H296"/>
  <c r="G296"/>
  <c r="E296"/>
  <c r="D296"/>
  <c r="C296"/>
  <c r="Q5"/>
  <c r="P5"/>
  <c r="O5"/>
  <c r="M5"/>
  <c r="L5"/>
  <c r="K5"/>
  <c r="I5"/>
  <c r="H5"/>
  <c r="G5"/>
  <c r="E5"/>
  <c r="D5"/>
  <c r="C5"/>
  <c r="J289"/>
  <c r="E289"/>
  <c r="D289"/>
  <c r="C289"/>
  <c r="J287"/>
  <c r="E287"/>
  <c r="D287"/>
  <c r="C287"/>
  <c r="J286"/>
  <c r="N286" s="1"/>
  <c r="E286"/>
  <c r="D286"/>
  <c r="C286"/>
  <c r="J285"/>
  <c r="N285" s="1"/>
  <c r="E285"/>
  <c r="D285"/>
  <c r="C285"/>
  <c r="J283"/>
  <c r="N283" s="1"/>
  <c r="E283"/>
  <c r="D283"/>
  <c r="C283"/>
  <c r="J282"/>
  <c r="N282" s="1"/>
  <c r="E282"/>
  <c r="D282"/>
  <c r="C282"/>
  <c r="J281"/>
  <c r="N281" s="1"/>
  <c r="E281"/>
  <c r="D281"/>
  <c r="C281"/>
  <c r="J280"/>
  <c r="N280" s="1"/>
  <c r="E280"/>
  <c r="D280"/>
  <c r="C280"/>
  <c r="J278"/>
  <c r="N278" s="1"/>
  <c r="E278"/>
  <c r="D278"/>
  <c r="C278"/>
  <c r="J277"/>
  <c r="N277" s="1"/>
  <c r="E277"/>
  <c r="D277"/>
  <c r="C277"/>
  <c r="J276"/>
  <c r="N276" s="1"/>
  <c r="E276"/>
  <c r="D276"/>
  <c r="C276"/>
  <c r="J275"/>
  <c r="N275" s="1"/>
  <c r="E275"/>
  <c r="D275"/>
  <c r="C275"/>
  <c r="J274"/>
  <c r="N274" s="1"/>
  <c r="E274"/>
  <c r="D274"/>
  <c r="C274"/>
  <c r="J272"/>
  <c r="N272" s="1"/>
  <c r="E272"/>
  <c r="D272"/>
  <c r="C272"/>
  <c r="J271"/>
  <c r="N271" s="1"/>
  <c r="E271"/>
  <c r="D271"/>
  <c r="C271"/>
  <c r="J270"/>
  <c r="N270" s="1"/>
  <c r="E270"/>
  <c r="D270"/>
  <c r="C270"/>
  <c r="J269"/>
  <c r="N269" s="1"/>
  <c r="E269"/>
  <c r="D269"/>
  <c r="C269"/>
  <c r="J268"/>
  <c r="N268" s="1"/>
  <c r="E268"/>
  <c r="D268"/>
  <c r="C268"/>
  <c r="J267"/>
  <c r="N267" s="1"/>
  <c r="E267"/>
  <c r="D267"/>
  <c r="C267"/>
  <c r="J266"/>
  <c r="N266" s="1"/>
  <c r="E266"/>
  <c r="D266"/>
  <c r="C266"/>
  <c r="J264"/>
  <c r="E264"/>
  <c r="D264"/>
  <c r="C264"/>
  <c r="J263"/>
  <c r="E263"/>
  <c r="D263"/>
  <c r="C263"/>
  <c r="J262"/>
  <c r="E262"/>
  <c r="D262"/>
  <c r="C262"/>
  <c r="J261"/>
  <c r="E261"/>
  <c r="D261"/>
  <c r="C261"/>
  <c r="J260"/>
  <c r="E260"/>
  <c r="D260"/>
  <c r="C260"/>
  <c r="J259"/>
  <c r="E259"/>
  <c r="D259"/>
  <c r="C259"/>
  <c r="J258"/>
  <c r="E258"/>
  <c r="D258"/>
  <c r="C258"/>
  <c r="J257"/>
  <c r="E257"/>
  <c r="D257"/>
  <c r="C257"/>
  <c r="J255"/>
  <c r="E255"/>
  <c r="D255"/>
  <c r="C255"/>
  <c r="J254"/>
  <c r="E254"/>
  <c r="D254"/>
  <c r="C254"/>
  <c r="J253"/>
  <c r="E253"/>
  <c r="D253"/>
  <c r="C253"/>
  <c r="J252"/>
  <c r="E252"/>
  <c r="D252"/>
  <c r="C252"/>
  <c r="J251"/>
  <c r="E251"/>
  <c r="D251"/>
  <c r="C251"/>
  <c r="J250"/>
  <c r="E250"/>
  <c r="D250"/>
  <c r="C250"/>
  <c r="J249"/>
  <c r="E249"/>
  <c r="D249"/>
  <c r="C249"/>
  <c r="J248"/>
  <c r="E248"/>
  <c r="D248"/>
  <c r="C248"/>
  <c r="J247"/>
  <c r="E247"/>
  <c r="D247"/>
  <c r="C247"/>
  <c r="J245"/>
  <c r="E245"/>
  <c r="D245"/>
  <c r="C245"/>
  <c r="J244"/>
  <c r="E244"/>
  <c r="D244"/>
  <c r="C244"/>
  <c r="J243"/>
  <c r="E243"/>
  <c r="D243"/>
  <c r="C243"/>
  <c r="J242"/>
  <c r="E242"/>
  <c r="D242"/>
  <c r="C242"/>
  <c r="J241"/>
  <c r="E241"/>
  <c r="D241"/>
  <c r="C241"/>
  <c r="J240"/>
  <c r="E240"/>
  <c r="D240"/>
  <c r="C240"/>
  <c r="J239"/>
  <c r="E239"/>
  <c r="D239"/>
  <c r="C239"/>
  <c r="J238"/>
  <c r="E238"/>
  <c r="D238"/>
  <c r="C238"/>
  <c r="J237"/>
  <c r="E237"/>
  <c r="D237"/>
  <c r="C237"/>
  <c r="J236"/>
  <c r="E236"/>
  <c r="D236"/>
  <c r="C236"/>
  <c r="J235"/>
  <c r="E235"/>
  <c r="D235"/>
  <c r="C235"/>
  <c r="J232"/>
  <c r="E232"/>
  <c r="D232"/>
  <c r="C232"/>
  <c r="J231"/>
  <c r="E231"/>
  <c r="D231"/>
  <c r="C231"/>
  <c r="J230"/>
  <c r="E230"/>
  <c r="D230"/>
  <c r="C230"/>
  <c r="J229"/>
  <c r="E229"/>
  <c r="D229"/>
  <c r="C229"/>
  <c r="J228"/>
  <c r="N228" s="1"/>
  <c r="E228"/>
  <c r="D228"/>
  <c r="C228"/>
  <c r="J227"/>
  <c r="N227" s="1"/>
  <c r="E227"/>
  <c r="D227"/>
  <c r="C227"/>
  <c r="J226"/>
  <c r="N226" s="1"/>
  <c r="E226"/>
  <c r="D226"/>
  <c r="C226"/>
  <c r="J225"/>
  <c r="N225" s="1"/>
  <c r="E225"/>
  <c r="D225"/>
  <c r="C225"/>
  <c r="J224"/>
  <c r="N224" s="1"/>
  <c r="E224"/>
  <c r="D224"/>
  <c r="C224"/>
  <c r="J223"/>
  <c r="N223" s="1"/>
  <c r="E223"/>
  <c r="D223"/>
  <c r="C223"/>
  <c r="J220"/>
  <c r="N220" s="1"/>
  <c r="E220"/>
  <c r="D220"/>
  <c r="C220"/>
  <c r="J219"/>
  <c r="N219" s="1"/>
  <c r="E219"/>
  <c r="D219"/>
  <c r="C219"/>
  <c r="J218"/>
  <c r="N218" s="1"/>
  <c r="E218"/>
  <c r="D218"/>
  <c r="C218"/>
  <c r="J217"/>
  <c r="N217" s="1"/>
  <c r="E217"/>
  <c r="D217"/>
  <c r="C217"/>
  <c r="J216"/>
  <c r="N216" s="1"/>
  <c r="E216"/>
  <c r="D216"/>
  <c r="C216"/>
  <c r="J215"/>
  <c r="N215" s="1"/>
  <c r="E215"/>
  <c r="D215"/>
  <c r="C215"/>
  <c r="J214"/>
  <c r="N214" s="1"/>
  <c r="E214"/>
  <c r="D214"/>
  <c r="C214"/>
  <c r="J213"/>
  <c r="N213" s="1"/>
  <c r="E213"/>
  <c r="D213"/>
  <c r="C213"/>
  <c r="J212"/>
  <c r="N212" s="1"/>
  <c r="E212"/>
  <c r="D212"/>
  <c r="C212"/>
  <c r="J211"/>
  <c r="N211" s="1"/>
  <c r="E211"/>
  <c r="D211"/>
  <c r="C211"/>
  <c r="J208"/>
  <c r="N208" s="1"/>
  <c r="E208"/>
  <c r="D208"/>
  <c r="C208"/>
  <c r="J207"/>
  <c r="N207" s="1"/>
  <c r="E207"/>
  <c r="D207"/>
  <c r="C207"/>
  <c r="J206"/>
  <c r="N206" s="1"/>
  <c r="E206"/>
  <c r="D206"/>
  <c r="C206"/>
  <c r="J205"/>
  <c r="N205" s="1"/>
  <c r="E205"/>
  <c r="D205"/>
  <c r="C205"/>
  <c r="J204"/>
  <c r="N204" s="1"/>
  <c r="E204"/>
  <c r="D204"/>
  <c r="C204"/>
  <c r="J203"/>
  <c r="N203" s="1"/>
  <c r="E203"/>
  <c r="D203"/>
  <c r="C203"/>
  <c r="J202"/>
  <c r="N202" s="1"/>
  <c r="E202"/>
  <c r="D202"/>
  <c r="C202"/>
  <c r="J201"/>
  <c r="N201" s="1"/>
  <c r="E201"/>
  <c r="D201"/>
  <c r="C201"/>
  <c r="J200"/>
  <c r="N200" s="1"/>
  <c r="E200"/>
  <c r="D200"/>
  <c r="C200"/>
  <c r="J199"/>
  <c r="N199" s="1"/>
  <c r="E199"/>
  <c r="D199"/>
  <c r="C199"/>
  <c r="J196"/>
  <c r="N196" s="1"/>
  <c r="E196"/>
  <c r="D196"/>
  <c r="C196"/>
  <c r="J195"/>
  <c r="N195" s="1"/>
  <c r="E195"/>
  <c r="D195"/>
  <c r="C195"/>
  <c r="J194"/>
  <c r="N194" s="1"/>
  <c r="E194"/>
  <c r="D194"/>
  <c r="C194"/>
  <c r="J193"/>
  <c r="N193" s="1"/>
  <c r="E193"/>
  <c r="D193"/>
  <c r="C193"/>
  <c r="J192"/>
  <c r="N192" s="1"/>
  <c r="E192"/>
  <c r="D192"/>
  <c r="C192"/>
  <c r="J191"/>
  <c r="N191" s="1"/>
  <c r="E191"/>
  <c r="D191"/>
  <c r="C191"/>
  <c r="J190"/>
  <c r="N190" s="1"/>
  <c r="E190"/>
  <c r="D190"/>
  <c r="C190"/>
  <c r="J189"/>
  <c r="N189" s="1"/>
  <c r="E189"/>
  <c r="D189"/>
  <c r="C189"/>
  <c r="J188"/>
  <c r="N188" s="1"/>
  <c r="E188"/>
  <c r="D188"/>
  <c r="C188"/>
  <c r="J187"/>
  <c r="N187" s="1"/>
  <c r="E187"/>
  <c r="D187"/>
  <c r="C187"/>
  <c r="J184"/>
  <c r="E184"/>
  <c r="D184"/>
  <c r="C184"/>
  <c r="J183"/>
  <c r="E183"/>
  <c r="D183"/>
  <c r="C183"/>
  <c r="J182"/>
  <c r="E182"/>
  <c r="D182"/>
  <c r="C182"/>
  <c r="J181"/>
  <c r="E181"/>
  <c r="D181"/>
  <c r="C181"/>
  <c r="J180"/>
  <c r="E180"/>
  <c r="D180"/>
  <c r="C180"/>
  <c r="J179"/>
  <c r="E179"/>
  <c r="D179"/>
  <c r="C179"/>
  <c r="J178"/>
  <c r="E178"/>
  <c r="D178"/>
  <c r="C178"/>
  <c r="J177"/>
  <c r="N177" s="1"/>
  <c r="E177"/>
  <c r="D177"/>
  <c r="C177"/>
  <c r="J176"/>
  <c r="N176" s="1"/>
  <c r="E176"/>
  <c r="D176"/>
  <c r="C176"/>
  <c r="J174"/>
  <c r="N174" s="1"/>
  <c r="E174"/>
  <c r="D174"/>
  <c r="C174"/>
  <c r="J173"/>
  <c r="N173" s="1"/>
  <c r="E173"/>
  <c r="D173"/>
  <c r="C173"/>
  <c r="J172"/>
  <c r="N172" s="1"/>
  <c r="E172"/>
  <c r="D172"/>
  <c r="C172"/>
  <c r="J171"/>
  <c r="N171" s="1"/>
  <c r="E171"/>
  <c r="D171"/>
  <c r="C171"/>
  <c r="J170"/>
  <c r="N170" s="1"/>
  <c r="E170"/>
  <c r="D170"/>
  <c r="C170"/>
  <c r="J169"/>
  <c r="N169" s="1"/>
  <c r="E169"/>
  <c r="D169"/>
  <c r="C169"/>
  <c r="J168"/>
  <c r="N168" s="1"/>
  <c r="E168"/>
  <c r="D168"/>
  <c r="C168"/>
  <c r="J167"/>
  <c r="N167" s="1"/>
  <c r="E167"/>
  <c r="D167"/>
  <c r="C167"/>
  <c r="J166"/>
  <c r="N166" s="1"/>
  <c r="E166"/>
  <c r="D166"/>
  <c r="C166"/>
  <c r="J165"/>
  <c r="N165" s="1"/>
  <c r="E165"/>
  <c r="D165"/>
  <c r="C165"/>
  <c r="J162"/>
  <c r="N162" s="1"/>
  <c r="E162"/>
  <c r="D162"/>
  <c r="C162"/>
  <c r="J161"/>
  <c r="N161" s="1"/>
  <c r="E161"/>
  <c r="D161"/>
  <c r="C161"/>
  <c r="J160"/>
  <c r="N160" s="1"/>
  <c r="E160"/>
  <c r="D160"/>
  <c r="C160"/>
  <c r="J159"/>
  <c r="N159" s="1"/>
  <c r="E159"/>
  <c r="D159"/>
  <c r="C159"/>
  <c r="J158"/>
  <c r="N158" s="1"/>
  <c r="E158"/>
  <c r="D158"/>
  <c r="C158"/>
  <c r="J157"/>
  <c r="N157" s="1"/>
  <c r="E157"/>
  <c r="D157"/>
  <c r="C157"/>
  <c r="J156"/>
  <c r="N156" s="1"/>
  <c r="E156"/>
  <c r="D156"/>
  <c r="C156"/>
  <c r="J155"/>
  <c r="N155" s="1"/>
  <c r="E155"/>
  <c r="D155"/>
  <c r="C155"/>
  <c r="J154"/>
  <c r="N154" s="1"/>
  <c r="E154"/>
  <c r="D154"/>
  <c r="C154"/>
  <c r="J152"/>
  <c r="N152" s="1"/>
  <c r="E152"/>
  <c r="D152"/>
  <c r="C152"/>
  <c r="J151"/>
  <c r="N151" s="1"/>
  <c r="E151"/>
  <c r="D151"/>
  <c r="C151"/>
  <c r="J150"/>
  <c r="N150" s="1"/>
  <c r="E150"/>
  <c r="D150"/>
  <c r="C150"/>
  <c r="J149"/>
  <c r="N149" s="1"/>
  <c r="E149"/>
  <c r="D149"/>
  <c r="C149"/>
  <c r="J148"/>
  <c r="N148" s="1"/>
  <c r="E148"/>
  <c r="D148"/>
  <c r="C148"/>
  <c r="J147"/>
  <c r="N147" s="1"/>
  <c r="E147"/>
  <c r="D147"/>
  <c r="C147"/>
  <c r="J146"/>
  <c r="N146" s="1"/>
  <c r="E146"/>
  <c r="D146"/>
  <c r="C146"/>
  <c r="J145"/>
  <c r="N145" s="1"/>
  <c r="E145"/>
  <c r="D145"/>
  <c r="C145"/>
  <c r="J144"/>
  <c r="N144" s="1"/>
  <c r="E144"/>
  <c r="D144"/>
  <c r="C144"/>
  <c r="J141"/>
  <c r="N141" s="1"/>
  <c r="E141"/>
  <c r="D141"/>
  <c r="C141"/>
  <c r="J140"/>
  <c r="N140" s="1"/>
  <c r="E140"/>
  <c r="D140"/>
  <c r="C140"/>
  <c r="J139"/>
  <c r="N139" s="1"/>
  <c r="E139"/>
  <c r="D139"/>
  <c r="C139"/>
  <c r="J138"/>
  <c r="N138" s="1"/>
  <c r="E138"/>
  <c r="D138"/>
  <c r="C138"/>
  <c r="J137"/>
  <c r="N137" s="1"/>
  <c r="E137"/>
  <c r="D137"/>
  <c r="C137"/>
  <c r="J136"/>
  <c r="N136" s="1"/>
  <c r="E136"/>
  <c r="D136"/>
  <c r="C136"/>
  <c r="J135"/>
  <c r="N135" s="1"/>
  <c r="E135"/>
  <c r="D135"/>
  <c r="C135"/>
  <c r="J134"/>
  <c r="N134" s="1"/>
  <c r="E134"/>
  <c r="D134"/>
  <c r="C134"/>
  <c r="J133"/>
  <c r="N133" s="1"/>
  <c r="E133"/>
  <c r="D133"/>
  <c r="C133"/>
  <c r="J131"/>
  <c r="N131" s="1"/>
  <c r="E131"/>
  <c r="D131"/>
  <c r="C131"/>
  <c r="J130"/>
  <c r="N130" s="1"/>
  <c r="E130"/>
  <c r="D130"/>
  <c r="C130"/>
  <c r="J129"/>
  <c r="N129" s="1"/>
  <c r="E129"/>
  <c r="D129"/>
  <c r="C129"/>
  <c r="J128"/>
  <c r="N128" s="1"/>
  <c r="E128"/>
  <c r="D128"/>
  <c r="C128"/>
  <c r="J127"/>
  <c r="N127" s="1"/>
  <c r="E127"/>
  <c r="D127"/>
  <c r="C127"/>
  <c r="J126"/>
  <c r="N126" s="1"/>
  <c r="E126"/>
  <c r="D126"/>
  <c r="C126"/>
  <c r="J125"/>
  <c r="N125" s="1"/>
  <c r="E125"/>
  <c r="D125"/>
  <c r="C125"/>
  <c r="J124"/>
  <c r="N124" s="1"/>
  <c r="E124"/>
  <c r="D124"/>
  <c r="C124"/>
  <c r="J123"/>
  <c r="N123" s="1"/>
  <c r="E123"/>
  <c r="D123"/>
  <c r="C123"/>
  <c r="J120"/>
  <c r="N120" s="1"/>
  <c r="E120"/>
  <c r="D120"/>
  <c r="C120"/>
  <c r="J119"/>
  <c r="N119" s="1"/>
  <c r="E119"/>
  <c r="D119"/>
  <c r="C119"/>
  <c r="J118"/>
  <c r="N118" s="1"/>
  <c r="E118"/>
  <c r="D118"/>
  <c r="C118"/>
  <c r="J117"/>
  <c r="N117" s="1"/>
  <c r="E117"/>
  <c r="D117"/>
  <c r="C117"/>
  <c r="J116"/>
  <c r="N116" s="1"/>
  <c r="E116"/>
  <c r="D116"/>
  <c r="C116"/>
  <c r="J115"/>
  <c r="N115" s="1"/>
  <c r="E115"/>
  <c r="D115"/>
  <c r="C115"/>
  <c r="J65"/>
  <c r="E65"/>
  <c r="D65"/>
  <c r="C65"/>
  <c r="J64"/>
  <c r="E64"/>
  <c r="D64"/>
  <c r="C64"/>
  <c r="J63"/>
  <c r="E63"/>
  <c r="D63"/>
  <c r="C63"/>
  <c r="J62"/>
  <c r="E62"/>
  <c r="D62"/>
  <c r="C62"/>
  <c r="J61"/>
  <c r="E61"/>
  <c r="D61"/>
  <c r="C61"/>
  <c r="J60"/>
  <c r="E60"/>
  <c r="D60"/>
  <c r="C60"/>
  <c r="J59"/>
  <c r="N59" s="1"/>
  <c r="E59"/>
  <c r="D59"/>
  <c r="C59"/>
  <c r="J57"/>
  <c r="N57" s="1"/>
  <c r="E57"/>
  <c r="D57"/>
  <c r="C57"/>
  <c r="J56"/>
  <c r="N56" s="1"/>
  <c r="E56"/>
  <c r="D56"/>
  <c r="C56"/>
  <c r="J55"/>
  <c r="N55" s="1"/>
  <c r="E55"/>
  <c r="D55"/>
  <c r="C55"/>
  <c r="J54"/>
  <c r="N54" s="1"/>
  <c r="E54"/>
  <c r="D54"/>
  <c r="C54"/>
  <c r="J53"/>
  <c r="N53" s="1"/>
  <c r="E53"/>
  <c r="D53"/>
  <c r="C53"/>
  <c r="J52"/>
  <c r="N52" s="1"/>
  <c r="E52"/>
  <c r="D52"/>
  <c r="C52"/>
  <c r="J51"/>
  <c r="N51" s="1"/>
  <c r="E51"/>
  <c r="D51"/>
  <c r="C51"/>
  <c r="J50"/>
  <c r="N50" s="1"/>
  <c r="E50"/>
  <c r="D50"/>
  <c r="C50"/>
  <c r="J48"/>
  <c r="N48" s="1"/>
  <c r="E48"/>
  <c r="D48"/>
  <c r="C48"/>
  <c r="J47"/>
  <c r="N47" s="1"/>
  <c r="E47"/>
  <c r="D47"/>
  <c r="C47"/>
  <c r="J46"/>
  <c r="N46" s="1"/>
  <c r="E46"/>
  <c r="D46"/>
  <c r="C46"/>
  <c r="J45"/>
  <c r="N45" s="1"/>
  <c r="E45"/>
  <c r="D45"/>
  <c r="C45"/>
  <c r="J44"/>
  <c r="N44" s="1"/>
  <c r="E44"/>
  <c r="D44"/>
  <c r="C44"/>
  <c r="J43"/>
  <c r="N43" s="1"/>
  <c r="E43"/>
  <c r="D43"/>
  <c r="C43"/>
  <c r="J42"/>
  <c r="N42" s="1"/>
  <c r="E42"/>
  <c r="D42"/>
  <c r="C42"/>
  <c r="J40"/>
  <c r="N40" s="1"/>
  <c r="E40"/>
  <c r="D40"/>
  <c r="C40"/>
  <c r="J39"/>
  <c r="N39" s="1"/>
  <c r="E39"/>
  <c r="D39"/>
  <c r="C39"/>
  <c r="J38"/>
  <c r="N38" s="1"/>
  <c r="E38"/>
  <c r="D38"/>
  <c r="C38"/>
  <c r="J37"/>
  <c r="N37" s="1"/>
  <c r="E37"/>
  <c r="D37"/>
  <c r="C37"/>
  <c r="J36"/>
  <c r="N36" s="1"/>
  <c r="E36"/>
  <c r="D36"/>
  <c r="C36"/>
  <c r="J35"/>
  <c r="N35" s="1"/>
  <c r="E35"/>
  <c r="D35"/>
  <c r="C35"/>
  <c r="J33"/>
  <c r="N33" s="1"/>
  <c r="E33"/>
  <c r="D33"/>
  <c r="C33"/>
  <c r="J32"/>
  <c r="N32" s="1"/>
  <c r="E32"/>
  <c r="D32"/>
  <c r="C32"/>
  <c r="J31"/>
  <c r="N31" s="1"/>
  <c r="E31"/>
  <c r="D31"/>
  <c r="C31"/>
  <c r="J30"/>
  <c r="E30"/>
  <c r="D30"/>
  <c r="C30"/>
  <c r="J29"/>
  <c r="E29"/>
  <c r="D29"/>
  <c r="C29"/>
  <c r="J28"/>
  <c r="E28"/>
  <c r="D28"/>
  <c r="C28"/>
  <c r="J27"/>
  <c r="N27" s="1"/>
  <c r="E27"/>
  <c r="D27"/>
  <c r="C27"/>
  <c r="J25"/>
  <c r="E25"/>
  <c r="D25"/>
  <c r="C25"/>
  <c r="J24"/>
  <c r="E24"/>
  <c r="D24"/>
  <c r="C24"/>
  <c r="J23"/>
  <c r="E23"/>
  <c r="D23"/>
  <c r="C23"/>
  <c r="J22"/>
  <c r="E22"/>
  <c r="D22"/>
  <c r="C22"/>
  <c r="J21"/>
  <c r="E21"/>
  <c r="D21"/>
  <c r="C21"/>
  <c r="J19"/>
  <c r="E19"/>
  <c r="D19"/>
  <c r="C19"/>
  <c r="J18"/>
  <c r="E18"/>
  <c r="D18"/>
  <c r="C18"/>
  <c r="J17"/>
  <c r="E17"/>
  <c r="D17"/>
  <c r="C17"/>
  <c r="J16"/>
  <c r="E16"/>
  <c r="D16"/>
  <c r="C16"/>
  <c r="J14"/>
  <c r="E14"/>
  <c r="D14"/>
  <c r="C14"/>
  <c r="J13"/>
  <c r="E13"/>
  <c r="D13"/>
  <c r="C13"/>
  <c r="J11"/>
  <c r="E11"/>
  <c r="D11"/>
  <c r="C11"/>
  <c r="J114"/>
  <c r="N114" s="1"/>
  <c r="E114"/>
  <c r="D114"/>
  <c r="C114"/>
  <c r="J113"/>
  <c r="N113" s="1"/>
  <c r="E113"/>
  <c r="D113"/>
  <c r="C113"/>
  <c r="J111"/>
  <c r="N111" s="1"/>
  <c r="E111"/>
  <c r="D111"/>
  <c r="C111"/>
  <c r="J110"/>
  <c r="N110" s="1"/>
  <c r="E110"/>
  <c r="D110"/>
  <c r="C110"/>
  <c r="J109"/>
  <c r="N109" s="1"/>
  <c r="E109"/>
  <c r="D109"/>
  <c r="C109"/>
  <c r="J108"/>
  <c r="N108" s="1"/>
  <c r="E108"/>
  <c r="D108"/>
  <c r="C108"/>
  <c r="J107"/>
  <c r="N107" s="1"/>
  <c r="E107"/>
  <c r="D107"/>
  <c r="C107"/>
  <c r="J106"/>
  <c r="N106" s="1"/>
  <c r="E106"/>
  <c r="D106"/>
  <c r="C106"/>
  <c r="J105"/>
  <c r="N105" s="1"/>
  <c r="E105"/>
  <c r="D105"/>
  <c r="C105"/>
  <c r="J104"/>
  <c r="N104" s="1"/>
  <c r="E104"/>
  <c r="D104"/>
  <c r="C104"/>
  <c r="J103"/>
  <c r="N103" s="1"/>
  <c r="E103"/>
  <c r="D103"/>
  <c r="C103"/>
  <c r="J101"/>
  <c r="N101" s="1"/>
  <c r="E101"/>
  <c r="D101"/>
  <c r="C101"/>
  <c r="J100"/>
  <c r="N100" s="1"/>
  <c r="E100"/>
  <c r="D100"/>
  <c r="C100"/>
  <c r="J99"/>
  <c r="N99" s="1"/>
  <c r="E99"/>
  <c r="D99"/>
  <c r="C99"/>
  <c r="J98"/>
  <c r="N98" s="1"/>
  <c r="E98"/>
  <c r="D98"/>
  <c r="C98"/>
  <c r="J97"/>
  <c r="N97" s="1"/>
  <c r="E97"/>
  <c r="D97"/>
  <c r="C97"/>
  <c r="J96"/>
  <c r="N96" s="1"/>
  <c r="E96"/>
  <c r="D96"/>
  <c r="C96"/>
  <c r="J95"/>
  <c r="N95" s="1"/>
  <c r="E95"/>
  <c r="D95"/>
  <c r="C95"/>
  <c r="J94"/>
  <c r="N94" s="1"/>
  <c r="E94"/>
  <c r="D94"/>
  <c r="C94"/>
  <c r="J92"/>
  <c r="N92" s="1"/>
  <c r="E92"/>
  <c r="D92"/>
  <c r="C92"/>
  <c r="J91"/>
  <c r="N91" s="1"/>
  <c r="E91"/>
  <c r="D91"/>
  <c r="C91"/>
  <c r="J90"/>
  <c r="N90" s="1"/>
  <c r="E90"/>
  <c r="D90"/>
  <c r="C90"/>
  <c r="J89"/>
  <c r="N89" s="1"/>
  <c r="E89"/>
  <c r="D89"/>
  <c r="C89"/>
  <c r="J88"/>
  <c r="N88" s="1"/>
  <c r="E88"/>
  <c r="D88"/>
  <c r="C88"/>
  <c r="J87"/>
  <c r="N87" s="1"/>
  <c r="E87"/>
  <c r="D87"/>
  <c r="C87"/>
  <c r="J86"/>
  <c r="N86" s="1"/>
  <c r="E86"/>
  <c r="D86"/>
  <c r="C86"/>
  <c r="J85"/>
  <c r="N85" s="1"/>
  <c r="E85"/>
  <c r="D85"/>
  <c r="C85"/>
  <c r="J83"/>
  <c r="N83" s="1"/>
  <c r="E83"/>
  <c r="D83"/>
  <c r="C83"/>
  <c r="J82"/>
  <c r="N82" s="1"/>
  <c r="E82"/>
  <c r="D82"/>
  <c r="C82"/>
  <c r="J81"/>
  <c r="N81" s="1"/>
  <c r="E81"/>
  <c r="D81"/>
  <c r="C81"/>
  <c r="J80"/>
  <c r="N80" s="1"/>
  <c r="E80"/>
  <c r="D80"/>
  <c r="C80"/>
  <c r="J79"/>
  <c r="N79" s="1"/>
  <c r="E79"/>
  <c r="D79"/>
  <c r="C79"/>
  <c r="J78"/>
  <c r="N78" s="1"/>
  <c r="E78"/>
  <c r="D78"/>
  <c r="C78"/>
  <c r="J77"/>
  <c r="E77"/>
  <c r="D77"/>
  <c r="C77"/>
  <c r="J76"/>
  <c r="N76" s="1"/>
  <c r="E76"/>
  <c r="D76"/>
  <c r="C76"/>
  <c r="J74"/>
  <c r="E74"/>
  <c r="D74"/>
  <c r="C74"/>
  <c r="J73"/>
  <c r="N73" s="1"/>
  <c r="E73"/>
  <c r="D73"/>
  <c r="C73"/>
  <c r="J72"/>
  <c r="E72"/>
  <c r="D72"/>
  <c r="C72"/>
  <c r="J71"/>
  <c r="N71" s="1"/>
  <c r="E71"/>
  <c r="D71"/>
  <c r="C71"/>
  <c r="J70"/>
  <c r="E70"/>
  <c r="D70"/>
  <c r="C70"/>
  <c r="J69"/>
  <c r="N69" s="1"/>
  <c r="E69"/>
  <c r="D69"/>
  <c r="C69"/>
  <c r="J68"/>
  <c r="E68"/>
  <c r="D68"/>
  <c r="C68"/>
  <c r="E67"/>
  <c r="C67"/>
  <c r="D67"/>
  <c r="J67"/>
  <c r="I37" i="1"/>
  <c r="H37"/>
  <c r="H38" s="1"/>
  <c r="N68" i="16" l="1"/>
  <c r="O68" s="1"/>
  <c r="N70"/>
  <c r="O70" s="1"/>
  <c r="N11"/>
  <c r="O11" s="1"/>
  <c r="N21"/>
  <c r="O21" s="1"/>
  <c r="N23"/>
  <c r="O23" s="1"/>
  <c r="N29"/>
  <c r="O29" s="1"/>
  <c r="I60"/>
  <c r="N60"/>
  <c r="I63"/>
  <c r="N63"/>
  <c r="H178"/>
  <c r="N178"/>
  <c r="H179"/>
  <c r="N179"/>
  <c r="H180"/>
  <c r="N180"/>
  <c r="H181"/>
  <c r="N181"/>
  <c r="H182"/>
  <c r="N182"/>
  <c r="H183"/>
  <c r="N183"/>
  <c r="H184"/>
  <c r="N184"/>
  <c r="H229"/>
  <c r="N229"/>
  <c r="H230"/>
  <c r="N230"/>
  <c r="H231"/>
  <c r="N231"/>
  <c r="H232"/>
  <c r="N232"/>
  <c r="H235"/>
  <c r="N235"/>
  <c r="H236"/>
  <c r="N236"/>
  <c r="H237"/>
  <c r="N237"/>
  <c r="H238"/>
  <c r="N238"/>
  <c r="H239"/>
  <c r="N239"/>
  <c r="H240"/>
  <c r="N240"/>
  <c r="H241"/>
  <c r="N241"/>
  <c r="H242"/>
  <c r="N242"/>
  <c r="H243"/>
  <c r="N243"/>
  <c r="H244"/>
  <c r="N244"/>
  <c r="H245"/>
  <c r="N245"/>
  <c r="I247"/>
  <c r="N247"/>
  <c r="I248"/>
  <c r="N248"/>
  <c r="I249"/>
  <c r="N249"/>
  <c r="I250"/>
  <c r="N250"/>
  <c r="I251"/>
  <c r="N251"/>
  <c r="I252"/>
  <c r="N252"/>
  <c r="I253"/>
  <c r="N253"/>
  <c r="I254"/>
  <c r="N254"/>
  <c r="I255"/>
  <c r="N255"/>
  <c r="I257"/>
  <c r="N257"/>
  <c r="I258"/>
  <c r="N258"/>
  <c r="I259"/>
  <c r="N259"/>
  <c r="I260"/>
  <c r="N260"/>
  <c r="I261"/>
  <c r="N261"/>
  <c r="I262"/>
  <c r="N262"/>
  <c r="I263"/>
  <c r="N263"/>
  <c r="I264"/>
  <c r="N264"/>
  <c r="H287"/>
  <c r="N287"/>
  <c r="H289"/>
  <c r="N289"/>
  <c r="N72"/>
  <c r="O72" s="1"/>
  <c r="N74"/>
  <c r="O74" s="1"/>
  <c r="N77"/>
  <c r="K77" s="1"/>
  <c r="N13"/>
  <c r="O13" s="1"/>
  <c r="N14"/>
  <c r="O14" s="1"/>
  <c r="N16"/>
  <c r="O16" s="1"/>
  <c r="N17"/>
  <c r="K17" s="1"/>
  <c r="N18"/>
  <c r="O18" s="1"/>
  <c r="N19"/>
  <c r="O19" s="1"/>
  <c r="N22"/>
  <c r="O22" s="1"/>
  <c r="N24"/>
  <c r="O24" s="1"/>
  <c r="N25"/>
  <c r="O25" s="1"/>
  <c r="N28"/>
  <c r="O28" s="1"/>
  <c r="N30"/>
  <c r="K30" s="1"/>
  <c r="I61"/>
  <c r="N61"/>
  <c r="I62"/>
  <c r="N62"/>
  <c r="I64"/>
  <c r="N64"/>
  <c r="I65"/>
  <c r="N65"/>
  <c r="H67"/>
  <c r="N67"/>
  <c r="K302"/>
  <c r="L302"/>
  <c r="K304"/>
  <c r="L304"/>
  <c r="K305"/>
  <c r="L305"/>
  <c r="K307"/>
  <c r="L307"/>
  <c r="K308"/>
  <c r="L308"/>
  <c r="K309"/>
  <c r="L309"/>
  <c r="L310"/>
  <c r="K310"/>
  <c r="K312"/>
  <c r="L312"/>
  <c r="K313"/>
  <c r="L313"/>
  <c r="K314"/>
  <c r="L314"/>
  <c r="L315"/>
  <c r="K315"/>
  <c r="K316"/>
  <c r="L316"/>
  <c r="L319"/>
  <c r="K319"/>
  <c r="N319"/>
  <c r="K320"/>
  <c r="L320"/>
  <c r="K321"/>
  <c r="L321"/>
  <c r="K322"/>
  <c r="L322"/>
  <c r="L323"/>
  <c r="K323"/>
  <c r="K324"/>
  <c r="L324"/>
  <c r="K326"/>
  <c r="L326"/>
  <c r="K327"/>
  <c r="L327"/>
  <c r="L328"/>
  <c r="K328"/>
  <c r="K329"/>
  <c r="L329"/>
  <c r="K330"/>
  <c r="L330"/>
  <c r="N330"/>
  <c r="K331"/>
  <c r="L331"/>
  <c r="K334"/>
  <c r="L334"/>
  <c r="K335"/>
  <c r="L335"/>
  <c r="K336"/>
  <c r="L336"/>
  <c r="L337"/>
  <c r="K337"/>
  <c r="K338"/>
  <c r="L338"/>
  <c r="K339"/>
  <c r="L339"/>
  <c r="K340"/>
  <c r="L340"/>
  <c r="K343"/>
  <c r="L343"/>
  <c r="K344"/>
  <c r="L344"/>
  <c r="K345"/>
  <c r="L345"/>
  <c r="L346"/>
  <c r="K346"/>
  <c r="K347"/>
  <c r="L347"/>
  <c r="K348"/>
  <c r="L348"/>
  <c r="L351"/>
  <c r="K351"/>
  <c r="K352"/>
  <c r="L352"/>
  <c r="K353"/>
  <c r="L353"/>
  <c r="O354"/>
  <c r="L355"/>
  <c r="K355"/>
  <c r="O356"/>
  <c r="K357"/>
  <c r="L357"/>
  <c r="O360"/>
  <c r="L361"/>
  <c r="K361"/>
  <c r="O362"/>
  <c r="K363"/>
  <c r="L363"/>
  <c r="O364"/>
  <c r="L365"/>
  <c r="K365"/>
  <c r="O366"/>
  <c r="K367"/>
  <c r="L367"/>
  <c r="L370"/>
  <c r="K370"/>
  <c r="O371"/>
  <c r="K372"/>
  <c r="L372"/>
  <c r="O373"/>
  <c r="L374"/>
  <c r="K374"/>
  <c r="O375"/>
  <c r="K376"/>
  <c r="L376"/>
  <c r="O379"/>
  <c r="L380"/>
  <c r="K380"/>
  <c r="O381"/>
  <c r="K382"/>
  <c r="L382"/>
  <c r="O383"/>
  <c r="L384"/>
  <c r="K384"/>
  <c r="O385"/>
  <c r="K386"/>
  <c r="L386"/>
  <c r="O388"/>
  <c r="L389"/>
  <c r="K389"/>
  <c r="O390"/>
  <c r="K391"/>
  <c r="L391"/>
  <c r="O392"/>
  <c r="L393"/>
  <c r="K393"/>
  <c r="O394"/>
  <c r="K395"/>
  <c r="L395"/>
  <c r="I399"/>
  <c r="Q400"/>
  <c r="K401"/>
  <c r="L401"/>
  <c r="Q402"/>
  <c r="L403"/>
  <c r="K403"/>
  <c r="Q404"/>
  <c r="K405"/>
  <c r="L405"/>
  <c r="Q406"/>
  <c r="L409"/>
  <c r="K409"/>
  <c r="Q410"/>
  <c r="K411"/>
  <c r="L411"/>
  <c r="Q412"/>
  <c r="L413"/>
  <c r="K413"/>
  <c r="Q414"/>
  <c r="K415"/>
  <c r="L415"/>
  <c r="Q416"/>
  <c r="L419"/>
  <c r="K419"/>
  <c r="Q420"/>
  <c r="K421"/>
  <c r="L421"/>
  <c r="Q422"/>
  <c r="L423"/>
  <c r="K423"/>
  <c r="Q424"/>
  <c r="K425"/>
  <c r="L425"/>
  <c r="Q426"/>
  <c r="L427"/>
  <c r="K427"/>
  <c r="Q430"/>
  <c r="K431"/>
  <c r="L431"/>
  <c r="Q432"/>
  <c r="L433"/>
  <c r="K433"/>
  <c r="K434"/>
  <c r="L434"/>
  <c r="K435"/>
  <c r="L435"/>
  <c r="K436"/>
  <c r="L436"/>
  <c r="L437"/>
  <c r="K437"/>
  <c r="K438"/>
  <c r="L438"/>
  <c r="K441"/>
  <c r="L441"/>
  <c r="K442"/>
  <c r="L442"/>
  <c r="L443"/>
  <c r="K443"/>
  <c r="K444"/>
  <c r="L444"/>
  <c r="K445"/>
  <c r="L445"/>
  <c r="K446"/>
  <c r="L446"/>
  <c r="L447"/>
  <c r="K447"/>
  <c r="K448"/>
  <c r="L448"/>
  <c r="K449"/>
  <c r="L449"/>
  <c r="K452"/>
  <c r="L452"/>
  <c r="L453"/>
  <c r="K453"/>
  <c r="K454"/>
  <c r="L454"/>
  <c r="K455"/>
  <c r="L455"/>
  <c r="K456"/>
  <c r="L456"/>
  <c r="L457"/>
  <c r="K457"/>
  <c r="K458"/>
  <c r="L458"/>
  <c r="K459"/>
  <c r="L459"/>
  <c r="K460"/>
  <c r="L460"/>
  <c r="K465"/>
  <c r="L465"/>
  <c r="K466"/>
  <c r="L466"/>
  <c r="K467"/>
  <c r="L467"/>
  <c r="L468"/>
  <c r="K468"/>
  <c r="K469"/>
  <c r="L469"/>
  <c r="K470"/>
  <c r="L470"/>
  <c r="K471"/>
  <c r="L471"/>
  <c r="L472"/>
  <c r="K472"/>
  <c r="K473"/>
  <c r="L473"/>
  <c r="K476"/>
  <c r="L476"/>
  <c r="K477"/>
  <c r="L477"/>
  <c r="L478"/>
  <c r="K478"/>
  <c r="K479"/>
  <c r="L479"/>
  <c r="K480"/>
  <c r="L480"/>
  <c r="K481"/>
  <c r="L481"/>
  <c r="L482"/>
  <c r="K482"/>
  <c r="K483"/>
  <c r="L483"/>
  <c r="K484"/>
  <c r="L484"/>
  <c r="K488"/>
  <c r="L488"/>
  <c r="L489"/>
  <c r="K489"/>
  <c r="K490"/>
  <c r="L490"/>
  <c r="K491"/>
  <c r="L491"/>
  <c r="K492"/>
  <c r="L492"/>
  <c r="L493"/>
  <c r="K493"/>
  <c r="K494"/>
  <c r="L494"/>
  <c r="K495"/>
  <c r="L495"/>
  <c r="K496"/>
  <c r="L496"/>
  <c r="L497"/>
  <c r="K497"/>
  <c r="K502"/>
  <c r="L502"/>
  <c r="K503"/>
  <c r="L503"/>
  <c r="L504"/>
  <c r="K504"/>
  <c r="K505"/>
  <c r="L505"/>
  <c r="K506"/>
  <c r="L506"/>
  <c r="K507"/>
  <c r="L507"/>
  <c r="L508"/>
  <c r="K508"/>
  <c r="K509"/>
  <c r="L509"/>
  <c r="K510"/>
  <c r="L510"/>
  <c r="K514"/>
  <c r="L514"/>
  <c r="L515"/>
  <c r="K515"/>
  <c r="K516"/>
  <c r="L516"/>
  <c r="K517"/>
  <c r="L517"/>
  <c r="K518"/>
  <c r="L518"/>
  <c r="L519"/>
  <c r="K519"/>
  <c r="K520"/>
  <c r="L520"/>
  <c r="K521"/>
  <c r="L521"/>
  <c r="K522"/>
  <c r="L522"/>
  <c r="L523"/>
  <c r="K523"/>
  <c r="K527"/>
  <c r="L527"/>
  <c r="L528"/>
  <c r="K528"/>
  <c r="K529"/>
  <c r="L529"/>
  <c r="L530"/>
  <c r="K530"/>
  <c r="K531"/>
  <c r="L531"/>
  <c r="L532"/>
  <c r="K532"/>
  <c r="K533"/>
  <c r="L533"/>
  <c r="L534"/>
  <c r="K534"/>
  <c r="K535"/>
  <c r="L535"/>
  <c r="L536"/>
  <c r="K536"/>
  <c r="L541"/>
  <c r="K541"/>
  <c r="K542"/>
  <c r="L542"/>
  <c r="L543"/>
  <c r="K543"/>
  <c r="K544"/>
  <c r="L544"/>
  <c r="L545"/>
  <c r="K545"/>
  <c r="P546"/>
  <c r="H547"/>
  <c r="H548"/>
  <c r="H549"/>
  <c r="H550"/>
  <c r="H552"/>
  <c r="H553"/>
  <c r="H554"/>
  <c r="H555"/>
  <c r="L556"/>
  <c r="K556"/>
  <c r="K557"/>
  <c r="L557"/>
  <c r="L558"/>
  <c r="K558"/>
  <c r="K559"/>
  <c r="L559"/>
  <c r="L560"/>
  <c r="K560"/>
  <c r="K562"/>
  <c r="L562"/>
  <c r="L563"/>
  <c r="K563"/>
  <c r="K564"/>
  <c r="L564"/>
  <c r="L565"/>
  <c r="K565"/>
  <c r="K566"/>
  <c r="L566"/>
  <c r="L567"/>
  <c r="K567"/>
  <c r="K568"/>
  <c r="L568"/>
  <c r="L569"/>
  <c r="K569"/>
  <c r="L572"/>
  <c r="K572"/>
  <c r="K573"/>
  <c r="L573"/>
  <c r="L574"/>
  <c r="K574"/>
  <c r="K575"/>
  <c r="L575"/>
  <c r="L576"/>
  <c r="K576"/>
  <c r="K577"/>
  <c r="L577"/>
  <c r="L579"/>
  <c r="K579"/>
  <c r="K580"/>
  <c r="L580"/>
  <c r="L581"/>
  <c r="K581"/>
  <c r="K582"/>
  <c r="L582"/>
  <c r="L583"/>
  <c r="K583"/>
  <c r="K585"/>
  <c r="L585"/>
  <c r="L586"/>
  <c r="K586"/>
  <c r="K587"/>
  <c r="L587"/>
  <c r="L588"/>
  <c r="K588"/>
  <c r="L591"/>
  <c r="K591"/>
  <c r="K592"/>
  <c r="L592"/>
  <c r="L594"/>
  <c r="K594"/>
  <c r="H363"/>
  <c r="H476"/>
  <c r="H435"/>
  <c r="H517"/>
  <c r="G399"/>
  <c r="H455"/>
  <c r="H495"/>
  <c r="H536"/>
  <c r="H305"/>
  <c r="H382"/>
  <c r="H416"/>
  <c r="H445"/>
  <c r="H466"/>
  <c r="H484"/>
  <c r="H506"/>
  <c r="H528"/>
  <c r="H586"/>
  <c r="H340"/>
  <c r="H372"/>
  <c r="H391"/>
  <c r="H406"/>
  <c r="H426"/>
  <c r="H441"/>
  <c r="H449"/>
  <c r="H459"/>
  <c r="H470"/>
  <c r="H480"/>
  <c r="H491"/>
  <c r="H502"/>
  <c r="H510"/>
  <c r="H521"/>
  <c r="H532"/>
  <c r="H543"/>
  <c r="H567"/>
  <c r="H322"/>
  <c r="H355"/>
  <c r="H367"/>
  <c r="H376"/>
  <c r="H386"/>
  <c r="H395"/>
  <c r="H402"/>
  <c r="H412"/>
  <c r="H422"/>
  <c r="H432"/>
  <c r="H437"/>
  <c r="H443"/>
  <c r="H447"/>
  <c r="H453"/>
  <c r="H457"/>
  <c r="H464"/>
  <c r="H468"/>
  <c r="H472"/>
  <c r="H478"/>
  <c r="H482"/>
  <c r="H489"/>
  <c r="H493"/>
  <c r="H497"/>
  <c r="H504"/>
  <c r="H508"/>
  <c r="H515"/>
  <c r="H519"/>
  <c r="H523"/>
  <c r="H530"/>
  <c r="H534"/>
  <c r="H541"/>
  <c r="H545"/>
  <c r="H558"/>
  <c r="H576"/>
  <c r="H314"/>
  <c r="H331"/>
  <c r="H361"/>
  <c r="H365"/>
  <c r="H370"/>
  <c r="H374"/>
  <c r="H380"/>
  <c r="H384"/>
  <c r="H389"/>
  <c r="H393"/>
  <c r="H398"/>
  <c r="H400"/>
  <c r="H404"/>
  <c r="H410"/>
  <c r="H414"/>
  <c r="H420"/>
  <c r="H424"/>
  <c r="H430"/>
  <c r="H434"/>
  <c r="H436"/>
  <c r="H438"/>
  <c r="H442"/>
  <c r="H444"/>
  <c r="H446"/>
  <c r="H448"/>
  <c r="H452"/>
  <c r="H454"/>
  <c r="H456"/>
  <c r="H458"/>
  <c r="H460"/>
  <c r="H465"/>
  <c r="H467"/>
  <c r="H469"/>
  <c r="H471"/>
  <c r="H473"/>
  <c r="H477"/>
  <c r="H479"/>
  <c r="H481"/>
  <c r="H483"/>
  <c r="H488"/>
  <c r="H490"/>
  <c r="H492"/>
  <c r="H494"/>
  <c r="H496"/>
  <c r="H501"/>
  <c r="H503"/>
  <c r="H505"/>
  <c r="H507"/>
  <c r="H509"/>
  <c r="H514"/>
  <c r="H516"/>
  <c r="H518"/>
  <c r="H520"/>
  <c r="H522"/>
  <c r="H527"/>
  <c r="H529"/>
  <c r="H531"/>
  <c r="H533"/>
  <c r="H535"/>
  <c r="H540"/>
  <c r="H542"/>
  <c r="H544"/>
  <c r="H546"/>
  <c r="H563"/>
  <c r="H572"/>
  <c r="H581"/>
  <c r="H591"/>
  <c r="H309"/>
  <c r="H318"/>
  <c r="H327"/>
  <c r="H336"/>
  <c r="H345"/>
  <c r="H353"/>
  <c r="H357"/>
  <c r="H302"/>
  <c r="H307"/>
  <c r="H312"/>
  <c r="H316"/>
  <c r="H320"/>
  <c r="H324"/>
  <c r="H329"/>
  <c r="H334"/>
  <c r="H338"/>
  <c r="H343"/>
  <c r="H347"/>
  <c r="H352"/>
  <c r="H354"/>
  <c r="H356"/>
  <c r="H360"/>
  <c r="H362"/>
  <c r="H364"/>
  <c r="H366"/>
  <c r="H369"/>
  <c r="H371"/>
  <c r="H373"/>
  <c r="H375"/>
  <c r="H379"/>
  <c r="H381"/>
  <c r="H383"/>
  <c r="H385"/>
  <c r="H388"/>
  <c r="H390"/>
  <c r="H392"/>
  <c r="H394"/>
  <c r="G398"/>
  <c r="M398" s="1"/>
  <c r="I398"/>
  <c r="H399"/>
  <c r="Q399"/>
  <c r="G400"/>
  <c r="I400"/>
  <c r="H401"/>
  <c r="G402"/>
  <c r="I402"/>
  <c r="H403"/>
  <c r="G404"/>
  <c r="I404"/>
  <c r="H405"/>
  <c r="G406"/>
  <c r="I406"/>
  <c r="H409"/>
  <c r="G410"/>
  <c r="I410"/>
  <c r="H411"/>
  <c r="G412"/>
  <c r="I412"/>
  <c r="H413"/>
  <c r="G414"/>
  <c r="I414"/>
  <c r="H415"/>
  <c r="G416"/>
  <c r="I416"/>
  <c r="H419"/>
  <c r="G420"/>
  <c r="I420"/>
  <c r="H421"/>
  <c r="G422"/>
  <c r="I422"/>
  <c r="H423"/>
  <c r="G424"/>
  <c r="I424"/>
  <c r="H425"/>
  <c r="G426"/>
  <c r="I426"/>
  <c r="H427"/>
  <c r="G430"/>
  <c r="I430"/>
  <c r="H431"/>
  <c r="G432"/>
  <c r="I432"/>
  <c r="H433"/>
  <c r="G434"/>
  <c r="I434"/>
  <c r="G436"/>
  <c r="I436"/>
  <c r="G438"/>
  <c r="I438"/>
  <c r="G442"/>
  <c r="I442"/>
  <c r="G444"/>
  <c r="I444"/>
  <c r="G446"/>
  <c r="I446"/>
  <c r="G448"/>
  <c r="I448"/>
  <c r="G452"/>
  <c r="I452"/>
  <c r="G454"/>
  <c r="I454"/>
  <c r="G456"/>
  <c r="I456"/>
  <c r="G458"/>
  <c r="I458"/>
  <c r="G460"/>
  <c r="I460"/>
  <c r="G465"/>
  <c r="I465"/>
  <c r="G467"/>
  <c r="I467"/>
  <c r="G469"/>
  <c r="I469"/>
  <c r="G471"/>
  <c r="I471"/>
  <c r="G473"/>
  <c r="I473"/>
  <c r="G477"/>
  <c r="I477"/>
  <c r="G479"/>
  <c r="I479"/>
  <c r="G481"/>
  <c r="I481"/>
  <c r="G483"/>
  <c r="I483"/>
  <c r="G488"/>
  <c r="I488"/>
  <c r="G490"/>
  <c r="I490"/>
  <c r="G492"/>
  <c r="I492"/>
  <c r="G494"/>
  <c r="I494"/>
  <c r="G496"/>
  <c r="I496"/>
  <c r="G501"/>
  <c r="M501" s="1"/>
  <c r="I501"/>
  <c r="G503"/>
  <c r="I503"/>
  <c r="G505"/>
  <c r="I505"/>
  <c r="G507"/>
  <c r="I507"/>
  <c r="G509"/>
  <c r="I509"/>
  <c r="G514"/>
  <c r="I514"/>
  <c r="G516"/>
  <c r="I516"/>
  <c r="G518"/>
  <c r="I518"/>
  <c r="G520"/>
  <c r="I520"/>
  <c r="G522"/>
  <c r="I522"/>
  <c r="G527"/>
  <c r="I527"/>
  <c r="G529"/>
  <c r="I529"/>
  <c r="G531"/>
  <c r="I531"/>
  <c r="G533"/>
  <c r="I533"/>
  <c r="G535"/>
  <c r="I535"/>
  <c r="G540"/>
  <c r="M540" s="1"/>
  <c r="I540"/>
  <c r="G542"/>
  <c r="I542"/>
  <c r="G544"/>
  <c r="I544"/>
  <c r="G546"/>
  <c r="I546"/>
  <c r="H556"/>
  <c r="H560"/>
  <c r="H565"/>
  <c r="H569"/>
  <c r="H574"/>
  <c r="H579"/>
  <c r="H583"/>
  <c r="H588"/>
  <c r="H594"/>
  <c r="O353"/>
  <c r="O355"/>
  <c r="O357"/>
  <c r="O361"/>
  <c r="O363"/>
  <c r="O365"/>
  <c r="O367"/>
  <c r="O370"/>
  <c r="O372"/>
  <c r="O374"/>
  <c r="O376"/>
  <c r="O380"/>
  <c r="O382"/>
  <c r="O384"/>
  <c r="O386"/>
  <c r="O389"/>
  <c r="O391"/>
  <c r="O393"/>
  <c r="Q395"/>
  <c r="I401"/>
  <c r="G401"/>
  <c r="I403"/>
  <c r="G403"/>
  <c r="I405"/>
  <c r="G405"/>
  <c r="I409"/>
  <c r="G409"/>
  <c r="I411"/>
  <c r="G411"/>
  <c r="I413"/>
  <c r="G413"/>
  <c r="I415"/>
  <c r="G415"/>
  <c r="I419"/>
  <c r="G419"/>
  <c r="I421"/>
  <c r="G421"/>
  <c r="I423"/>
  <c r="G423"/>
  <c r="I425"/>
  <c r="G425"/>
  <c r="I427"/>
  <c r="G427"/>
  <c r="I431"/>
  <c r="G431"/>
  <c r="I433"/>
  <c r="G433"/>
  <c r="Q434"/>
  <c r="Q436"/>
  <c r="Q438"/>
  <c r="Q442"/>
  <c r="Q444"/>
  <c r="Q446"/>
  <c r="Q448"/>
  <c r="Q452"/>
  <c r="Q454"/>
  <c r="Q456"/>
  <c r="Q458"/>
  <c r="Q460"/>
  <c r="Q465"/>
  <c r="Q467"/>
  <c r="Q469"/>
  <c r="Q471"/>
  <c r="Q473"/>
  <c r="Q477"/>
  <c r="Q479"/>
  <c r="Q481"/>
  <c r="Q483"/>
  <c r="Q488"/>
  <c r="Q490"/>
  <c r="Q492"/>
  <c r="Q494"/>
  <c r="Q496"/>
  <c r="Q503"/>
  <c r="Q505"/>
  <c r="Q507"/>
  <c r="Q509"/>
  <c r="Q514"/>
  <c r="Q516"/>
  <c r="Q518"/>
  <c r="Q520"/>
  <c r="Q522"/>
  <c r="Q527"/>
  <c r="Q529"/>
  <c r="Q531"/>
  <c r="Q533"/>
  <c r="Q535"/>
  <c r="Q542"/>
  <c r="Q544"/>
  <c r="H304"/>
  <c r="H308"/>
  <c r="H310"/>
  <c r="H313"/>
  <c r="H315"/>
  <c r="H319"/>
  <c r="H321"/>
  <c r="H323"/>
  <c r="H326"/>
  <c r="H328"/>
  <c r="H330"/>
  <c r="H335"/>
  <c r="H337"/>
  <c r="H339"/>
  <c r="H342"/>
  <c r="H344"/>
  <c r="H346"/>
  <c r="H348"/>
  <c r="H351"/>
  <c r="G353"/>
  <c r="I353"/>
  <c r="G354"/>
  <c r="I354"/>
  <c r="G355"/>
  <c r="I355"/>
  <c r="G356"/>
  <c r="I356"/>
  <c r="G357"/>
  <c r="I357"/>
  <c r="G360"/>
  <c r="I360"/>
  <c r="G361"/>
  <c r="I361"/>
  <c r="G362"/>
  <c r="I362"/>
  <c r="G363"/>
  <c r="I363"/>
  <c r="G364"/>
  <c r="I364"/>
  <c r="G365"/>
  <c r="I365"/>
  <c r="G366"/>
  <c r="I366"/>
  <c r="G367"/>
  <c r="I367"/>
  <c r="G369"/>
  <c r="I369"/>
  <c r="G370"/>
  <c r="I370"/>
  <c r="G371"/>
  <c r="I371"/>
  <c r="G372"/>
  <c r="I372"/>
  <c r="G373"/>
  <c r="I373"/>
  <c r="G374"/>
  <c r="I374"/>
  <c r="G375"/>
  <c r="I375"/>
  <c r="G376"/>
  <c r="I376"/>
  <c r="G379"/>
  <c r="I379"/>
  <c r="G380"/>
  <c r="I380"/>
  <c r="G381"/>
  <c r="I381"/>
  <c r="G382"/>
  <c r="I382"/>
  <c r="G383"/>
  <c r="I383"/>
  <c r="G384"/>
  <c r="I384"/>
  <c r="G385"/>
  <c r="I385"/>
  <c r="G386"/>
  <c r="I386"/>
  <c r="G388"/>
  <c r="I388"/>
  <c r="G389"/>
  <c r="I389"/>
  <c r="G390"/>
  <c r="I390"/>
  <c r="G391"/>
  <c r="I391"/>
  <c r="G392"/>
  <c r="I392"/>
  <c r="G393"/>
  <c r="I393"/>
  <c r="G394"/>
  <c r="I394"/>
  <c r="G395"/>
  <c r="I395"/>
  <c r="Q401"/>
  <c r="Q403"/>
  <c r="Q405"/>
  <c r="Q409"/>
  <c r="Q411"/>
  <c r="Q413"/>
  <c r="Q415"/>
  <c r="Q419"/>
  <c r="Q421"/>
  <c r="Q423"/>
  <c r="Q425"/>
  <c r="Q427"/>
  <c r="Q431"/>
  <c r="Q433"/>
  <c r="Q435"/>
  <c r="Q437"/>
  <c r="Q441"/>
  <c r="Q443"/>
  <c r="Q445"/>
  <c r="Q447"/>
  <c r="Q449"/>
  <c r="Q453"/>
  <c r="Q455"/>
  <c r="Q457"/>
  <c r="Q459"/>
  <c r="Q466"/>
  <c r="Q468"/>
  <c r="Q470"/>
  <c r="Q472"/>
  <c r="Q476"/>
  <c r="Q478"/>
  <c r="Q480"/>
  <c r="Q482"/>
  <c r="Q484"/>
  <c r="Q489"/>
  <c r="Q491"/>
  <c r="Q493"/>
  <c r="Q495"/>
  <c r="Q497"/>
  <c r="Q502"/>
  <c r="Q504"/>
  <c r="Q506"/>
  <c r="Q508"/>
  <c r="Q510"/>
  <c r="Q515"/>
  <c r="Q517"/>
  <c r="Q519"/>
  <c r="Q521"/>
  <c r="Q523"/>
  <c r="Q528"/>
  <c r="Q530"/>
  <c r="Q532"/>
  <c r="Q534"/>
  <c r="Q536"/>
  <c r="Q541"/>
  <c r="Q543"/>
  <c r="Q545"/>
  <c r="G435"/>
  <c r="I435"/>
  <c r="G437"/>
  <c r="I437"/>
  <c r="G441"/>
  <c r="I441"/>
  <c r="G443"/>
  <c r="I443"/>
  <c r="G445"/>
  <c r="I445"/>
  <c r="G447"/>
  <c r="I447"/>
  <c r="G449"/>
  <c r="I449"/>
  <c r="G453"/>
  <c r="I453"/>
  <c r="G455"/>
  <c r="I455"/>
  <c r="G457"/>
  <c r="I457"/>
  <c r="G459"/>
  <c r="I459"/>
  <c r="G464"/>
  <c r="M464" s="1"/>
  <c r="I464"/>
  <c r="G466"/>
  <c r="I466"/>
  <c r="G468"/>
  <c r="I468"/>
  <c r="G470"/>
  <c r="I470"/>
  <c r="G472"/>
  <c r="I472"/>
  <c r="G476"/>
  <c r="I476"/>
  <c r="G478"/>
  <c r="I478"/>
  <c r="G480"/>
  <c r="I480"/>
  <c r="G482"/>
  <c r="I482"/>
  <c r="G484"/>
  <c r="I484"/>
  <c r="G489"/>
  <c r="I489"/>
  <c r="G491"/>
  <c r="I491"/>
  <c r="G493"/>
  <c r="I493"/>
  <c r="G495"/>
  <c r="I495"/>
  <c r="G497"/>
  <c r="I497"/>
  <c r="G502"/>
  <c r="I502"/>
  <c r="G504"/>
  <c r="I504"/>
  <c r="G506"/>
  <c r="I506"/>
  <c r="G508"/>
  <c r="I508"/>
  <c r="G510"/>
  <c r="I510"/>
  <c r="G515"/>
  <c r="I515"/>
  <c r="G517"/>
  <c r="I517"/>
  <c r="G519"/>
  <c r="I519"/>
  <c r="G521"/>
  <c r="I521"/>
  <c r="G523"/>
  <c r="I523"/>
  <c r="G528"/>
  <c r="I528"/>
  <c r="G530"/>
  <c r="I530"/>
  <c r="G532"/>
  <c r="I532"/>
  <c r="G534"/>
  <c r="I534"/>
  <c r="G536"/>
  <c r="I536"/>
  <c r="G541"/>
  <c r="I541"/>
  <c r="G543"/>
  <c r="I543"/>
  <c r="G545"/>
  <c r="I545"/>
  <c r="H557"/>
  <c r="H559"/>
  <c r="H562"/>
  <c r="H564"/>
  <c r="H566"/>
  <c r="H568"/>
  <c r="H571"/>
  <c r="H573"/>
  <c r="H575"/>
  <c r="H577"/>
  <c r="H580"/>
  <c r="H582"/>
  <c r="H585"/>
  <c r="H587"/>
  <c r="H590"/>
  <c r="H592"/>
  <c r="P302"/>
  <c r="N302"/>
  <c r="Q302"/>
  <c r="O302"/>
  <c r="P305"/>
  <c r="N305"/>
  <c r="Q305"/>
  <c r="O305"/>
  <c r="P307"/>
  <c r="N307"/>
  <c r="Q307"/>
  <c r="O307"/>
  <c r="P309"/>
  <c r="N309"/>
  <c r="Q309"/>
  <c r="O309"/>
  <c r="P312"/>
  <c r="N312"/>
  <c r="Q312"/>
  <c r="O312"/>
  <c r="P314"/>
  <c r="N314"/>
  <c r="Q314"/>
  <c r="O314"/>
  <c r="P316"/>
  <c r="N316"/>
  <c r="Q316"/>
  <c r="O316"/>
  <c r="P320"/>
  <c r="N320"/>
  <c r="Q320"/>
  <c r="O320"/>
  <c r="P322"/>
  <c r="N322"/>
  <c r="Q322"/>
  <c r="O322"/>
  <c r="P324"/>
  <c r="N324"/>
  <c r="Q324"/>
  <c r="O324"/>
  <c r="P327"/>
  <c r="N327"/>
  <c r="Q327"/>
  <c r="O327"/>
  <c r="P329"/>
  <c r="N329"/>
  <c r="Q329"/>
  <c r="O329"/>
  <c r="P331"/>
  <c r="N331"/>
  <c r="Q331"/>
  <c r="O331"/>
  <c r="P334"/>
  <c r="N334"/>
  <c r="Q334"/>
  <c r="O334"/>
  <c r="P336"/>
  <c r="N336"/>
  <c r="Q336"/>
  <c r="O336"/>
  <c r="P338"/>
  <c r="N338"/>
  <c r="Q338"/>
  <c r="O338"/>
  <c r="P340"/>
  <c r="N340"/>
  <c r="Q340"/>
  <c r="O340"/>
  <c r="P343"/>
  <c r="N343"/>
  <c r="Q343"/>
  <c r="O343"/>
  <c r="P345"/>
  <c r="N345"/>
  <c r="Q345"/>
  <c r="O345"/>
  <c r="P347"/>
  <c r="N347"/>
  <c r="Q347"/>
  <c r="O347"/>
  <c r="P352"/>
  <c r="Q352"/>
  <c r="N352"/>
  <c r="O352"/>
  <c r="P304"/>
  <c r="N304"/>
  <c r="Q304"/>
  <c r="O304"/>
  <c r="P308"/>
  <c r="N308"/>
  <c r="Q308"/>
  <c r="O308"/>
  <c r="P310"/>
  <c r="N310"/>
  <c r="Q310"/>
  <c r="O310"/>
  <c r="P313"/>
  <c r="N313"/>
  <c r="Q313"/>
  <c r="O313"/>
  <c r="P315"/>
  <c r="N315"/>
  <c r="Q315"/>
  <c r="O315"/>
  <c r="P319"/>
  <c r="Q319"/>
  <c r="O319"/>
  <c r="P321"/>
  <c r="N321"/>
  <c r="Q321"/>
  <c r="O321"/>
  <c r="P323"/>
  <c r="N323"/>
  <c r="Q323"/>
  <c r="O323"/>
  <c r="P326"/>
  <c r="N326"/>
  <c r="Q326"/>
  <c r="O326"/>
  <c r="P328"/>
  <c r="N328"/>
  <c r="Q328"/>
  <c r="O328"/>
  <c r="P330"/>
  <c r="Q330"/>
  <c r="O330"/>
  <c r="P335"/>
  <c r="N335"/>
  <c r="Q335"/>
  <c r="O335"/>
  <c r="P337"/>
  <c r="N337"/>
  <c r="Q337"/>
  <c r="O337"/>
  <c r="P339"/>
  <c r="N339"/>
  <c r="Q339"/>
  <c r="O339"/>
  <c r="P344"/>
  <c r="N344"/>
  <c r="Q344"/>
  <c r="O344"/>
  <c r="P346"/>
  <c r="N346"/>
  <c r="Q346"/>
  <c r="O346"/>
  <c r="P348"/>
  <c r="N348"/>
  <c r="Q348"/>
  <c r="O348"/>
  <c r="P351"/>
  <c r="N351"/>
  <c r="Q351"/>
  <c r="O351"/>
  <c r="P353"/>
  <c r="N353"/>
  <c r="P355"/>
  <c r="N355"/>
  <c r="P357"/>
  <c r="N357"/>
  <c r="P361"/>
  <c r="N361"/>
  <c r="P363"/>
  <c r="N363"/>
  <c r="P365"/>
  <c r="N365"/>
  <c r="P367"/>
  <c r="N367"/>
  <c r="P370"/>
  <c r="N370"/>
  <c r="P372"/>
  <c r="N372"/>
  <c r="P374"/>
  <c r="N374"/>
  <c r="P376"/>
  <c r="N376"/>
  <c r="P380"/>
  <c r="N380"/>
  <c r="P382"/>
  <c r="N382"/>
  <c r="P384"/>
  <c r="N384"/>
  <c r="P386"/>
  <c r="N386"/>
  <c r="P389"/>
  <c r="N389"/>
  <c r="P391"/>
  <c r="N391"/>
  <c r="P393"/>
  <c r="N393"/>
  <c r="G302"/>
  <c r="I302"/>
  <c r="G304"/>
  <c r="I304"/>
  <c r="G305"/>
  <c r="I305"/>
  <c r="G307"/>
  <c r="I307"/>
  <c r="G308"/>
  <c r="I308"/>
  <c r="G309"/>
  <c r="I309"/>
  <c r="G310"/>
  <c r="I310"/>
  <c r="G312"/>
  <c r="I312"/>
  <c r="G313"/>
  <c r="I313"/>
  <c r="G314"/>
  <c r="I314"/>
  <c r="G315"/>
  <c r="I315"/>
  <c r="G316"/>
  <c r="I316"/>
  <c r="G318"/>
  <c r="M318" s="1"/>
  <c r="I318"/>
  <c r="G319"/>
  <c r="I319"/>
  <c r="G320"/>
  <c r="I320"/>
  <c r="G321"/>
  <c r="I321"/>
  <c r="G322"/>
  <c r="I322"/>
  <c r="G323"/>
  <c r="I323"/>
  <c r="G324"/>
  <c r="I324"/>
  <c r="G326"/>
  <c r="I326"/>
  <c r="G327"/>
  <c r="I327"/>
  <c r="G328"/>
  <c r="I328"/>
  <c r="G329"/>
  <c r="I329"/>
  <c r="G330"/>
  <c r="I330"/>
  <c r="G331"/>
  <c r="I331"/>
  <c r="G334"/>
  <c r="I334"/>
  <c r="G335"/>
  <c r="I335"/>
  <c r="G336"/>
  <c r="I336"/>
  <c r="G337"/>
  <c r="I337"/>
  <c r="G338"/>
  <c r="I338"/>
  <c r="G339"/>
  <c r="I339"/>
  <c r="G340"/>
  <c r="I340"/>
  <c r="G342"/>
  <c r="M342" s="1"/>
  <c r="I342"/>
  <c r="G343"/>
  <c r="I343"/>
  <c r="G344"/>
  <c r="I344"/>
  <c r="G345"/>
  <c r="I345"/>
  <c r="G346"/>
  <c r="I346"/>
  <c r="G347"/>
  <c r="I347"/>
  <c r="G348"/>
  <c r="I348"/>
  <c r="G351"/>
  <c r="I351"/>
  <c r="G352"/>
  <c r="I352"/>
  <c r="Q353"/>
  <c r="Q355"/>
  <c r="Q357"/>
  <c r="Q361"/>
  <c r="Q363"/>
  <c r="Q365"/>
  <c r="Q367"/>
  <c r="Q370"/>
  <c r="Q372"/>
  <c r="Q374"/>
  <c r="Q376"/>
  <c r="Q380"/>
  <c r="Q382"/>
  <c r="Q384"/>
  <c r="Q386"/>
  <c r="Q389"/>
  <c r="Q391"/>
  <c r="Q393"/>
  <c r="P356"/>
  <c r="P360"/>
  <c r="N360"/>
  <c r="P362"/>
  <c r="N362"/>
  <c r="P364"/>
  <c r="N364"/>
  <c r="P366"/>
  <c r="N366"/>
  <c r="P371"/>
  <c r="N371"/>
  <c r="P373"/>
  <c r="N373"/>
  <c r="P375"/>
  <c r="N375"/>
  <c r="P379"/>
  <c r="N379"/>
  <c r="P381"/>
  <c r="N381"/>
  <c r="P383"/>
  <c r="N383"/>
  <c r="P385"/>
  <c r="N385"/>
  <c r="P388"/>
  <c r="N388"/>
  <c r="P390"/>
  <c r="N390"/>
  <c r="P392"/>
  <c r="N392"/>
  <c r="Q394"/>
  <c r="P394"/>
  <c r="N394"/>
  <c r="Q356"/>
  <c r="Q360"/>
  <c r="Q362"/>
  <c r="Q364"/>
  <c r="Q366"/>
  <c r="Q371"/>
  <c r="Q373"/>
  <c r="Q375"/>
  <c r="Q379"/>
  <c r="Q381"/>
  <c r="Q383"/>
  <c r="Q385"/>
  <c r="Q388"/>
  <c r="Q390"/>
  <c r="Q392"/>
  <c r="Q546"/>
  <c r="O546"/>
  <c r="I547"/>
  <c r="G547"/>
  <c r="I548"/>
  <c r="G548"/>
  <c r="I549"/>
  <c r="G549"/>
  <c r="I550"/>
  <c r="G550"/>
  <c r="I552"/>
  <c r="G552"/>
  <c r="I553"/>
  <c r="G553"/>
  <c r="I554"/>
  <c r="G554"/>
  <c r="I555"/>
  <c r="G555"/>
  <c r="P556"/>
  <c r="N556"/>
  <c r="Q556"/>
  <c r="O556"/>
  <c r="P558"/>
  <c r="N558"/>
  <c r="Q558"/>
  <c r="O558"/>
  <c r="P560"/>
  <c r="N560"/>
  <c r="Q560"/>
  <c r="O560"/>
  <c r="P563"/>
  <c r="N563"/>
  <c r="Q563"/>
  <c r="O563"/>
  <c r="P565"/>
  <c r="N565"/>
  <c r="Q565"/>
  <c r="O565"/>
  <c r="P567"/>
  <c r="N567"/>
  <c r="Q567"/>
  <c r="O567"/>
  <c r="P569"/>
  <c r="N569"/>
  <c r="Q569"/>
  <c r="O569"/>
  <c r="P572"/>
  <c r="N572"/>
  <c r="Q572"/>
  <c r="O572"/>
  <c r="P574"/>
  <c r="N574"/>
  <c r="Q574"/>
  <c r="O574"/>
  <c r="P576"/>
  <c r="N576"/>
  <c r="Q576"/>
  <c r="O576"/>
  <c r="P579"/>
  <c r="N579"/>
  <c r="Q579"/>
  <c r="O579"/>
  <c r="P581"/>
  <c r="N581"/>
  <c r="Q581"/>
  <c r="O581"/>
  <c r="P583"/>
  <c r="N583"/>
  <c r="Q583"/>
  <c r="O583"/>
  <c r="P586"/>
  <c r="N586"/>
  <c r="Q586"/>
  <c r="O586"/>
  <c r="P588"/>
  <c r="N588"/>
  <c r="Q588"/>
  <c r="O588"/>
  <c r="P591"/>
  <c r="N591"/>
  <c r="Q591"/>
  <c r="O591"/>
  <c r="P594"/>
  <c r="N594"/>
  <c r="Q594"/>
  <c r="O594"/>
  <c r="N395"/>
  <c r="P395"/>
  <c r="N399"/>
  <c r="N400"/>
  <c r="P400"/>
  <c r="N401"/>
  <c r="P401"/>
  <c r="N402"/>
  <c r="P402"/>
  <c r="N403"/>
  <c r="P403"/>
  <c r="N404"/>
  <c r="P404"/>
  <c r="N405"/>
  <c r="P405"/>
  <c r="N406"/>
  <c r="P406"/>
  <c r="N409"/>
  <c r="P409"/>
  <c r="N410"/>
  <c r="P410"/>
  <c r="N411"/>
  <c r="P411"/>
  <c r="N412"/>
  <c r="P412"/>
  <c r="N413"/>
  <c r="P413"/>
  <c r="N414"/>
  <c r="P414"/>
  <c r="N415"/>
  <c r="P415"/>
  <c r="N416"/>
  <c r="P416"/>
  <c r="N419"/>
  <c r="P419"/>
  <c r="N420"/>
  <c r="P420"/>
  <c r="N421"/>
  <c r="P421"/>
  <c r="N422"/>
  <c r="P422"/>
  <c r="N423"/>
  <c r="P423"/>
  <c r="N424"/>
  <c r="P424"/>
  <c r="N425"/>
  <c r="P425"/>
  <c r="N426"/>
  <c r="P426"/>
  <c r="N427"/>
  <c r="P427"/>
  <c r="N431"/>
  <c r="P431"/>
  <c r="P432"/>
  <c r="N433"/>
  <c r="P433"/>
  <c r="N434"/>
  <c r="P434"/>
  <c r="N435"/>
  <c r="P435"/>
  <c r="N436"/>
  <c r="P436"/>
  <c r="N437"/>
  <c r="P437"/>
  <c r="N438"/>
  <c r="P438"/>
  <c r="N441"/>
  <c r="P441"/>
  <c r="N442"/>
  <c r="P442"/>
  <c r="N443"/>
  <c r="P443"/>
  <c r="N444"/>
  <c r="P444"/>
  <c r="N445"/>
  <c r="P445"/>
  <c r="N446"/>
  <c r="P446"/>
  <c r="N447"/>
  <c r="P447"/>
  <c r="N448"/>
  <c r="P448"/>
  <c r="N449"/>
  <c r="P449"/>
  <c r="N452"/>
  <c r="P452"/>
  <c r="N453"/>
  <c r="P453"/>
  <c r="N454"/>
  <c r="P454"/>
  <c r="N455"/>
  <c r="P455"/>
  <c r="N456"/>
  <c r="P456"/>
  <c r="N457"/>
  <c r="P457"/>
  <c r="N458"/>
  <c r="P458"/>
  <c r="N459"/>
  <c r="P459"/>
  <c r="N460"/>
  <c r="P460"/>
  <c r="N465"/>
  <c r="P465"/>
  <c r="N466"/>
  <c r="P466"/>
  <c r="N467"/>
  <c r="P467"/>
  <c r="N468"/>
  <c r="P468"/>
  <c r="N469"/>
  <c r="P469"/>
  <c r="N470"/>
  <c r="P470"/>
  <c r="N471"/>
  <c r="P471"/>
  <c r="N472"/>
  <c r="P472"/>
  <c r="N473"/>
  <c r="P473"/>
  <c r="N476"/>
  <c r="P476"/>
  <c r="N477"/>
  <c r="P477"/>
  <c r="N478"/>
  <c r="P478"/>
  <c r="N479"/>
  <c r="P479"/>
  <c r="N480"/>
  <c r="P480"/>
  <c r="N481"/>
  <c r="P481"/>
  <c r="N482"/>
  <c r="P482"/>
  <c r="N483"/>
  <c r="P483"/>
  <c r="N484"/>
  <c r="P484"/>
  <c r="N488"/>
  <c r="P488"/>
  <c r="N489"/>
  <c r="P489"/>
  <c r="N490"/>
  <c r="P490"/>
  <c r="N491"/>
  <c r="P491"/>
  <c r="N492"/>
  <c r="P492"/>
  <c r="N493"/>
  <c r="P493"/>
  <c r="N494"/>
  <c r="P494"/>
  <c r="N495"/>
  <c r="P495"/>
  <c r="N496"/>
  <c r="P496"/>
  <c r="N497"/>
  <c r="P497"/>
  <c r="N502"/>
  <c r="P502"/>
  <c r="N503"/>
  <c r="P503"/>
  <c r="N504"/>
  <c r="P504"/>
  <c r="N505"/>
  <c r="P505"/>
  <c r="N506"/>
  <c r="P506"/>
  <c r="N507"/>
  <c r="P507"/>
  <c r="N508"/>
  <c r="P508"/>
  <c r="N509"/>
  <c r="P509"/>
  <c r="N510"/>
  <c r="P510"/>
  <c r="N514"/>
  <c r="P514"/>
  <c r="N515"/>
  <c r="P515"/>
  <c r="N516"/>
  <c r="P516"/>
  <c r="N517"/>
  <c r="P517"/>
  <c r="N518"/>
  <c r="P518"/>
  <c r="N519"/>
  <c r="P519"/>
  <c r="N520"/>
  <c r="P520"/>
  <c r="N521"/>
  <c r="P521"/>
  <c r="N522"/>
  <c r="P522"/>
  <c r="N523"/>
  <c r="P523"/>
  <c r="N527"/>
  <c r="P527"/>
  <c r="N528"/>
  <c r="P528"/>
  <c r="N529"/>
  <c r="P529"/>
  <c r="N530"/>
  <c r="P530"/>
  <c r="N531"/>
  <c r="P531"/>
  <c r="N532"/>
  <c r="P532"/>
  <c r="N533"/>
  <c r="P533"/>
  <c r="N534"/>
  <c r="P534"/>
  <c r="N535"/>
  <c r="P535"/>
  <c r="N536"/>
  <c r="P536"/>
  <c r="N541"/>
  <c r="P541"/>
  <c r="N542"/>
  <c r="P542"/>
  <c r="N543"/>
  <c r="P543"/>
  <c r="N544"/>
  <c r="P544"/>
  <c r="N545"/>
  <c r="P545"/>
  <c r="N546"/>
  <c r="P557"/>
  <c r="N557"/>
  <c r="Q557"/>
  <c r="O557"/>
  <c r="P559"/>
  <c r="N559"/>
  <c r="Q559"/>
  <c r="O559"/>
  <c r="P562"/>
  <c r="N562"/>
  <c r="Q562"/>
  <c r="O562"/>
  <c r="P564"/>
  <c r="N564"/>
  <c r="Q564"/>
  <c r="O564"/>
  <c r="P566"/>
  <c r="N566"/>
  <c r="Q566"/>
  <c r="O566"/>
  <c r="P568"/>
  <c r="N568"/>
  <c r="Q568"/>
  <c r="O568"/>
  <c r="P573"/>
  <c r="N573"/>
  <c r="Q573"/>
  <c r="O573"/>
  <c r="P575"/>
  <c r="N575"/>
  <c r="Q575"/>
  <c r="O575"/>
  <c r="P577"/>
  <c r="N577"/>
  <c r="Q577"/>
  <c r="O577"/>
  <c r="P580"/>
  <c r="N580"/>
  <c r="Q580"/>
  <c r="O580"/>
  <c r="P582"/>
  <c r="N582"/>
  <c r="Q582"/>
  <c r="O582"/>
  <c r="P585"/>
  <c r="N585"/>
  <c r="Q585"/>
  <c r="O585"/>
  <c r="P587"/>
  <c r="N587"/>
  <c r="Q587"/>
  <c r="O587"/>
  <c r="P592"/>
  <c r="N592"/>
  <c r="Q592"/>
  <c r="O592"/>
  <c r="O395"/>
  <c r="O400"/>
  <c r="O401"/>
  <c r="O402"/>
  <c r="O403"/>
  <c r="O404"/>
  <c r="O405"/>
  <c r="O406"/>
  <c r="O409"/>
  <c r="O410"/>
  <c r="O411"/>
  <c r="O412"/>
  <c r="O413"/>
  <c r="O414"/>
  <c r="O415"/>
  <c r="O416"/>
  <c r="O419"/>
  <c r="O420"/>
  <c r="O421"/>
  <c r="O422"/>
  <c r="O423"/>
  <c r="O424"/>
  <c r="O425"/>
  <c r="O426"/>
  <c r="O427"/>
  <c r="O430"/>
  <c r="O431"/>
  <c r="O432"/>
  <c r="O433"/>
  <c r="O434"/>
  <c r="O435"/>
  <c r="O436"/>
  <c r="O437"/>
  <c r="O438"/>
  <c r="O441"/>
  <c r="O442"/>
  <c r="O443"/>
  <c r="O444"/>
  <c r="O445"/>
  <c r="O446"/>
  <c r="O447"/>
  <c r="O448"/>
  <c r="O449"/>
  <c r="O452"/>
  <c r="O453"/>
  <c r="O454"/>
  <c r="O455"/>
  <c r="O456"/>
  <c r="O457"/>
  <c r="O458"/>
  <c r="O459"/>
  <c r="O460"/>
  <c r="O465"/>
  <c r="O466"/>
  <c r="O467"/>
  <c r="O468"/>
  <c r="O469"/>
  <c r="O470"/>
  <c r="O471"/>
  <c r="O472"/>
  <c r="O473"/>
  <c r="O476"/>
  <c r="O477"/>
  <c r="O478"/>
  <c r="O479"/>
  <c r="O480"/>
  <c r="O481"/>
  <c r="O482"/>
  <c r="O483"/>
  <c r="O484"/>
  <c r="O488"/>
  <c r="O489"/>
  <c r="O490"/>
  <c r="O491"/>
  <c r="O492"/>
  <c r="O493"/>
  <c r="O494"/>
  <c r="O495"/>
  <c r="O496"/>
  <c r="O497"/>
  <c r="O502"/>
  <c r="O503"/>
  <c r="O504"/>
  <c r="O505"/>
  <c r="O506"/>
  <c r="O507"/>
  <c r="O508"/>
  <c r="O509"/>
  <c r="O510"/>
  <c r="O514"/>
  <c r="O515"/>
  <c r="O516"/>
  <c r="O517"/>
  <c r="O518"/>
  <c r="O519"/>
  <c r="O520"/>
  <c r="O521"/>
  <c r="O522"/>
  <c r="O523"/>
  <c r="O527"/>
  <c r="O528"/>
  <c r="O529"/>
  <c r="O530"/>
  <c r="O531"/>
  <c r="O532"/>
  <c r="O533"/>
  <c r="O534"/>
  <c r="O535"/>
  <c r="O536"/>
  <c r="O541"/>
  <c r="O542"/>
  <c r="O543"/>
  <c r="O544"/>
  <c r="O545"/>
  <c r="G556"/>
  <c r="I556"/>
  <c r="G557"/>
  <c r="I557"/>
  <c r="G558"/>
  <c r="I558"/>
  <c r="G559"/>
  <c r="I559"/>
  <c r="G560"/>
  <c r="I560"/>
  <c r="G562"/>
  <c r="I562"/>
  <c r="G563"/>
  <c r="I563"/>
  <c r="G564"/>
  <c r="I564"/>
  <c r="G565"/>
  <c r="I565"/>
  <c r="G566"/>
  <c r="I566"/>
  <c r="G567"/>
  <c r="I567"/>
  <c r="G568"/>
  <c r="I568"/>
  <c r="G569"/>
  <c r="I569"/>
  <c r="G571"/>
  <c r="M571" s="1"/>
  <c r="I571"/>
  <c r="G572"/>
  <c r="I572"/>
  <c r="G573"/>
  <c r="I573"/>
  <c r="G574"/>
  <c r="I574"/>
  <c r="G575"/>
  <c r="I575"/>
  <c r="G576"/>
  <c r="I576"/>
  <c r="G577"/>
  <c r="I577"/>
  <c r="G579"/>
  <c r="I579"/>
  <c r="G580"/>
  <c r="I580"/>
  <c r="G581"/>
  <c r="I581"/>
  <c r="G582"/>
  <c r="I582"/>
  <c r="G583"/>
  <c r="I583"/>
  <c r="G585"/>
  <c r="I585"/>
  <c r="G586"/>
  <c r="I586"/>
  <c r="G587"/>
  <c r="I587"/>
  <c r="G588"/>
  <c r="I588"/>
  <c r="G590"/>
  <c r="M590" s="1"/>
  <c r="I590"/>
  <c r="G591"/>
  <c r="I591"/>
  <c r="G592"/>
  <c r="I592"/>
  <c r="G594"/>
  <c r="I594"/>
  <c r="H82"/>
  <c r="H264"/>
  <c r="H263"/>
  <c r="H262"/>
  <c r="H261"/>
  <c r="H260"/>
  <c r="H259"/>
  <c r="H258"/>
  <c r="H257"/>
  <c r="H255"/>
  <c r="H254"/>
  <c r="H253"/>
  <c r="H252"/>
  <c r="H251"/>
  <c r="H250"/>
  <c r="H249"/>
  <c r="H248"/>
  <c r="H247"/>
  <c r="H228"/>
  <c r="P228"/>
  <c r="K228"/>
  <c r="G228"/>
  <c r="I228"/>
  <c r="H227"/>
  <c r="H225"/>
  <c r="H223"/>
  <c r="H135"/>
  <c r="H219"/>
  <c r="H217"/>
  <c r="H215"/>
  <c r="H213"/>
  <c r="H211"/>
  <c r="H207"/>
  <c r="H205"/>
  <c r="H203"/>
  <c r="H201"/>
  <c r="H117"/>
  <c r="H151"/>
  <c r="H172"/>
  <c r="H129"/>
  <c r="H139"/>
  <c r="H161"/>
  <c r="H177"/>
  <c r="H176"/>
  <c r="H168"/>
  <c r="H125"/>
  <c r="G135"/>
  <c r="I135"/>
  <c r="H147"/>
  <c r="H157"/>
  <c r="H166"/>
  <c r="H170"/>
  <c r="H174"/>
  <c r="G177"/>
  <c r="I177"/>
  <c r="G174"/>
  <c r="I174"/>
  <c r="H173"/>
  <c r="G172"/>
  <c r="I172"/>
  <c r="H171"/>
  <c r="G170"/>
  <c r="I170"/>
  <c r="H169"/>
  <c r="G168"/>
  <c r="I168"/>
  <c r="H167"/>
  <c r="G166"/>
  <c r="I166"/>
  <c r="H165"/>
  <c r="L228"/>
  <c r="Q228"/>
  <c r="O228"/>
  <c r="M228"/>
  <c r="I229"/>
  <c r="G229"/>
  <c r="I230"/>
  <c r="G230"/>
  <c r="I231"/>
  <c r="G231"/>
  <c r="I232"/>
  <c r="G232"/>
  <c r="I235"/>
  <c r="G235"/>
  <c r="I236"/>
  <c r="G236"/>
  <c r="I237"/>
  <c r="G237"/>
  <c r="I238"/>
  <c r="G238"/>
  <c r="I239"/>
  <c r="G239"/>
  <c r="I240"/>
  <c r="G240"/>
  <c r="I241"/>
  <c r="G241"/>
  <c r="I242"/>
  <c r="G242"/>
  <c r="I243"/>
  <c r="G243"/>
  <c r="I244"/>
  <c r="G244"/>
  <c r="I245"/>
  <c r="G245"/>
  <c r="I266"/>
  <c r="G266"/>
  <c r="I267"/>
  <c r="G267"/>
  <c r="I268"/>
  <c r="G268"/>
  <c r="I269"/>
  <c r="G269"/>
  <c r="I270"/>
  <c r="G270"/>
  <c r="I271"/>
  <c r="G271"/>
  <c r="I272"/>
  <c r="G272"/>
  <c r="I274"/>
  <c r="G274"/>
  <c r="I275"/>
  <c r="G275"/>
  <c r="I276"/>
  <c r="G276"/>
  <c r="I277"/>
  <c r="G277"/>
  <c r="I278"/>
  <c r="G278"/>
  <c r="I280"/>
  <c r="G280"/>
  <c r="I281"/>
  <c r="G281"/>
  <c r="I282"/>
  <c r="G282"/>
  <c r="I283"/>
  <c r="G283"/>
  <c r="I285"/>
  <c r="G285"/>
  <c r="I286"/>
  <c r="G286"/>
  <c r="I287"/>
  <c r="G287"/>
  <c r="I289"/>
  <c r="G289"/>
  <c r="G247"/>
  <c r="G248"/>
  <c r="G249"/>
  <c r="G250"/>
  <c r="G251"/>
  <c r="G252"/>
  <c r="G253"/>
  <c r="G254"/>
  <c r="G255"/>
  <c r="G257"/>
  <c r="G258"/>
  <c r="G259"/>
  <c r="G260"/>
  <c r="G261"/>
  <c r="G262"/>
  <c r="G263"/>
  <c r="G264"/>
  <c r="H266"/>
  <c r="H267"/>
  <c r="H268"/>
  <c r="H269"/>
  <c r="H270"/>
  <c r="H271"/>
  <c r="H272"/>
  <c r="H274"/>
  <c r="H275"/>
  <c r="H276"/>
  <c r="H277"/>
  <c r="H278"/>
  <c r="H280"/>
  <c r="H281"/>
  <c r="H282"/>
  <c r="H283"/>
  <c r="H285"/>
  <c r="H286"/>
  <c r="H69"/>
  <c r="H106"/>
  <c r="H115"/>
  <c r="H119"/>
  <c r="H127"/>
  <c r="H131"/>
  <c r="H137"/>
  <c r="H145"/>
  <c r="H149"/>
  <c r="H155"/>
  <c r="H159"/>
  <c r="G165"/>
  <c r="I165"/>
  <c r="G167"/>
  <c r="I167"/>
  <c r="G169"/>
  <c r="I169"/>
  <c r="G171"/>
  <c r="I171"/>
  <c r="G173"/>
  <c r="I173"/>
  <c r="G176"/>
  <c r="I176"/>
  <c r="H202"/>
  <c r="H204"/>
  <c r="H206"/>
  <c r="H208"/>
  <c r="H212"/>
  <c r="H214"/>
  <c r="H216"/>
  <c r="H218"/>
  <c r="H220"/>
  <c r="H224"/>
  <c r="H226"/>
  <c r="H156"/>
  <c r="H158"/>
  <c r="H160"/>
  <c r="H162"/>
  <c r="H154"/>
  <c r="G162"/>
  <c r="I162"/>
  <c r="G161"/>
  <c r="I161"/>
  <c r="G160"/>
  <c r="I160"/>
  <c r="G159"/>
  <c r="I159"/>
  <c r="G158"/>
  <c r="I158"/>
  <c r="G157"/>
  <c r="I157"/>
  <c r="G156"/>
  <c r="I156"/>
  <c r="G155"/>
  <c r="I155"/>
  <c r="G154"/>
  <c r="I154"/>
  <c r="H144"/>
  <c r="H146"/>
  <c r="H148"/>
  <c r="H150"/>
  <c r="H152"/>
  <c r="G152"/>
  <c r="I152"/>
  <c r="G151"/>
  <c r="I151"/>
  <c r="G150"/>
  <c r="I150"/>
  <c r="G149"/>
  <c r="I149"/>
  <c r="G148"/>
  <c r="I148"/>
  <c r="G147"/>
  <c r="I147"/>
  <c r="G146"/>
  <c r="I146"/>
  <c r="G145"/>
  <c r="I145"/>
  <c r="G144"/>
  <c r="I144"/>
  <c r="H134"/>
  <c r="H136"/>
  <c r="H138"/>
  <c r="H140"/>
  <c r="H141"/>
  <c r="H133"/>
  <c r="G141"/>
  <c r="I141"/>
  <c r="G140"/>
  <c r="I140"/>
  <c r="G139"/>
  <c r="I139"/>
  <c r="G138"/>
  <c r="I138"/>
  <c r="G137"/>
  <c r="I137"/>
  <c r="G136"/>
  <c r="I136"/>
  <c r="G134"/>
  <c r="I134"/>
  <c r="G133"/>
  <c r="I133"/>
  <c r="H124"/>
  <c r="H126"/>
  <c r="H128"/>
  <c r="H130"/>
  <c r="H123"/>
  <c r="G131"/>
  <c r="I131"/>
  <c r="G130"/>
  <c r="I130"/>
  <c r="G129"/>
  <c r="I129"/>
  <c r="G128"/>
  <c r="I128"/>
  <c r="G127"/>
  <c r="I127"/>
  <c r="G126"/>
  <c r="I126"/>
  <c r="G125"/>
  <c r="I125"/>
  <c r="G124"/>
  <c r="I124"/>
  <c r="G123"/>
  <c r="I123"/>
  <c r="H116"/>
  <c r="H118"/>
  <c r="H120"/>
  <c r="G120"/>
  <c r="I120"/>
  <c r="G119"/>
  <c r="I119"/>
  <c r="G118"/>
  <c r="I118"/>
  <c r="G117"/>
  <c r="I117"/>
  <c r="G116"/>
  <c r="I116"/>
  <c r="G115"/>
  <c r="I115"/>
  <c r="H113"/>
  <c r="O27"/>
  <c r="H110"/>
  <c r="G110"/>
  <c r="I110"/>
  <c r="H108"/>
  <c r="G106"/>
  <c r="I106"/>
  <c r="H104"/>
  <c r="H97"/>
  <c r="H101"/>
  <c r="G101"/>
  <c r="I101"/>
  <c r="H99"/>
  <c r="G97"/>
  <c r="I97"/>
  <c r="H95"/>
  <c r="H92"/>
  <c r="H88"/>
  <c r="G92"/>
  <c r="I92"/>
  <c r="H90"/>
  <c r="G88"/>
  <c r="I88"/>
  <c r="H86"/>
  <c r="P125"/>
  <c r="L125"/>
  <c r="Q125"/>
  <c r="O125"/>
  <c r="M125"/>
  <c r="K125"/>
  <c r="P127"/>
  <c r="L127"/>
  <c r="Q127"/>
  <c r="O127"/>
  <c r="M127"/>
  <c r="K127"/>
  <c r="P129"/>
  <c r="L129"/>
  <c r="Q129"/>
  <c r="O129"/>
  <c r="M129"/>
  <c r="K129"/>
  <c r="P131"/>
  <c r="L131"/>
  <c r="Q131"/>
  <c r="O131"/>
  <c r="M131"/>
  <c r="K131"/>
  <c r="P134"/>
  <c r="L134"/>
  <c r="Q134"/>
  <c r="O134"/>
  <c r="M134"/>
  <c r="K134"/>
  <c r="P136"/>
  <c r="L136"/>
  <c r="Q136"/>
  <c r="O136"/>
  <c r="M136"/>
  <c r="K136"/>
  <c r="P138"/>
  <c r="L138"/>
  <c r="Q138"/>
  <c r="O138"/>
  <c r="M138"/>
  <c r="K138"/>
  <c r="P140"/>
  <c r="L140"/>
  <c r="Q140"/>
  <c r="O140"/>
  <c r="M140"/>
  <c r="K140"/>
  <c r="P145"/>
  <c r="L145"/>
  <c r="Q145"/>
  <c r="O145"/>
  <c r="M145"/>
  <c r="K145"/>
  <c r="P147"/>
  <c r="L147"/>
  <c r="Q147"/>
  <c r="O147"/>
  <c r="M147"/>
  <c r="K147"/>
  <c r="P149"/>
  <c r="L149"/>
  <c r="Q149"/>
  <c r="O149"/>
  <c r="M149"/>
  <c r="K149"/>
  <c r="P151"/>
  <c r="L151"/>
  <c r="Q151"/>
  <c r="O151"/>
  <c r="M151"/>
  <c r="K151"/>
  <c r="P154"/>
  <c r="L154"/>
  <c r="Q154"/>
  <c r="O154"/>
  <c r="M154"/>
  <c r="K154"/>
  <c r="P156"/>
  <c r="L156"/>
  <c r="Q156"/>
  <c r="O156"/>
  <c r="M156"/>
  <c r="K156"/>
  <c r="P158"/>
  <c r="L158"/>
  <c r="Q158"/>
  <c r="O158"/>
  <c r="M158"/>
  <c r="K158"/>
  <c r="P160"/>
  <c r="L160"/>
  <c r="Q160"/>
  <c r="O160"/>
  <c r="M160"/>
  <c r="K160"/>
  <c r="P162"/>
  <c r="L162"/>
  <c r="Q162"/>
  <c r="O162"/>
  <c r="M162"/>
  <c r="K162"/>
  <c r="P166"/>
  <c r="L166"/>
  <c r="Q166"/>
  <c r="O166"/>
  <c r="M166"/>
  <c r="K166"/>
  <c r="P168"/>
  <c r="L168"/>
  <c r="Q168"/>
  <c r="O168"/>
  <c r="M168"/>
  <c r="K168"/>
  <c r="P170"/>
  <c r="L170"/>
  <c r="Q170"/>
  <c r="O170"/>
  <c r="M170"/>
  <c r="K170"/>
  <c r="P172"/>
  <c r="L172"/>
  <c r="Q172"/>
  <c r="O172"/>
  <c r="M172"/>
  <c r="K172"/>
  <c r="P174"/>
  <c r="L174"/>
  <c r="Q174"/>
  <c r="O174"/>
  <c r="M174"/>
  <c r="K174"/>
  <c r="Q177"/>
  <c r="O177"/>
  <c r="M177"/>
  <c r="K177"/>
  <c r="P177"/>
  <c r="L177"/>
  <c r="P115"/>
  <c r="L115"/>
  <c r="Q115"/>
  <c r="O115"/>
  <c r="M115"/>
  <c r="K115"/>
  <c r="P117"/>
  <c r="L117"/>
  <c r="Q117"/>
  <c r="O117"/>
  <c r="M117"/>
  <c r="K117"/>
  <c r="P119"/>
  <c r="L119"/>
  <c r="Q119"/>
  <c r="O119"/>
  <c r="M119"/>
  <c r="K119"/>
  <c r="P123"/>
  <c r="L123"/>
  <c r="Q123"/>
  <c r="O123"/>
  <c r="M123"/>
  <c r="K123"/>
  <c r="P116"/>
  <c r="L116"/>
  <c r="Q116"/>
  <c r="O116"/>
  <c r="M116"/>
  <c r="K116"/>
  <c r="P118"/>
  <c r="L118"/>
  <c r="Q118"/>
  <c r="O118"/>
  <c r="M118"/>
  <c r="K118"/>
  <c r="P120"/>
  <c r="L120"/>
  <c r="Q120"/>
  <c r="O120"/>
  <c r="M120"/>
  <c r="K120"/>
  <c r="P124"/>
  <c r="L124"/>
  <c r="Q124"/>
  <c r="O124"/>
  <c r="M124"/>
  <c r="K124"/>
  <c r="P126"/>
  <c r="L126"/>
  <c r="Q126"/>
  <c r="O126"/>
  <c r="M126"/>
  <c r="K126"/>
  <c r="P128"/>
  <c r="L128"/>
  <c r="Q128"/>
  <c r="O128"/>
  <c r="M128"/>
  <c r="K128"/>
  <c r="P130"/>
  <c r="L130"/>
  <c r="Q130"/>
  <c r="O130"/>
  <c r="M130"/>
  <c r="K130"/>
  <c r="P133"/>
  <c r="L133"/>
  <c r="Q133"/>
  <c r="O133"/>
  <c r="M133"/>
  <c r="K133"/>
  <c r="P135"/>
  <c r="L135"/>
  <c r="Q135"/>
  <c r="O135"/>
  <c r="M135"/>
  <c r="K135"/>
  <c r="P137"/>
  <c r="L137"/>
  <c r="Q137"/>
  <c r="O137"/>
  <c r="M137"/>
  <c r="K137"/>
  <c r="P139"/>
  <c r="L139"/>
  <c r="Q139"/>
  <c r="O139"/>
  <c r="M139"/>
  <c r="K139"/>
  <c r="P141"/>
  <c r="L141"/>
  <c r="Q141"/>
  <c r="O141"/>
  <c r="M141"/>
  <c r="K141"/>
  <c r="P144"/>
  <c r="L144"/>
  <c r="Q144"/>
  <c r="O144"/>
  <c r="M144"/>
  <c r="K144"/>
  <c r="P146"/>
  <c r="L146"/>
  <c r="Q146"/>
  <c r="O146"/>
  <c r="M146"/>
  <c r="K146"/>
  <c r="P148"/>
  <c r="L148"/>
  <c r="Q148"/>
  <c r="O148"/>
  <c r="M148"/>
  <c r="K148"/>
  <c r="P150"/>
  <c r="L150"/>
  <c r="Q150"/>
  <c r="O150"/>
  <c r="M150"/>
  <c r="K150"/>
  <c r="P152"/>
  <c r="L152"/>
  <c r="Q152"/>
  <c r="O152"/>
  <c r="M152"/>
  <c r="K152"/>
  <c r="P155"/>
  <c r="L155"/>
  <c r="Q155"/>
  <c r="O155"/>
  <c r="M155"/>
  <c r="K155"/>
  <c r="P157"/>
  <c r="L157"/>
  <c r="Q157"/>
  <c r="O157"/>
  <c r="M157"/>
  <c r="K157"/>
  <c r="P159"/>
  <c r="L159"/>
  <c r="Q159"/>
  <c r="O159"/>
  <c r="M159"/>
  <c r="K159"/>
  <c r="P161"/>
  <c r="L161"/>
  <c r="Q161"/>
  <c r="O161"/>
  <c r="M161"/>
  <c r="K161"/>
  <c r="P165"/>
  <c r="L165"/>
  <c r="Q165"/>
  <c r="O165"/>
  <c r="M165"/>
  <c r="K165"/>
  <c r="P167"/>
  <c r="L167"/>
  <c r="Q167"/>
  <c r="O167"/>
  <c r="M167"/>
  <c r="K167"/>
  <c r="P169"/>
  <c r="L169"/>
  <c r="Q169"/>
  <c r="O169"/>
  <c r="M169"/>
  <c r="K169"/>
  <c r="P171"/>
  <c r="L171"/>
  <c r="Q171"/>
  <c r="O171"/>
  <c r="M171"/>
  <c r="K171"/>
  <c r="P173"/>
  <c r="L173"/>
  <c r="Q173"/>
  <c r="O173"/>
  <c r="M173"/>
  <c r="K173"/>
  <c r="P176"/>
  <c r="L176"/>
  <c r="Q176"/>
  <c r="O176"/>
  <c r="M176"/>
  <c r="K176"/>
  <c r="I178"/>
  <c r="G178"/>
  <c r="I179"/>
  <c r="G179"/>
  <c r="I180"/>
  <c r="G180"/>
  <c r="I181"/>
  <c r="G181"/>
  <c r="I182"/>
  <c r="G182"/>
  <c r="I183"/>
  <c r="G183"/>
  <c r="I184"/>
  <c r="G184"/>
  <c r="I187"/>
  <c r="G187"/>
  <c r="I188"/>
  <c r="G188"/>
  <c r="I189"/>
  <c r="G189"/>
  <c r="I190"/>
  <c r="G190"/>
  <c r="I191"/>
  <c r="G191"/>
  <c r="I192"/>
  <c r="G192"/>
  <c r="I193"/>
  <c r="G193"/>
  <c r="I194"/>
  <c r="G194"/>
  <c r="I195"/>
  <c r="G195"/>
  <c r="I196"/>
  <c r="G196"/>
  <c r="I199"/>
  <c r="G199"/>
  <c r="I200"/>
  <c r="G200"/>
  <c r="P201"/>
  <c r="L201"/>
  <c r="Q201"/>
  <c r="O201"/>
  <c r="M201"/>
  <c r="K201"/>
  <c r="P203"/>
  <c r="L203"/>
  <c r="Q203"/>
  <c r="O203"/>
  <c r="M203"/>
  <c r="K203"/>
  <c r="P205"/>
  <c r="L205"/>
  <c r="Q205"/>
  <c r="O205"/>
  <c r="M205"/>
  <c r="K205"/>
  <c r="P207"/>
  <c r="L207"/>
  <c r="Q207"/>
  <c r="O207"/>
  <c r="M207"/>
  <c r="K207"/>
  <c r="P211"/>
  <c r="L211"/>
  <c r="Q211"/>
  <c r="O211"/>
  <c r="M211"/>
  <c r="K211"/>
  <c r="P213"/>
  <c r="L213"/>
  <c r="Q213"/>
  <c r="O213"/>
  <c r="M213"/>
  <c r="K213"/>
  <c r="P215"/>
  <c r="L215"/>
  <c r="Q215"/>
  <c r="O215"/>
  <c r="M215"/>
  <c r="K215"/>
  <c r="P217"/>
  <c r="L217"/>
  <c r="Q217"/>
  <c r="O217"/>
  <c r="M217"/>
  <c r="K217"/>
  <c r="P219"/>
  <c r="L219"/>
  <c r="Q219"/>
  <c r="O219"/>
  <c r="M219"/>
  <c r="K219"/>
  <c r="P223"/>
  <c r="L223"/>
  <c r="Q223"/>
  <c r="O223"/>
  <c r="M223"/>
  <c r="K223"/>
  <c r="P225"/>
  <c r="L225"/>
  <c r="Q225"/>
  <c r="O225"/>
  <c r="M225"/>
  <c r="K225"/>
  <c r="P227"/>
  <c r="L227"/>
  <c r="Q227"/>
  <c r="O227"/>
  <c r="M227"/>
  <c r="K227"/>
  <c r="P202"/>
  <c r="L202"/>
  <c r="Q202"/>
  <c r="O202"/>
  <c r="M202"/>
  <c r="K202"/>
  <c r="P204"/>
  <c r="L204"/>
  <c r="Q204"/>
  <c r="O204"/>
  <c r="M204"/>
  <c r="K204"/>
  <c r="P206"/>
  <c r="L206"/>
  <c r="Q206"/>
  <c r="O206"/>
  <c r="M206"/>
  <c r="K206"/>
  <c r="P208"/>
  <c r="L208"/>
  <c r="Q208"/>
  <c r="O208"/>
  <c r="M208"/>
  <c r="K208"/>
  <c r="P212"/>
  <c r="L212"/>
  <c r="Q212"/>
  <c r="O212"/>
  <c r="M212"/>
  <c r="K212"/>
  <c r="P214"/>
  <c r="L214"/>
  <c r="Q214"/>
  <c r="O214"/>
  <c r="M214"/>
  <c r="K214"/>
  <c r="P216"/>
  <c r="L216"/>
  <c r="Q216"/>
  <c r="O216"/>
  <c r="M216"/>
  <c r="K216"/>
  <c r="P218"/>
  <c r="L218"/>
  <c r="Q218"/>
  <c r="O218"/>
  <c r="M218"/>
  <c r="K218"/>
  <c r="P220"/>
  <c r="L220"/>
  <c r="Q220"/>
  <c r="O220"/>
  <c r="M220"/>
  <c r="K220"/>
  <c r="P224"/>
  <c r="L224"/>
  <c r="Q224"/>
  <c r="O224"/>
  <c r="M224"/>
  <c r="K224"/>
  <c r="P226"/>
  <c r="L226"/>
  <c r="Q226"/>
  <c r="O226"/>
  <c r="M226"/>
  <c r="K226"/>
  <c r="H187"/>
  <c r="H188"/>
  <c r="H189"/>
  <c r="H190"/>
  <c r="H191"/>
  <c r="H192"/>
  <c r="H193"/>
  <c r="H194"/>
  <c r="H195"/>
  <c r="H196"/>
  <c r="H199"/>
  <c r="H200"/>
  <c r="G201"/>
  <c r="I201"/>
  <c r="G202"/>
  <c r="I202"/>
  <c r="G203"/>
  <c r="I203"/>
  <c r="G204"/>
  <c r="I204"/>
  <c r="G205"/>
  <c r="I205"/>
  <c r="G206"/>
  <c r="I206"/>
  <c r="G207"/>
  <c r="I207"/>
  <c r="G208"/>
  <c r="I208"/>
  <c r="G211"/>
  <c r="I211"/>
  <c r="G212"/>
  <c r="I212"/>
  <c r="G213"/>
  <c r="I213"/>
  <c r="G214"/>
  <c r="I214"/>
  <c r="G215"/>
  <c r="I215"/>
  <c r="G216"/>
  <c r="I216"/>
  <c r="G217"/>
  <c r="I217"/>
  <c r="G218"/>
  <c r="I218"/>
  <c r="G219"/>
  <c r="I219"/>
  <c r="G220"/>
  <c r="I220"/>
  <c r="G223"/>
  <c r="I223"/>
  <c r="G224"/>
  <c r="I224"/>
  <c r="G225"/>
  <c r="I225"/>
  <c r="G226"/>
  <c r="I226"/>
  <c r="G227"/>
  <c r="I227"/>
  <c r="H73"/>
  <c r="G86"/>
  <c r="I86"/>
  <c r="G90"/>
  <c r="I90"/>
  <c r="G95"/>
  <c r="I95"/>
  <c r="G99"/>
  <c r="I99"/>
  <c r="G104"/>
  <c r="I104"/>
  <c r="G108"/>
  <c r="I108"/>
  <c r="G113"/>
  <c r="I113"/>
  <c r="H71"/>
  <c r="H78"/>
  <c r="H85"/>
  <c r="H87"/>
  <c r="H89"/>
  <c r="H91"/>
  <c r="H94"/>
  <c r="H96"/>
  <c r="H98"/>
  <c r="H100"/>
  <c r="H103"/>
  <c r="H105"/>
  <c r="H107"/>
  <c r="H109"/>
  <c r="H111"/>
  <c r="H114"/>
  <c r="H65"/>
  <c r="H64"/>
  <c r="H63"/>
  <c r="H62"/>
  <c r="H61"/>
  <c r="H60"/>
  <c r="G60"/>
  <c r="G61"/>
  <c r="G62"/>
  <c r="G63"/>
  <c r="G64"/>
  <c r="G65"/>
  <c r="H57"/>
  <c r="H53"/>
  <c r="H44"/>
  <c r="H48"/>
  <c r="H42"/>
  <c r="H46"/>
  <c r="H51"/>
  <c r="H55"/>
  <c r="H40"/>
  <c r="H38"/>
  <c r="H36"/>
  <c r="H35"/>
  <c r="H37"/>
  <c r="H39"/>
  <c r="H43"/>
  <c r="H45"/>
  <c r="H47"/>
  <c r="H50"/>
  <c r="H52"/>
  <c r="H54"/>
  <c r="H56"/>
  <c r="H59"/>
  <c r="H27"/>
  <c r="H33"/>
  <c r="H32"/>
  <c r="H31"/>
  <c r="H30"/>
  <c r="H29"/>
  <c r="H28"/>
  <c r="G16"/>
  <c r="G28"/>
  <c r="I28"/>
  <c r="G30"/>
  <c r="I30"/>
  <c r="G32"/>
  <c r="I32"/>
  <c r="G35"/>
  <c r="I35"/>
  <c r="G37"/>
  <c r="I37"/>
  <c r="G39"/>
  <c r="I39"/>
  <c r="G43"/>
  <c r="I43"/>
  <c r="G45"/>
  <c r="I45"/>
  <c r="G47"/>
  <c r="I47"/>
  <c r="G50"/>
  <c r="I50"/>
  <c r="G52"/>
  <c r="I52"/>
  <c r="G54"/>
  <c r="I54"/>
  <c r="G56"/>
  <c r="I56"/>
  <c r="G59"/>
  <c r="I59"/>
  <c r="H24"/>
  <c r="H22"/>
  <c r="H25"/>
  <c r="G24"/>
  <c r="I24"/>
  <c r="H23"/>
  <c r="G22"/>
  <c r="I22"/>
  <c r="H21"/>
  <c r="G67"/>
  <c r="I67"/>
  <c r="H68"/>
  <c r="H70"/>
  <c r="H72"/>
  <c r="H74"/>
  <c r="H80"/>
  <c r="G85"/>
  <c r="I85"/>
  <c r="G87"/>
  <c r="I87"/>
  <c r="G89"/>
  <c r="I89"/>
  <c r="G91"/>
  <c r="I91"/>
  <c r="G94"/>
  <c r="I94"/>
  <c r="G96"/>
  <c r="I96"/>
  <c r="G98"/>
  <c r="I98"/>
  <c r="G100"/>
  <c r="I100"/>
  <c r="G103"/>
  <c r="I103"/>
  <c r="G105"/>
  <c r="I105"/>
  <c r="G107"/>
  <c r="I107"/>
  <c r="G109"/>
  <c r="I109"/>
  <c r="G111"/>
  <c r="I111"/>
  <c r="G114"/>
  <c r="I114"/>
  <c r="G21"/>
  <c r="I21"/>
  <c r="G23"/>
  <c r="I23"/>
  <c r="G25"/>
  <c r="I25"/>
  <c r="G27"/>
  <c r="I27"/>
  <c r="K27"/>
  <c r="G29"/>
  <c r="I29"/>
  <c r="G31"/>
  <c r="I31"/>
  <c r="G33"/>
  <c r="I33"/>
  <c r="G36"/>
  <c r="I36"/>
  <c r="G38"/>
  <c r="I38"/>
  <c r="G40"/>
  <c r="I40"/>
  <c r="G42"/>
  <c r="I42"/>
  <c r="G44"/>
  <c r="I44"/>
  <c r="G46"/>
  <c r="I46"/>
  <c r="G48"/>
  <c r="I48"/>
  <c r="G51"/>
  <c r="I51"/>
  <c r="G53"/>
  <c r="I53"/>
  <c r="G55"/>
  <c r="I55"/>
  <c r="G57"/>
  <c r="I57"/>
  <c r="H19"/>
  <c r="H18"/>
  <c r="H17"/>
  <c r="H16"/>
  <c r="G19"/>
  <c r="I19"/>
  <c r="G18"/>
  <c r="I18"/>
  <c r="G17"/>
  <c r="I17"/>
  <c r="I16"/>
  <c r="H14"/>
  <c r="H13"/>
  <c r="G14"/>
  <c r="I14"/>
  <c r="G13"/>
  <c r="I13"/>
  <c r="H11"/>
  <c r="G11"/>
  <c r="I11"/>
  <c r="L13"/>
  <c r="P27"/>
  <c r="L27"/>
  <c r="P32"/>
  <c r="L32"/>
  <c r="Q32"/>
  <c r="O32"/>
  <c r="M32"/>
  <c r="K32"/>
  <c r="P35"/>
  <c r="L35"/>
  <c r="Q35"/>
  <c r="O35"/>
  <c r="M35"/>
  <c r="K35"/>
  <c r="P37"/>
  <c r="L37"/>
  <c r="Q37"/>
  <c r="O37"/>
  <c r="M37"/>
  <c r="K37"/>
  <c r="P39"/>
  <c r="L39"/>
  <c r="Q39"/>
  <c r="O39"/>
  <c r="M39"/>
  <c r="K39"/>
  <c r="P43"/>
  <c r="L43"/>
  <c r="Q43"/>
  <c r="O43"/>
  <c r="M43"/>
  <c r="K43"/>
  <c r="P45"/>
  <c r="L45"/>
  <c r="Q45"/>
  <c r="O45"/>
  <c r="M45"/>
  <c r="K45"/>
  <c r="P50"/>
  <c r="L50"/>
  <c r="Q50"/>
  <c r="O50"/>
  <c r="M50"/>
  <c r="K50"/>
  <c r="P52"/>
  <c r="L52"/>
  <c r="Q52"/>
  <c r="O52"/>
  <c r="M52"/>
  <c r="K52"/>
  <c r="P54"/>
  <c r="L54"/>
  <c r="Q54"/>
  <c r="O54"/>
  <c r="M54"/>
  <c r="K54"/>
  <c r="P56"/>
  <c r="L56"/>
  <c r="Q56"/>
  <c r="O56"/>
  <c r="M56"/>
  <c r="K56"/>
  <c r="P59"/>
  <c r="L59"/>
  <c r="Q59"/>
  <c r="O59"/>
  <c r="M59"/>
  <c r="K59"/>
  <c r="Q25"/>
  <c r="M27"/>
  <c r="Q27"/>
  <c r="P31"/>
  <c r="L31"/>
  <c r="Q31"/>
  <c r="O31"/>
  <c r="M31"/>
  <c r="K31"/>
  <c r="P33"/>
  <c r="L33"/>
  <c r="Q33"/>
  <c r="O33"/>
  <c r="M33"/>
  <c r="K33"/>
  <c r="P36"/>
  <c r="L36"/>
  <c r="Q36"/>
  <c r="O36"/>
  <c r="M36"/>
  <c r="K36"/>
  <c r="P38"/>
  <c r="L38"/>
  <c r="Q38"/>
  <c r="O38"/>
  <c r="M38"/>
  <c r="K38"/>
  <c r="P40"/>
  <c r="L40"/>
  <c r="Q40"/>
  <c r="O40"/>
  <c r="M40"/>
  <c r="K40"/>
  <c r="P42"/>
  <c r="L42"/>
  <c r="Q42"/>
  <c r="O42"/>
  <c r="M42"/>
  <c r="K42"/>
  <c r="P44"/>
  <c r="L44"/>
  <c r="Q44"/>
  <c r="O44"/>
  <c r="M44"/>
  <c r="K44"/>
  <c r="P46"/>
  <c r="L46"/>
  <c r="Q46"/>
  <c r="O46"/>
  <c r="M46"/>
  <c r="K46"/>
  <c r="P48"/>
  <c r="L48"/>
  <c r="Q48"/>
  <c r="O48"/>
  <c r="M48"/>
  <c r="K48"/>
  <c r="P51"/>
  <c r="L51"/>
  <c r="Q51"/>
  <c r="O51"/>
  <c r="M51"/>
  <c r="K51"/>
  <c r="P53"/>
  <c r="L53"/>
  <c r="Q53"/>
  <c r="O53"/>
  <c r="M53"/>
  <c r="K53"/>
  <c r="P55"/>
  <c r="L55"/>
  <c r="Q55"/>
  <c r="O55"/>
  <c r="M55"/>
  <c r="K55"/>
  <c r="P57"/>
  <c r="L57"/>
  <c r="Q57"/>
  <c r="O57"/>
  <c r="M57"/>
  <c r="K57"/>
  <c r="M22"/>
  <c r="H77"/>
  <c r="H79"/>
  <c r="H81"/>
  <c r="H83"/>
  <c r="G83"/>
  <c r="I83"/>
  <c r="G82"/>
  <c r="I82"/>
  <c r="G81"/>
  <c r="I81"/>
  <c r="G80"/>
  <c r="I80"/>
  <c r="G79"/>
  <c r="I79"/>
  <c r="G78"/>
  <c r="I78"/>
  <c r="G77"/>
  <c r="I77"/>
  <c r="H76"/>
  <c r="G76"/>
  <c r="I76"/>
  <c r="G74"/>
  <c r="I74"/>
  <c r="G73"/>
  <c r="I73"/>
  <c r="G72"/>
  <c r="I72"/>
  <c r="G71"/>
  <c r="I71"/>
  <c r="G70"/>
  <c r="I70"/>
  <c r="K70"/>
  <c r="G69"/>
  <c r="I69"/>
  <c r="G68"/>
  <c r="I68"/>
  <c r="P69"/>
  <c r="L69"/>
  <c r="P71"/>
  <c r="L71"/>
  <c r="P73"/>
  <c r="L73"/>
  <c r="P76"/>
  <c r="L76"/>
  <c r="P78"/>
  <c r="L78"/>
  <c r="Q78"/>
  <c r="O78"/>
  <c r="P80"/>
  <c r="L80"/>
  <c r="Q80"/>
  <c r="O80"/>
  <c r="M80"/>
  <c r="K80"/>
  <c r="P82"/>
  <c r="L82"/>
  <c r="Q82"/>
  <c r="O82"/>
  <c r="M82"/>
  <c r="K82"/>
  <c r="P85"/>
  <c r="L85"/>
  <c r="Q85"/>
  <c r="O85"/>
  <c r="M85"/>
  <c r="K85"/>
  <c r="P87"/>
  <c r="L87"/>
  <c r="Q87"/>
  <c r="O87"/>
  <c r="M87"/>
  <c r="K87"/>
  <c r="P89"/>
  <c r="L89"/>
  <c r="Q89"/>
  <c r="O89"/>
  <c r="M89"/>
  <c r="K89"/>
  <c r="P91"/>
  <c r="L91"/>
  <c r="Q91"/>
  <c r="O91"/>
  <c r="M91"/>
  <c r="K91"/>
  <c r="P94"/>
  <c r="L94"/>
  <c r="Q94"/>
  <c r="O94"/>
  <c r="M94"/>
  <c r="K94"/>
  <c r="P96"/>
  <c r="L96"/>
  <c r="Q96"/>
  <c r="O96"/>
  <c r="M96"/>
  <c r="K96"/>
  <c r="P98"/>
  <c r="L98"/>
  <c r="Q98"/>
  <c r="O98"/>
  <c r="M98"/>
  <c r="K98"/>
  <c r="P100"/>
  <c r="L100"/>
  <c r="Q100"/>
  <c r="O100"/>
  <c r="M100"/>
  <c r="K100"/>
  <c r="P103"/>
  <c r="L103"/>
  <c r="Q103"/>
  <c r="O103"/>
  <c r="M103"/>
  <c r="K103"/>
  <c r="P105"/>
  <c r="L105"/>
  <c r="Q105"/>
  <c r="O105"/>
  <c r="M105"/>
  <c r="K105"/>
  <c r="P107"/>
  <c r="L107"/>
  <c r="Q107"/>
  <c r="O107"/>
  <c r="M107"/>
  <c r="K107"/>
  <c r="P109"/>
  <c r="L109"/>
  <c r="Q109"/>
  <c r="O109"/>
  <c r="M109"/>
  <c r="K109"/>
  <c r="P111"/>
  <c r="L111"/>
  <c r="Q111"/>
  <c r="O111"/>
  <c r="M111"/>
  <c r="K111"/>
  <c r="P114"/>
  <c r="L114"/>
  <c r="Q114"/>
  <c r="O114"/>
  <c r="M114"/>
  <c r="K114"/>
  <c r="P79"/>
  <c r="L79"/>
  <c r="Q79"/>
  <c r="O79"/>
  <c r="M79"/>
  <c r="K79"/>
  <c r="P81"/>
  <c r="L81"/>
  <c r="Q81"/>
  <c r="O81"/>
  <c r="M81"/>
  <c r="K81"/>
  <c r="P83"/>
  <c r="L83"/>
  <c r="Q83"/>
  <c r="O83"/>
  <c r="M83"/>
  <c r="K83"/>
  <c r="P86"/>
  <c r="L86"/>
  <c r="Q86"/>
  <c r="O86"/>
  <c r="M86"/>
  <c r="K86"/>
  <c r="P88"/>
  <c r="L88"/>
  <c r="Q88"/>
  <c r="O88"/>
  <c r="M88"/>
  <c r="K88"/>
  <c r="P90"/>
  <c r="L90"/>
  <c r="Q90"/>
  <c r="O90"/>
  <c r="M90"/>
  <c r="K90"/>
  <c r="P92"/>
  <c r="L92"/>
  <c r="Q92"/>
  <c r="O92"/>
  <c r="M92"/>
  <c r="K92"/>
  <c r="P95"/>
  <c r="L95"/>
  <c r="Q95"/>
  <c r="O95"/>
  <c r="M95"/>
  <c r="K95"/>
  <c r="P97"/>
  <c r="L97"/>
  <c r="Q97"/>
  <c r="O97"/>
  <c r="M97"/>
  <c r="K97"/>
  <c r="P99"/>
  <c r="L99"/>
  <c r="Q99"/>
  <c r="O99"/>
  <c r="M99"/>
  <c r="K99"/>
  <c r="P101"/>
  <c r="L101"/>
  <c r="Q101"/>
  <c r="O101"/>
  <c r="M101"/>
  <c r="K101"/>
  <c r="P104"/>
  <c r="L104"/>
  <c r="Q104"/>
  <c r="O104"/>
  <c r="M104"/>
  <c r="K104"/>
  <c r="P106"/>
  <c r="L106"/>
  <c r="Q106"/>
  <c r="O106"/>
  <c r="M106"/>
  <c r="K106"/>
  <c r="P108"/>
  <c r="L108"/>
  <c r="Q108"/>
  <c r="O108"/>
  <c r="M108"/>
  <c r="K108"/>
  <c r="P110"/>
  <c r="L110"/>
  <c r="Q110"/>
  <c r="O110"/>
  <c r="M110"/>
  <c r="K110"/>
  <c r="P113"/>
  <c r="L113"/>
  <c r="Q113"/>
  <c r="O113"/>
  <c r="M113"/>
  <c r="K113"/>
  <c r="M69"/>
  <c r="Q69"/>
  <c r="M71"/>
  <c r="Q71"/>
  <c r="M73"/>
  <c r="Q73"/>
  <c r="M76"/>
  <c r="Q76"/>
  <c r="M78"/>
  <c r="K69"/>
  <c r="O69"/>
  <c r="K71"/>
  <c r="O71"/>
  <c r="K73"/>
  <c r="O73"/>
  <c r="K76"/>
  <c r="O76"/>
  <c r="K78"/>
  <c r="CO31" i="1"/>
  <c r="AY69" i="13" s="1"/>
  <c r="CO30" i="1"/>
  <c r="CL70" s="1"/>
  <c r="CO28"/>
  <c r="CL68" s="1"/>
  <c r="CO26"/>
  <c r="CL66" s="1"/>
  <c r="CO24"/>
  <c r="AY62" i="13" s="1"/>
  <c r="CO23" i="1"/>
  <c r="CL63" s="1"/>
  <c r="CO21"/>
  <c r="CL61" s="1"/>
  <c r="CO19"/>
  <c r="CL59" s="1"/>
  <c r="CO17"/>
  <c r="AY55" i="13" s="1"/>
  <c r="CO16" i="1"/>
  <c r="CL56" s="1"/>
  <c r="CO14"/>
  <c r="CL54" s="1"/>
  <c r="CO12"/>
  <c r="CL52" s="1"/>
  <c r="CO11"/>
  <c r="AY49" i="13" s="1"/>
  <c r="CO9" i="1"/>
  <c r="CL49" s="1"/>
  <c r="CO7"/>
  <c r="CL47" s="1"/>
  <c r="CO5"/>
  <c r="CL45" s="1"/>
  <c r="CO4"/>
  <c r="AY42" i="13" s="1"/>
  <c r="CL42" i="1"/>
  <c r="AU31" i="13"/>
  <c r="AU30"/>
  <c r="AU28"/>
  <c r="AU26"/>
  <c r="AU24"/>
  <c r="AU23"/>
  <c r="AU21"/>
  <c r="AU19"/>
  <c r="AU17"/>
  <c r="AU16"/>
  <c r="AU14"/>
  <c r="AU12"/>
  <c r="AU11"/>
  <c r="AU9"/>
  <c r="AU7"/>
  <c r="AU5"/>
  <c r="AU4"/>
  <c r="AU2"/>
  <c r="AT31"/>
  <c r="AT30"/>
  <c r="AT28"/>
  <c r="AT26"/>
  <c r="AT24"/>
  <c r="AT23"/>
  <c r="AT21"/>
  <c r="AT19"/>
  <c r="AT17"/>
  <c r="AT16"/>
  <c r="AT14"/>
  <c r="AT12"/>
  <c r="AT11"/>
  <c r="AT9"/>
  <c r="AT7"/>
  <c r="AT5"/>
  <c r="AT4"/>
  <c r="AT2"/>
  <c r="AS31"/>
  <c r="AS30"/>
  <c r="AS28"/>
  <c r="AS26"/>
  <c r="AS24"/>
  <c r="AS23"/>
  <c r="AS21"/>
  <c r="AS19"/>
  <c r="AS17"/>
  <c r="AS16"/>
  <c r="AS14"/>
  <c r="AS12"/>
  <c r="AS11"/>
  <c r="AS9"/>
  <c r="AS7"/>
  <c r="AS5"/>
  <c r="AS4"/>
  <c r="AS2"/>
  <c r="AR31"/>
  <c r="AR30"/>
  <c r="AR28"/>
  <c r="AR26"/>
  <c r="AR24"/>
  <c r="AR23"/>
  <c r="AR21"/>
  <c r="AR19"/>
  <c r="AR17"/>
  <c r="AR16"/>
  <c r="AR14"/>
  <c r="AR12"/>
  <c r="AR11"/>
  <c r="AR9"/>
  <c r="AR7"/>
  <c r="AR5"/>
  <c r="AR4"/>
  <c r="AR2"/>
  <c r="AQ31"/>
  <c r="AQ30"/>
  <c r="AQ28"/>
  <c r="AQ26"/>
  <c r="AQ24"/>
  <c r="AQ23"/>
  <c r="AQ21"/>
  <c r="AQ19"/>
  <c r="AQ17"/>
  <c r="AQ16"/>
  <c r="AQ14"/>
  <c r="AQ12"/>
  <c r="AQ11"/>
  <c r="AQ9"/>
  <c r="AQ7"/>
  <c r="AQ5"/>
  <c r="AQ4"/>
  <c r="AQ2"/>
  <c r="AP31"/>
  <c r="AP30"/>
  <c r="AP28"/>
  <c r="AP26"/>
  <c r="AP24"/>
  <c r="AP23"/>
  <c r="AP21"/>
  <c r="AP19"/>
  <c r="AP17"/>
  <c r="AP16"/>
  <c r="AP14"/>
  <c r="AP12"/>
  <c r="AP11"/>
  <c r="AP9"/>
  <c r="AP7"/>
  <c r="AP5"/>
  <c r="AP4"/>
  <c r="AP2"/>
  <c r="AO31"/>
  <c r="AO30"/>
  <c r="AO28"/>
  <c r="AO26"/>
  <c r="AO24"/>
  <c r="AO23"/>
  <c r="AO21"/>
  <c r="AO19"/>
  <c r="AO17"/>
  <c r="AO16"/>
  <c r="AO14"/>
  <c r="AO12"/>
  <c r="AO11"/>
  <c r="AO9"/>
  <c r="AO7"/>
  <c r="AO5"/>
  <c r="AO4"/>
  <c r="AO2"/>
  <c r="AN31"/>
  <c r="AN30"/>
  <c r="AN28"/>
  <c r="AN26"/>
  <c r="AN24"/>
  <c r="AN23"/>
  <c r="AN21"/>
  <c r="AN19"/>
  <c r="AN17"/>
  <c r="AN16"/>
  <c r="AN14"/>
  <c r="AN12"/>
  <c r="AN11"/>
  <c r="AN9"/>
  <c r="AN7"/>
  <c r="AN5"/>
  <c r="AN4"/>
  <c r="AN2"/>
  <c r="AM31"/>
  <c r="AM30"/>
  <c r="AM28"/>
  <c r="AM26"/>
  <c r="AM24"/>
  <c r="AM23"/>
  <c r="AM21"/>
  <c r="AM19"/>
  <c r="AM17"/>
  <c r="AM16"/>
  <c r="AM14"/>
  <c r="AM12"/>
  <c r="AM11"/>
  <c r="AM9"/>
  <c r="AM7"/>
  <c r="AM5"/>
  <c r="AM4"/>
  <c r="AM2"/>
  <c r="AL31"/>
  <c r="AL30"/>
  <c r="AL28"/>
  <c r="AL26"/>
  <c r="AL24"/>
  <c r="AL23"/>
  <c r="AL21"/>
  <c r="AL19"/>
  <c r="AL17"/>
  <c r="AL16"/>
  <c r="AL14"/>
  <c r="AL12"/>
  <c r="AL11"/>
  <c r="AL9"/>
  <c r="AL7"/>
  <c r="AL5"/>
  <c r="AL4"/>
  <c r="AL2"/>
  <c r="AK31"/>
  <c r="AK30"/>
  <c r="AK28"/>
  <c r="AK26"/>
  <c r="AK24"/>
  <c r="AK23"/>
  <c r="AK21"/>
  <c r="AK19"/>
  <c r="AK17"/>
  <c r="AK16"/>
  <c r="AK14"/>
  <c r="AK12"/>
  <c r="AK11"/>
  <c r="AK9"/>
  <c r="AK7"/>
  <c r="AK5"/>
  <c r="AK4"/>
  <c r="AK2"/>
  <c r="AJ31"/>
  <c r="AJ30"/>
  <c r="AJ28"/>
  <c r="AJ26"/>
  <c r="AJ24"/>
  <c r="AJ23"/>
  <c r="AJ21"/>
  <c r="AJ19"/>
  <c r="AJ17"/>
  <c r="AJ16"/>
  <c r="AJ14"/>
  <c r="AJ12"/>
  <c r="AJ11"/>
  <c r="AJ9"/>
  <c r="AJ7"/>
  <c r="AJ5"/>
  <c r="AJ4"/>
  <c r="AJ2"/>
  <c r="AI31"/>
  <c r="AI30"/>
  <c r="AI28"/>
  <c r="AI26"/>
  <c r="AI24"/>
  <c r="AI23"/>
  <c r="AI21"/>
  <c r="AI19"/>
  <c r="AI17"/>
  <c r="AI16"/>
  <c r="AI14"/>
  <c r="AI12"/>
  <c r="AI11"/>
  <c r="AI9"/>
  <c r="AI7"/>
  <c r="AI5"/>
  <c r="AI4"/>
  <c r="AI2"/>
  <c r="AH31"/>
  <c r="AH30"/>
  <c r="AH28"/>
  <c r="AH26"/>
  <c r="AH24"/>
  <c r="AH23"/>
  <c r="AH21"/>
  <c r="AH19"/>
  <c r="AH17"/>
  <c r="AH16"/>
  <c r="AH14"/>
  <c r="AH12"/>
  <c r="AH11"/>
  <c r="AH9"/>
  <c r="AH7"/>
  <c r="AH5"/>
  <c r="AH4"/>
  <c r="AH2"/>
  <c r="AG31"/>
  <c r="AG30"/>
  <c r="AG28"/>
  <c r="AG26"/>
  <c r="AG24"/>
  <c r="AG23"/>
  <c r="AG21"/>
  <c r="AG19"/>
  <c r="AG17"/>
  <c r="AG16"/>
  <c r="AG14"/>
  <c r="AG12"/>
  <c r="AG11"/>
  <c r="AG9"/>
  <c r="AG7"/>
  <c r="AG5"/>
  <c r="AG4"/>
  <c r="AG2"/>
  <c r="AF31"/>
  <c r="AF30"/>
  <c r="AF28"/>
  <c r="AF26"/>
  <c r="AF24"/>
  <c r="AF23"/>
  <c r="AF21"/>
  <c r="AF19"/>
  <c r="AF17"/>
  <c r="AF16"/>
  <c r="AF14"/>
  <c r="AF12"/>
  <c r="AF11"/>
  <c r="AF9"/>
  <c r="AF7"/>
  <c r="AF5"/>
  <c r="AF4"/>
  <c r="AF2"/>
  <c r="AE31"/>
  <c r="AE30"/>
  <c r="AE28"/>
  <c r="AE26"/>
  <c r="AE24"/>
  <c r="AE23"/>
  <c r="AE21"/>
  <c r="AE19"/>
  <c r="AE17"/>
  <c r="AE16"/>
  <c r="AE14"/>
  <c r="AE12"/>
  <c r="AE11"/>
  <c r="AE9"/>
  <c r="AE7"/>
  <c r="AE5"/>
  <c r="AE4"/>
  <c r="AE2"/>
  <c r="AD31"/>
  <c r="AD30"/>
  <c r="AD28"/>
  <c r="AD26"/>
  <c r="AD24"/>
  <c r="AD23"/>
  <c r="AD21"/>
  <c r="AD19"/>
  <c r="AD17"/>
  <c r="AD16"/>
  <c r="AD14"/>
  <c r="AD12"/>
  <c r="AD11"/>
  <c r="AD9"/>
  <c r="AD7"/>
  <c r="AD5"/>
  <c r="AD4"/>
  <c r="AD2"/>
  <c r="AC31"/>
  <c r="AC30"/>
  <c r="AC28"/>
  <c r="AC26"/>
  <c r="AC24"/>
  <c r="AC23"/>
  <c r="AC21"/>
  <c r="AC19"/>
  <c r="AC17"/>
  <c r="AC16"/>
  <c r="AC14"/>
  <c r="AC12"/>
  <c r="AC11"/>
  <c r="AC9"/>
  <c r="AC7"/>
  <c r="AC5"/>
  <c r="AC4"/>
  <c r="AC2"/>
  <c r="AB31"/>
  <c r="AB30"/>
  <c r="AB28"/>
  <c r="AB26"/>
  <c r="AB24"/>
  <c r="AB23"/>
  <c r="AB21"/>
  <c r="AB19"/>
  <c r="AB17"/>
  <c r="AB16"/>
  <c r="AB14"/>
  <c r="AB12"/>
  <c r="AB11"/>
  <c r="AB9"/>
  <c r="AB7"/>
  <c r="AB5"/>
  <c r="AB4"/>
  <c r="AB2"/>
  <c r="AA31"/>
  <c r="AA30"/>
  <c r="AA28"/>
  <c r="AA26"/>
  <c r="AA24"/>
  <c r="AA23"/>
  <c r="AA21"/>
  <c r="AA19"/>
  <c r="AA17"/>
  <c r="AA16"/>
  <c r="AA14"/>
  <c r="AA12"/>
  <c r="AA11"/>
  <c r="AA9"/>
  <c r="AA7"/>
  <c r="AA5"/>
  <c r="AA4"/>
  <c r="AA2"/>
  <c r="Z31"/>
  <c r="Z30"/>
  <c r="Z28"/>
  <c r="Z26"/>
  <c r="Z24"/>
  <c r="Z23"/>
  <c r="Z21"/>
  <c r="Z19"/>
  <c r="Z17"/>
  <c r="Z16"/>
  <c r="Z14"/>
  <c r="Z12"/>
  <c r="Z11"/>
  <c r="Z9"/>
  <c r="Z7"/>
  <c r="Z5"/>
  <c r="Z4"/>
  <c r="Z2"/>
  <c r="X31"/>
  <c r="X30"/>
  <c r="X28"/>
  <c r="X26"/>
  <c r="X24"/>
  <c r="X23"/>
  <c r="X21"/>
  <c r="X19"/>
  <c r="X17"/>
  <c r="X16"/>
  <c r="X14"/>
  <c r="X12"/>
  <c r="X11"/>
  <c r="X9"/>
  <c r="X7"/>
  <c r="X5"/>
  <c r="X4"/>
  <c r="X2"/>
  <c r="M31"/>
  <c r="M30"/>
  <c r="M28"/>
  <c r="M26"/>
  <c r="M24"/>
  <c r="M23"/>
  <c r="M21"/>
  <c r="M19"/>
  <c r="M17"/>
  <c r="M16"/>
  <c r="M14"/>
  <c r="M12"/>
  <c r="M11"/>
  <c r="M9"/>
  <c r="M7"/>
  <c r="M5"/>
  <c r="M4"/>
  <c r="M2"/>
  <c r="W31"/>
  <c r="W30"/>
  <c r="W28"/>
  <c r="W26"/>
  <c r="W24"/>
  <c r="W23"/>
  <c r="W21"/>
  <c r="W19"/>
  <c r="W17"/>
  <c r="W16"/>
  <c r="W14"/>
  <c r="W12"/>
  <c r="W11"/>
  <c r="W9"/>
  <c r="W7"/>
  <c r="W5"/>
  <c r="W4"/>
  <c r="W2"/>
  <c r="Y31"/>
  <c r="Y30"/>
  <c r="Y28"/>
  <c r="Y26"/>
  <c r="Y24"/>
  <c r="Y23"/>
  <c r="Y21"/>
  <c r="Y19"/>
  <c r="Y17"/>
  <c r="Y16"/>
  <c r="Y14"/>
  <c r="Y12"/>
  <c r="Y11"/>
  <c r="Y9"/>
  <c r="Y7"/>
  <c r="Y5"/>
  <c r="Y4"/>
  <c r="Y2"/>
  <c r="V31"/>
  <c r="V30"/>
  <c r="V28"/>
  <c r="V26"/>
  <c r="V24"/>
  <c r="V23"/>
  <c r="V21"/>
  <c r="V19"/>
  <c r="V17"/>
  <c r="V16"/>
  <c r="V14"/>
  <c r="V12"/>
  <c r="V11"/>
  <c r="V9"/>
  <c r="V7"/>
  <c r="V5"/>
  <c r="V4"/>
  <c r="V2"/>
  <c r="U31"/>
  <c r="U30"/>
  <c r="U28"/>
  <c r="U26"/>
  <c r="U24"/>
  <c r="U23"/>
  <c r="U21"/>
  <c r="U19"/>
  <c r="U17"/>
  <c r="U16"/>
  <c r="U14"/>
  <c r="U12"/>
  <c r="U11"/>
  <c r="U9"/>
  <c r="U7"/>
  <c r="U5"/>
  <c r="U4"/>
  <c r="U2"/>
  <c r="T31"/>
  <c r="T30"/>
  <c r="T28"/>
  <c r="T26"/>
  <c r="T24"/>
  <c r="T23"/>
  <c r="T21"/>
  <c r="T19"/>
  <c r="T17"/>
  <c r="T16"/>
  <c r="T14"/>
  <c r="T12"/>
  <c r="T11"/>
  <c r="T9"/>
  <c r="T7"/>
  <c r="T5"/>
  <c r="T4"/>
  <c r="T2"/>
  <c r="S31"/>
  <c r="S30"/>
  <c r="S28"/>
  <c r="S26"/>
  <c r="S24"/>
  <c r="S23"/>
  <c r="S21"/>
  <c r="S19"/>
  <c r="S17"/>
  <c r="S16"/>
  <c r="S14"/>
  <c r="S12"/>
  <c r="S11"/>
  <c r="S9"/>
  <c r="S7"/>
  <c r="S5"/>
  <c r="S4"/>
  <c r="S2"/>
  <c r="R31"/>
  <c r="R30"/>
  <c r="R28"/>
  <c r="R26"/>
  <c r="R24"/>
  <c r="R23"/>
  <c r="R21"/>
  <c r="R19"/>
  <c r="R17"/>
  <c r="R16"/>
  <c r="R14"/>
  <c r="R12"/>
  <c r="R11"/>
  <c r="R9"/>
  <c r="R7"/>
  <c r="R5"/>
  <c r="R4"/>
  <c r="R2"/>
  <c r="Q31"/>
  <c r="Q30"/>
  <c r="Q28"/>
  <c r="Q26"/>
  <c r="Q24"/>
  <c r="Q23"/>
  <c r="Q21"/>
  <c r="Q19"/>
  <c r="Q17"/>
  <c r="Q16"/>
  <c r="Q14"/>
  <c r="Q12"/>
  <c r="Q11"/>
  <c r="Q9"/>
  <c r="Q7"/>
  <c r="Q5"/>
  <c r="Q4"/>
  <c r="Q2"/>
  <c r="P31"/>
  <c r="P30"/>
  <c r="P28"/>
  <c r="P26"/>
  <c r="P24"/>
  <c r="P23"/>
  <c r="P21"/>
  <c r="P19"/>
  <c r="P17"/>
  <c r="P16"/>
  <c r="P14"/>
  <c r="P12"/>
  <c r="P11"/>
  <c r="P9"/>
  <c r="P7"/>
  <c r="P5"/>
  <c r="P4"/>
  <c r="P2"/>
  <c r="O31"/>
  <c r="O30"/>
  <c r="O28"/>
  <c r="O26"/>
  <c r="O24"/>
  <c r="O23"/>
  <c r="O21"/>
  <c r="O19"/>
  <c r="O17"/>
  <c r="O16"/>
  <c r="O14"/>
  <c r="O12"/>
  <c r="O11"/>
  <c r="O9"/>
  <c r="O7"/>
  <c r="O5"/>
  <c r="O4"/>
  <c r="O2"/>
  <c r="N31"/>
  <c r="N30"/>
  <c r="N28"/>
  <c r="N26"/>
  <c r="N24"/>
  <c r="N23"/>
  <c r="N21"/>
  <c r="N19"/>
  <c r="N17"/>
  <c r="N16"/>
  <c r="N14"/>
  <c r="N12"/>
  <c r="N11"/>
  <c r="N9"/>
  <c r="N7"/>
  <c r="N5"/>
  <c r="N4"/>
  <c r="N2"/>
  <c r="I31"/>
  <c r="H31"/>
  <c r="J69" s="1"/>
  <c r="I30"/>
  <c r="H30"/>
  <c r="J68" s="1"/>
  <c r="I28"/>
  <c r="H28"/>
  <c r="J66" s="1"/>
  <c r="I26"/>
  <c r="H26"/>
  <c r="J64" s="1"/>
  <c r="I24"/>
  <c r="H24"/>
  <c r="J62" s="1"/>
  <c r="I23"/>
  <c r="H23"/>
  <c r="J61" s="1"/>
  <c r="I21"/>
  <c r="H21"/>
  <c r="J59" s="1"/>
  <c r="I19"/>
  <c r="H19"/>
  <c r="J57" s="1"/>
  <c r="I17"/>
  <c r="H17"/>
  <c r="J55" s="1"/>
  <c r="I16"/>
  <c r="H16"/>
  <c r="J54" s="1"/>
  <c r="I14"/>
  <c r="H14"/>
  <c r="J52" s="1"/>
  <c r="I12"/>
  <c r="H12"/>
  <c r="J50" s="1"/>
  <c r="I11"/>
  <c r="H11"/>
  <c r="J49" s="1"/>
  <c r="I9"/>
  <c r="H9"/>
  <c r="J47" s="1"/>
  <c r="I7"/>
  <c r="H7"/>
  <c r="J45" s="1"/>
  <c r="I5"/>
  <c r="H5"/>
  <c r="J43" s="1"/>
  <c r="I4"/>
  <c r="H4"/>
  <c r="J42" s="1"/>
  <c r="I2"/>
  <c r="H2"/>
  <c r="J40" s="1"/>
  <c r="L31"/>
  <c r="L30"/>
  <c r="L28"/>
  <c r="L26"/>
  <c r="L24"/>
  <c r="L23"/>
  <c r="L21"/>
  <c r="L19"/>
  <c r="L17"/>
  <c r="L16"/>
  <c r="L14"/>
  <c r="L12"/>
  <c r="L11"/>
  <c r="L9"/>
  <c r="L7"/>
  <c r="L5"/>
  <c r="L4"/>
  <c r="L2"/>
  <c r="K31"/>
  <c r="K30"/>
  <c r="K28"/>
  <c r="K26"/>
  <c r="K24"/>
  <c r="K23"/>
  <c r="K21"/>
  <c r="K19"/>
  <c r="K17"/>
  <c r="K16"/>
  <c r="K14"/>
  <c r="K12"/>
  <c r="K11"/>
  <c r="K9"/>
  <c r="K7"/>
  <c r="K4"/>
  <c r="K2"/>
  <c r="K5"/>
  <c r="BD71"/>
  <c r="BC71"/>
  <c r="AQ31" i="10"/>
  <c r="AQ30"/>
  <c r="AR30" s="1"/>
  <c r="AQ28"/>
  <c r="AT28" s="1"/>
  <c r="AQ26"/>
  <c r="AT26" s="1"/>
  <c r="AQ24"/>
  <c r="AT24" s="1"/>
  <c r="AQ23"/>
  <c r="AR23" s="1"/>
  <c r="AQ21"/>
  <c r="AT21" s="1"/>
  <c r="AQ19"/>
  <c r="AT19" s="1"/>
  <c r="AQ17"/>
  <c r="AT17" s="1"/>
  <c r="AQ16"/>
  <c r="AR16" s="1"/>
  <c r="AQ14"/>
  <c r="AT14" s="1"/>
  <c r="AQ12"/>
  <c r="AT12" s="1"/>
  <c r="AQ11"/>
  <c r="AT11" s="1"/>
  <c r="AQ9"/>
  <c r="AR9" s="1"/>
  <c r="AQ7"/>
  <c r="AT7" s="1"/>
  <c r="AQ5"/>
  <c r="AT5" s="1"/>
  <c r="AQ4"/>
  <c r="AT4" s="1"/>
  <c r="AQ2"/>
  <c r="AT2" s="1"/>
  <c r="J71" i="1"/>
  <c r="J70"/>
  <c r="J68"/>
  <c r="J66"/>
  <c r="J64"/>
  <c r="J63"/>
  <c r="J61"/>
  <c r="J59"/>
  <c r="J57"/>
  <c r="J56"/>
  <c r="J54"/>
  <c r="J52"/>
  <c r="J51"/>
  <c r="J49"/>
  <c r="J47"/>
  <c r="J45"/>
  <c r="J44"/>
  <c r="J42"/>
  <c r="CJ71"/>
  <c r="CJ70"/>
  <c r="CJ68"/>
  <c r="CJ66"/>
  <c r="CJ64"/>
  <c r="CJ63"/>
  <c r="CJ61"/>
  <c r="CJ59"/>
  <c r="CJ57"/>
  <c r="CJ56"/>
  <c r="CJ54"/>
  <c r="CJ52"/>
  <c r="CJ51"/>
  <c r="CJ49"/>
  <c r="CJ47"/>
  <c r="CJ45"/>
  <c r="CJ44"/>
  <c r="CJ42"/>
  <c r="AT31" i="10"/>
  <c r="CL72" i="1" l="1"/>
  <c r="K45"/>
  <c r="DB6" i="17" s="1"/>
  <c r="CI45" i="1"/>
  <c r="AD6" i="17" s="1"/>
  <c r="L45" i="1"/>
  <c r="K52"/>
  <c r="CI52"/>
  <c r="L52"/>
  <c r="AE10" i="16" s="1"/>
  <c r="K59" i="1"/>
  <c r="DB14" i="17" s="1"/>
  <c r="CI59" i="1"/>
  <c r="L59"/>
  <c r="K66"/>
  <c r="CI66"/>
  <c r="L66"/>
  <c r="AE18" i="16" s="1"/>
  <c r="K44" i="1"/>
  <c r="DB5" i="17" s="1"/>
  <c r="L44" i="1"/>
  <c r="DA5" i="17" s="1"/>
  <c r="CI44" i="1"/>
  <c r="K47"/>
  <c r="DB7" i="17" s="1"/>
  <c r="L47" i="1"/>
  <c r="CI47"/>
  <c r="DB7" i="16" s="1"/>
  <c r="K51" i="1"/>
  <c r="DB9" i="17" s="1"/>
  <c r="L51" i="1"/>
  <c r="DA9" i="17" s="1"/>
  <c r="CI51" i="1"/>
  <c r="K54"/>
  <c r="DB11" i="17" s="1"/>
  <c r="L54" i="1"/>
  <c r="CI54"/>
  <c r="DB11" i="16" s="1"/>
  <c r="K57" i="1"/>
  <c r="DB13" i="17" s="1"/>
  <c r="L57" i="1"/>
  <c r="AE13" i="16" s="1"/>
  <c r="CI57" i="1"/>
  <c r="K61"/>
  <c r="DB15" i="17" s="1"/>
  <c r="L61" i="1"/>
  <c r="CI61"/>
  <c r="DB15" i="16" s="1"/>
  <c r="K64" i="1"/>
  <c r="DB17" i="17" s="1"/>
  <c r="L64" i="1"/>
  <c r="CI64"/>
  <c r="K42"/>
  <c r="CI42"/>
  <c r="L42"/>
  <c r="K49"/>
  <c r="DB8" i="17" s="1"/>
  <c r="CI49" i="1"/>
  <c r="L49"/>
  <c r="K56"/>
  <c r="CI56"/>
  <c r="L56"/>
  <c r="AE12" i="16" s="1"/>
  <c r="K63" i="1"/>
  <c r="DB16" i="17" s="1"/>
  <c r="CI63" i="1"/>
  <c r="DB16" i="16" s="1"/>
  <c r="L63" i="1"/>
  <c r="K68"/>
  <c r="L68"/>
  <c r="CI68"/>
  <c r="DB19" i="16" s="1"/>
  <c r="K71" i="1"/>
  <c r="DB21" i="17" s="1"/>
  <c r="L71" i="1"/>
  <c r="DA21" i="17" s="1"/>
  <c r="CI71" i="1"/>
  <c r="K70"/>
  <c r="L70"/>
  <c r="CI70"/>
  <c r="DB20" i="16" s="1"/>
  <c r="O30"/>
  <c r="L29"/>
  <c r="Q70"/>
  <c r="P74"/>
  <c r="M16"/>
  <c r="L18"/>
  <c r="L23"/>
  <c r="Q14"/>
  <c r="L24"/>
  <c r="P14"/>
  <c r="M21"/>
  <c r="M24"/>
  <c r="K19"/>
  <c r="Q74"/>
  <c r="P70"/>
  <c r="K74"/>
  <c r="M18"/>
  <c r="L30"/>
  <c r="L22"/>
  <c r="L16"/>
  <c r="Q29"/>
  <c r="M23"/>
  <c r="K18"/>
  <c r="M13"/>
  <c r="L25"/>
  <c r="K23"/>
  <c r="M28"/>
  <c r="L28"/>
  <c r="P19"/>
  <c r="Q77"/>
  <c r="M72"/>
  <c r="Q68"/>
  <c r="P77"/>
  <c r="L72"/>
  <c r="P68"/>
  <c r="O77"/>
  <c r="Q11"/>
  <c r="P11"/>
  <c r="K28"/>
  <c r="M19"/>
  <c r="Q17"/>
  <c r="P21"/>
  <c r="P17"/>
  <c r="M77"/>
  <c r="Q72"/>
  <c r="M68"/>
  <c r="L77"/>
  <c r="P72"/>
  <c r="L68"/>
  <c r="K68"/>
  <c r="K72"/>
  <c r="Q28"/>
  <c r="Q24"/>
  <c r="M14"/>
  <c r="M11"/>
  <c r="P28"/>
  <c r="P24"/>
  <c r="L14"/>
  <c r="L11"/>
  <c r="K24"/>
  <c r="Q21"/>
  <c r="Q19"/>
  <c r="M17"/>
  <c r="K14"/>
  <c r="K11"/>
  <c r="L21"/>
  <c r="L19"/>
  <c r="L17"/>
  <c r="O17"/>
  <c r="K21"/>
  <c r="M74"/>
  <c r="M70"/>
  <c r="L74"/>
  <c r="L70"/>
  <c r="Q22"/>
  <c r="Q18"/>
  <c r="Q16"/>
  <c r="M30"/>
  <c r="Q30"/>
  <c r="P30"/>
  <c r="P22"/>
  <c r="P18"/>
  <c r="P16"/>
  <c r="M29"/>
  <c r="M25"/>
  <c r="Q23"/>
  <c r="K22"/>
  <c r="K16"/>
  <c r="Q13"/>
  <c r="P29"/>
  <c r="P25"/>
  <c r="P23"/>
  <c r="P13"/>
  <c r="K13"/>
  <c r="K29"/>
  <c r="K25"/>
  <c r="K590"/>
  <c r="P590"/>
  <c r="Q590"/>
  <c r="L590"/>
  <c r="N590"/>
  <c r="O590"/>
  <c r="K571"/>
  <c r="P571"/>
  <c r="Q571"/>
  <c r="L571"/>
  <c r="N571"/>
  <c r="O571"/>
  <c r="L342"/>
  <c r="N342"/>
  <c r="O342"/>
  <c r="K342"/>
  <c r="P342"/>
  <c r="Q342"/>
  <c r="K318"/>
  <c r="N318"/>
  <c r="O318"/>
  <c r="L318"/>
  <c r="P318"/>
  <c r="Q318"/>
  <c r="K464"/>
  <c r="Q464"/>
  <c r="P464"/>
  <c r="L464"/>
  <c r="N464"/>
  <c r="O464"/>
  <c r="L540"/>
  <c r="P540"/>
  <c r="O540"/>
  <c r="K540"/>
  <c r="Q540"/>
  <c r="N540"/>
  <c r="L501"/>
  <c r="Q501"/>
  <c r="P501"/>
  <c r="O501"/>
  <c r="K501"/>
  <c r="N501"/>
  <c r="K398"/>
  <c r="Q398"/>
  <c r="P398"/>
  <c r="L398"/>
  <c r="N398"/>
  <c r="O398"/>
  <c r="O369"/>
  <c r="P369"/>
  <c r="Q369"/>
  <c r="N369"/>
  <c r="N354"/>
  <c r="N432"/>
  <c r="Q354"/>
  <c r="P354"/>
  <c r="P430"/>
  <c r="N356"/>
  <c r="N430"/>
  <c r="K555"/>
  <c r="L555"/>
  <c r="L554"/>
  <c r="K554"/>
  <c r="K553"/>
  <c r="L553"/>
  <c r="L552"/>
  <c r="K552"/>
  <c r="K550"/>
  <c r="L550"/>
  <c r="L549"/>
  <c r="K549"/>
  <c r="K548"/>
  <c r="L548"/>
  <c r="L547"/>
  <c r="K547"/>
  <c r="K546"/>
  <c r="L546"/>
  <c r="K432"/>
  <c r="L432"/>
  <c r="K430"/>
  <c r="L430"/>
  <c r="K426"/>
  <c r="L426"/>
  <c r="K424"/>
  <c r="L424"/>
  <c r="K422"/>
  <c r="L422"/>
  <c r="K420"/>
  <c r="L420"/>
  <c r="K416"/>
  <c r="L416"/>
  <c r="K414"/>
  <c r="L414"/>
  <c r="K412"/>
  <c r="L412"/>
  <c r="K410"/>
  <c r="L410"/>
  <c r="K406"/>
  <c r="L406"/>
  <c r="K404"/>
  <c r="L404"/>
  <c r="K402"/>
  <c r="L402"/>
  <c r="K400"/>
  <c r="L400"/>
  <c r="L399"/>
  <c r="K399"/>
  <c r="K394"/>
  <c r="L394"/>
  <c r="K392"/>
  <c r="L392"/>
  <c r="K390"/>
  <c r="L390"/>
  <c r="K388"/>
  <c r="L388"/>
  <c r="K385"/>
  <c r="L385"/>
  <c r="K383"/>
  <c r="L383"/>
  <c r="K381"/>
  <c r="L381"/>
  <c r="K379"/>
  <c r="L379"/>
  <c r="K375"/>
  <c r="L375"/>
  <c r="K373"/>
  <c r="L373"/>
  <c r="K371"/>
  <c r="L371"/>
  <c r="K369"/>
  <c r="L369"/>
  <c r="K366"/>
  <c r="L366"/>
  <c r="K364"/>
  <c r="L364"/>
  <c r="K362"/>
  <c r="L362"/>
  <c r="K360"/>
  <c r="L360"/>
  <c r="K356"/>
  <c r="L356"/>
  <c r="K354"/>
  <c r="L354"/>
  <c r="AD5" i="17"/>
  <c r="CH44" i="1"/>
  <c r="AE5" i="17" s="1"/>
  <c r="M44" i="1"/>
  <c r="O44"/>
  <c r="CX5" i="17" s="1"/>
  <c r="Q44" i="1"/>
  <c r="S44"/>
  <c r="CT5" i="17" s="1"/>
  <c r="U44" i="1"/>
  <c r="W44"/>
  <c r="CP5" i="17" s="1"/>
  <c r="Y44" i="1"/>
  <c r="AA44"/>
  <c r="CL5" i="17" s="1"/>
  <c r="AC44" i="1"/>
  <c r="AE44"/>
  <c r="CH5" i="17" s="1"/>
  <c r="AG44" i="1"/>
  <c r="AI44"/>
  <c r="CD5" i="17" s="1"/>
  <c r="AK44" i="1"/>
  <c r="AM44"/>
  <c r="BZ5" i="17" s="1"/>
  <c r="AO44" i="1"/>
  <c r="AQ44"/>
  <c r="BV5" i="17" s="1"/>
  <c r="AS44" i="1"/>
  <c r="AU44"/>
  <c r="BR5" i="17" s="1"/>
  <c r="AW44" i="1"/>
  <c r="AY44"/>
  <c r="BN5" i="17" s="1"/>
  <c r="BA44" i="1"/>
  <c r="BC44"/>
  <c r="BJ5" i="17" s="1"/>
  <c r="BE44" i="1"/>
  <c r="BG44"/>
  <c r="BF5" i="17" s="1"/>
  <c r="BI44" i="1"/>
  <c r="BK44"/>
  <c r="BB5" i="17" s="1"/>
  <c r="BM44" i="1"/>
  <c r="BO44"/>
  <c r="AX5" i="17" s="1"/>
  <c r="BQ44" i="1"/>
  <c r="BS44"/>
  <c r="AT5" i="17" s="1"/>
  <c r="BU44" i="1"/>
  <c r="BW44"/>
  <c r="AP5" i="17" s="1"/>
  <c r="BY44" i="1"/>
  <c r="CA44"/>
  <c r="AL5" i="17" s="1"/>
  <c r="CC44" i="1"/>
  <c r="CE44"/>
  <c r="AH5" i="17" s="1"/>
  <c r="CG44" i="1"/>
  <c r="N44"/>
  <c r="CY5" i="17" s="1"/>
  <c r="P44" i="1"/>
  <c r="CW5" i="17" s="1"/>
  <c r="R44" i="1"/>
  <c r="CU5" i="17" s="1"/>
  <c r="T44" i="1"/>
  <c r="CS5" i="17" s="1"/>
  <c r="V44" i="1"/>
  <c r="CQ5" i="17" s="1"/>
  <c r="X44" i="1"/>
  <c r="CO5" i="17" s="1"/>
  <c r="Z44" i="1"/>
  <c r="CM5" i="17" s="1"/>
  <c r="AB44" i="1"/>
  <c r="CK5" i="17" s="1"/>
  <c r="AD44" i="1"/>
  <c r="CI5" i="17" s="1"/>
  <c r="AF44" i="1"/>
  <c r="CG5" i="17" s="1"/>
  <c r="AH44" i="1"/>
  <c r="CE5" i="17" s="1"/>
  <c r="AJ44" i="1"/>
  <c r="CC5" i="17" s="1"/>
  <c r="AL44" i="1"/>
  <c r="CA5" i="17" s="1"/>
  <c r="AN44" i="1"/>
  <c r="BY5" i="17" s="1"/>
  <c r="AP44" i="1"/>
  <c r="BW5" i="17" s="1"/>
  <c r="AR44" i="1"/>
  <c r="BU5" i="17" s="1"/>
  <c r="AT44" i="1"/>
  <c r="BS5" i="17" s="1"/>
  <c r="AV44" i="1"/>
  <c r="BQ5" i="17" s="1"/>
  <c r="AX44" i="1"/>
  <c r="BO5" i="17" s="1"/>
  <c r="AZ44" i="1"/>
  <c r="BM5" i="17" s="1"/>
  <c r="BB44" i="1"/>
  <c r="BK5" i="17" s="1"/>
  <c r="BD44" i="1"/>
  <c r="BI5" i="17" s="1"/>
  <c r="BF44" i="1"/>
  <c r="BG5" i="17" s="1"/>
  <c r="BH44" i="1"/>
  <c r="BE5" i="17" s="1"/>
  <c r="BJ44" i="1"/>
  <c r="BC5" i="17" s="1"/>
  <c r="BL44" i="1"/>
  <c r="BA5" i="17" s="1"/>
  <c r="BN44" i="1"/>
  <c r="AY5" i="17" s="1"/>
  <c r="BP44" i="1"/>
  <c r="AW5" i="17" s="1"/>
  <c r="BR44" i="1"/>
  <c r="AU5" i="17" s="1"/>
  <c r="BT44" i="1"/>
  <c r="AS5" i="17" s="1"/>
  <c r="BV44" i="1"/>
  <c r="AQ5" i="17" s="1"/>
  <c r="BX44" i="1"/>
  <c r="AO5" i="17" s="1"/>
  <c r="BZ44" i="1"/>
  <c r="AM5" i="17" s="1"/>
  <c r="CB44" i="1"/>
  <c r="AK5" i="17" s="1"/>
  <c r="CD44" i="1"/>
  <c r="AI5" i="17" s="1"/>
  <c r="CF44" i="1"/>
  <c r="AG5" i="17" s="1"/>
  <c r="CH54" i="1"/>
  <c r="AE11" i="17" s="1"/>
  <c r="DA11"/>
  <c r="N54" i="1"/>
  <c r="CY11" i="17" s="1"/>
  <c r="P54" i="1"/>
  <c r="CW11" i="17" s="1"/>
  <c r="R54" i="1"/>
  <c r="CU11" i="17" s="1"/>
  <c r="T54" i="1"/>
  <c r="CS11" i="17" s="1"/>
  <c r="V54" i="1"/>
  <c r="CQ11" i="17" s="1"/>
  <c r="X54" i="1"/>
  <c r="CO11" i="17" s="1"/>
  <c r="Z54" i="1"/>
  <c r="CM11" i="17" s="1"/>
  <c r="AB54" i="1"/>
  <c r="CK11" i="17" s="1"/>
  <c r="AD54" i="1"/>
  <c r="CI11" i="17" s="1"/>
  <c r="AF54" i="1"/>
  <c r="CG11" i="17" s="1"/>
  <c r="AH54" i="1"/>
  <c r="CE11" i="17" s="1"/>
  <c r="AJ54" i="1"/>
  <c r="CC11" i="17" s="1"/>
  <c r="AL54" i="1"/>
  <c r="CA11" i="17" s="1"/>
  <c r="AN54" i="1"/>
  <c r="BY11" i="17" s="1"/>
  <c r="AP54" i="1"/>
  <c r="BW11" i="17" s="1"/>
  <c r="AR54" i="1"/>
  <c r="BU11" i="17" s="1"/>
  <c r="AT54" i="1"/>
  <c r="BS11" i="17" s="1"/>
  <c r="AV54" i="1"/>
  <c r="BQ11" i="17" s="1"/>
  <c r="AX54" i="1"/>
  <c r="BO11" i="17" s="1"/>
  <c r="AZ54" i="1"/>
  <c r="BM11" i="17" s="1"/>
  <c r="BB54" i="1"/>
  <c r="BK11" i="17" s="1"/>
  <c r="BD54" i="1"/>
  <c r="BI11" i="17" s="1"/>
  <c r="BF54" i="1"/>
  <c r="BG11" i="17" s="1"/>
  <c r="BH54" i="1"/>
  <c r="BE11" i="17" s="1"/>
  <c r="BJ54" i="1"/>
  <c r="BC11" i="17" s="1"/>
  <c r="BL54" i="1"/>
  <c r="BA11" i="17" s="1"/>
  <c r="BN54" i="1"/>
  <c r="AY11" i="17" s="1"/>
  <c r="BP54" i="1"/>
  <c r="AW11" i="17" s="1"/>
  <c r="BR54" i="1"/>
  <c r="AU11" i="17" s="1"/>
  <c r="BT54" i="1"/>
  <c r="AS11" i="17" s="1"/>
  <c r="BV54" i="1"/>
  <c r="AQ11" i="17" s="1"/>
  <c r="BX54" i="1"/>
  <c r="AO11" i="17" s="1"/>
  <c r="BZ54" i="1"/>
  <c r="AM11" i="17" s="1"/>
  <c r="CB54" i="1"/>
  <c r="AK11" i="17" s="1"/>
  <c r="CD54" i="1"/>
  <c r="AI11" i="17" s="1"/>
  <c r="CF54" i="1"/>
  <c r="AG11" i="17" s="1"/>
  <c r="M54" i="1"/>
  <c r="CZ11" i="17" s="1"/>
  <c r="O54" i="1"/>
  <c r="Q54"/>
  <c r="CV11" i="17" s="1"/>
  <c r="S54" i="1"/>
  <c r="U54"/>
  <c r="CR11" i="17" s="1"/>
  <c r="W54" i="1"/>
  <c r="Y54"/>
  <c r="CN11" i="17" s="1"/>
  <c r="AA54" i="1"/>
  <c r="AC54"/>
  <c r="CJ11" i="17" s="1"/>
  <c r="AE54" i="1"/>
  <c r="AG54"/>
  <c r="CF11" i="17" s="1"/>
  <c r="AI54" i="1"/>
  <c r="AK54"/>
  <c r="CB11" i="17" s="1"/>
  <c r="AM54" i="1"/>
  <c r="AO54"/>
  <c r="BX11" i="17" s="1"/>
  <c r="AQ54" i="1"/>
  <c r="AS54"/>
  <c r="BT11" i="17" s="1"/>
  <c r="AU54" i="1"/>
  <c r="AW54"/>
  <c r="BP11" i="17" s="1"/>
  <c r="AY54" i="1"/>
  <c r="BA54"/>
  <c r="BL11" i="17" s="1"/>
  <c r="BC54" i="1"/>
  <c r="BE54"/>
  <c r="BH11" i="17" s="1"/>
  <c r="BG54" i="1"/>
  <c r="BI54"/>
  <c r="BD11" i="17" s="1"/>
  <c r="BK54" i="1"/>
  <c r="BM54"/>
  <c r="AZ11" i="17" s="1"/>
  <c r="BO54" i="1"/>
  <c r="BQ54"/>
  <c r="AV11" i="17" s="1"/>
  <c r="BS54" i="1"/>
  <c r="BU54"/>
  <c r="AR11" i="17" s="1"/>
  <c r="BW54" i="1"/>
  <c r="BY54"/>
  <c r="AN11" i="17" s="1"/>
  <c r="CA54" i="1"/>
  <c r="CC54"/>
  <c r="AJ11" i="17" s="1"/>
  <c r="CE54" i="1"/>
  <c r="CG54"/>
  <c r="AF11" i="17" s="1"/>
  <c r="AD21"/>
  <c r="CH71" i="1"/>
  <c r="AE21" i="17" s="1"/>
  <c r="N71" i="1"/>
  <c r="CY21" i="17" s="1"/>
  <c r="P71" i="1"/>
  <c r="R71"/>
  <c r="CU21" i="17" s="1"/>
  <c r="T71" i="1"/>
  <c r="V71"/>
  <c r="CQ21" i="17" s="1"/>
  <c r="X71" i="1"/>
  <c r="CO21" i="17" s="1"/>
  <c r="Z71" i="1"/>
  <c r="CM21" i="17" s="1"/>
  <c r="AB71" i="1"/>
  <c r="CK21" i="17" s="1"/>
  <c r="AD71" i="1"/>
  <c r="CI21" i="17" s="1"/>
  <c r="AF71" i="1"/>
  <c r="AH71"/>
  <c r="CE21" i="17" s="1"/>
  <c r="AJ71" i="1"/>
  <c r="AL71"/>
  <c r="CA21" i="17" s="1"/>
  <c r="AN71" i="1"/>
  <c r="BY21" i="17" s="1"/>
  <c r="AP71" i="1"/>
  <c r="BW21" i="17" s="1"/>
  <c r="AR71" i="1"/>
  <c r="BU21" i="17" s="1"/>
  <c r="AT71" i="1"/>
  <c r="BS21" i="17" s="1"/>
  <c r="AV71" i="1"/>
  <c r="AX71"/>
  <c r="BO21" i="17" s="1"/>
  <c r="AZ71" i="1"/>
  <c r="BB71"/>
  <c r="BK21" i="17" s="1"/>
  <c r="BD71" i="1"/>
  <c r="BI21" i="17" s="1"/>
  <c r="BF71" i="1"/>
  <c r="BG21" i="17" s="1"/>
  <c r="BH71" i="1"/>
  <c r="BE21" i="17" s="1"/>
  <c r="BJ71" i="1"/>
  <c r="BC21" i="17" s="1"/>
  <c r="BL71" i="1"/>
  <c r="BN71"/>
  <c r="AY21" i="17" s="1"/>
  <c r="BP71" i="1"/>
  <c r="BR71"/>
  <c r="AU21" i="17" s="1"/>
  <c r="BT71" i="1"/>
  <c r="AS21" i="17" s="1"/>
  <c r="BV71" i="1"/>
  <c r="AQ21" i="17" s="1"/>
  <c r="BX71" i="1"/>
  <c r="AO21" i="17" s="1"/>
  <c r="BZ71" i="1"/>
  <c r="AM21" i="17" s="1"/>
  <c r="CB71" i="1"/>
  <c r="CD71"/>
  <c r="AI21" i="17" s="1"/>
  <c r="CF71" i="1"/>
  <c r="M71"/>
  <c r="CZ21" i="17" s="1"/>
  <c r="O71" i="1"/>
  <c r="Q71"/>
  <c r="CV21" i="17" s="1"/>
  <c r="S71" i="1"/>
  <c r="U71"/>
  <c r="CR21" i="17" s="1"/>
  <c r="W71" i="1"/>
  <c r="Y71"/>
  <c r="CN21" i="17" s="1"/>
  <c r="AA71" i="1"/>
  <c r="AC71"/>
  <c r="CJ21" i="17" s="1"/>
  <c r="AE71" i="1"/>
  <c r="AG71"/>
  <c r="CF21" i="17" s="1"/>
  <c r="AI71" i="1"/>
  <c r="AK71"/>
  <c r="CB21" i="17" s="1"/>
  <c r="AM71" i="1"/>
  <c r="AO71"/>
  <c r="BX21" i="17" s="1"/>
  <c r="AQ71" i="1"/>
  <c r="AS71"/>
  <c r="BT21" i="17" s="1"/>
  <c r="AU71" i="1"/>
  <c r="AW71"/>
  <c r="BP21" i="17" s="1"/>
  <c r="AY71" i="1"/>
  <c r="BA71"/>
  <c r="BL21" i="17" s="1"/>
  <c r="BC71" i="1"/>
  <c r="BE71"/>
  <c r="BH21" i="17" s="1"/>
  <c r="BG71" i="1"/>
  <c r="BI71"/>
  <c r="BD21" i="17" s="1"/>
  <c r="BK71" i="1"/>
  <c r="BM71"/>
  <c r="AZ21" i="17" s="1"/>
  <c r="BO71" i="1"/>
  <c r="BQ71"/>
  <c r="AV21" i="17" s="1"/>
  <c r="BS71" i="1"/>
  <c r="BU71"/>
  <c r="AR21" i="17" s="1"/>
  <c r="BW71" i="1"/>
  <c r="BY71"/>
  <c r="AN21" i="17" s="1"/>
  <c r="CA71" i="1"/>
  <c r="CC71"/>
  <c r="AJ21" i="17" s="1"/>
  <c r="CE71" i="1"/>
  <c r="CG71"/>
  <c r="AF21" i="17" s="1"/>
  <c r="CH47" i="1"/>
  <c r="AE7" i="17" s="1"/>
  <c r="M47" i="1"/>
  <c r="CZ7" i="17" s="1"/>
  <c r="O47" i="1"/>
  <c r="CX7" i="17" s="1"/>
  <c r="Q47" i="1"/>
  <c r="CV7" i="17" s="1"/>
  <c r="S47" i="1"/>
  <c r="CT7" i="17" s="1"/>
  <c r="U47" i="1"/>
  <c r="CR7" i="17" s="1"/>
  <c r="W47" i="1"/>
  <c r="CP7" i="17" s="1"/>
  <c r="Y47" i="1"/>
  <c r="CN7" i="17" s="1"/>
  <c r="AA47" i="1"/>
  <c r="CL7" i="17" s="1"/>
  <c r="AC47" i="1"/>
  <c r="CJ7" i="17" s="1"/>
  <c r="AE47" i="1"/>
  <c r="CH7" i="17" s="1"/>
  <c r="AG47" i="1"/>
  <c r="CF7" i="17" s="1"/>
  <c r="AI47" i="1"/>
  <c r="CD7" i="17" s="1"/>
  <c r="AK47" i="1"/>
  <c r="CB7" i="17" s="1"/>
  <c r="AM47" i="1"/>
  <c r="BZ7" i="17" s="1"/>
  <c r="AO47" i="1"/>
  <c r="BX7" i="17" s="1"/>
  <c r="AQ47" i="1"/>
  <c r="BV7" i="17" s="1"/>
  <c r="AS47" i="1"/>
  <c r="BT7" i="17" s="1"/>
  <c r="AU47" i="1"/>
  <c r="BR7" i="17" s="1"/>
  <c r="AW47" i="1"/>
  <c r="BP7" i="17" s="1"/>
  <c r="AY47" i="1"/>
  <c r="BN7" i="17" s="1"/>
  <c r="BA47" i="1"/>
  <c r="BL7" i="17" s="1"/>
  <c r="BC47" i="1"/>
  <c r="BJ7" i="17" s="1"/>
  <c r="BE47" i="1"/>
  <c r="BH7" i="17" s="1"/>
  <c r="BG47" i="1"/>
  <c r="BF7" i="17" s="1"/>
  <c r="BI47" i="1"/>
  <c r="BD7" i="17" s="1"/>
  <c r="BK47" i="1"/>
  <c r="BB7" i="17" s="1"/>
  <c r="BM47" i="1"/>
  <c r="BO47"/>
  <c r="AX7" i="17" s="1"/>
  <c r="BQ47" i="1"/>
  <c r="BS47"/>
  <c r="AT7" i="17" s="1"/>
  <c r="BU47" i="1"/>
  <c r="AR7" i="17" s="1"/>
  <c r="BW47" i="1"/>
  <c r="AP7" i="17" s="1"/>
  <c r="BY47" i="1"/>
  <c r="AN7" i="17" s="1"/>
  <c r="CA47" i="1"/>
  <c r="AL7" i="17" s="1"/>
  <c r="CC47" i="1"/>
  <c r="CE47"/>
  <c r="AH7" i="17" s="1"/>
  <c r="CG47" i="1"/>
  <c r="DA7" i="17"/>
  <c r="N47" i="1"/>
  <c r="CY7" i="17" s="1"/>
  <c r="P47" i="1"/>
  <c r="CW7" i="17" s="1"/>
  <c r="R47" i="1"/>
  <c r="CU7" i="17" s="1"/>
  <c r="T47" i="1"/>
  <c r="CS7" i="17" s="1"/>
  <c r="V47" i="1"/>
  <c r="CQ7" i="17" s="1"/>
  <c r="X47" i="1"/>
  <c r="CO7" i="17" s="1"/>
  <c r="Z47" i="1"/>
  <c r="CM7" i="17" s="1"/>
  <c r="AB47" i="1"/>
  <c r="CK7" i="17" s="1"/>
  <c r="AD47" i="1"/>
  <c r="CI7" i="17" s="1"/>
  <c r="AF47" i="1"/>
  <c r="CG7" i="17" s="1"/>
  <c r="AH47" i="1"/>
  <c r="CE7" i="17" s="1"/>
  <c r="AJ47" i="1"/>
  <c r="CC7" i="17" s="1"/>
  <c r="AL47" i="1"/>
  <c r="CA7" i="17" s="1"/>
  <c r="AN47" i="1"/>
  <c r="BY7" i="17" s="1"/>
  <c r="AP47" i="1"/>
  <c r="BW7" i="17" s="1"/>
  <c r="AR47" i="1"/>
  <c r="BU7" i="17" s="1"/>
  <c r="AT47" i="1"/>
  <c r="BS7" i="17" s="1"/>
  <c r="AV47" i="1"/>
  <c r="BQ7" i="17" s="1"/>
  <c r="AX47" i="1"/>
  <c r="BO7" i="17" s="1"/>
  <c r="AZ47" i="1"/>
  <c r="BM7" i="17" s="1"/>
  <c r="BB47" i="1"/>
  <c r="BK7" i="17" s="1"/>
  <c r="BD47" i="1"/>
  <c r="BI7" i="17" s="1"/>
  <c r="BF47" i="1"/>
  <c r="BG7" i="17" s="1"/>
  <c r="BH47" i="1"/>
  <c r="BE7" i="17" s="1"/>
  <c r="BJ47" i="1"/>
  <c r="BC7" i="17" s="1"/>
  <c r="BL47" i="1"/>
  <c r="BA7" i="17" s="1"/>
  <c r="BN47" i="1"/>
  <c r="AY7" i="17" s="1"/>
  <c r="BP47" i="1"/>
  <c r="AW7" i="17" s="1"/>
  <c r="BR47" i="1"/>
  <c r="BT47"/>
  <c r="AS7" i="17" s="1"/>
  <c r="BV47" i="1"/>
  <c r="AQ7" i="17" s="1"/>
  <c r="BX47" i="1"/>
  <c r="AO7" i="17" s="1"/>
  <c r="BZ47" i="1"/>
  <c r="AM7" i="17" s="1"/>
  <c r="CB47" i="1"/>
  <c r="AK7" i="17" s="1"/>
  <c r="CD47" i="1"/>
  <c r="AI7" i="17" s="1"/>
  <c r="CF47" i="1"/>
  <c r="AG7" i="17" s="1"/>
  <c r="AD9"/>
  <c r="CH51" i="1"/>
  <c r="AE9" i="17" s="1"/>
  <c r="M51" i="1"/>
  <c r="CZ9" i="17" s="1"/>
  <c r="O51" i="1"/>
  <c r="CX9" i="17" s="1"/>
  <c r="Q51" i="1"/>
  <c r="CV9" i="17" s="1"/>
  <c r="S51" i="1"/>
  <c r="CT9" i="17" s="1"/>
  <c r="U51" i="1"/>
  <c r="W51"/>
  <c r="CP9" i="17" s="1"/>
  <c r="Y51" i="1"/>
  <c r="AA51"/>
  <c r="CL9" i="17" s="1"/>
  <c r="AC51" i="1"/>
  <c r="AE51"/>
  <c r="CH9" i="17" s="1"/>
  <c r="AG51" i="1"/>
  <c r="AI51"/>
  <c r="CD9" i="17" s="1"/>
  <c r="AK51" i="1"/>
  <c r="AM51"/>
  <c r="BZ9" i="17" s="1"/>
  <c r="AO51" i="1"/>
  <c r="AQ51"/>
  <c r="BV9" i="17" s="1"/>
  <c r="AS51" i="1"/>
  <c r="AU51"/>
  <c r="BR9" i="17" s="1"/>
  <c r="AW51" i="1"/>
  <c r="AY51"/>
  <c r="BN9" i="17" s="1"/>
  <c r="BA51" i="1"/>
  <c r="BC51"/>
  <c r="BJ9" i="17" s="1"/>
  <c r="BE51" i="1"/>
  <c r="BG51"/>
  <c r="BF9" i="17" s="1"/>
  <c r="BI51" i="1"/>
  <c r="BK51"/>
  <c r="BB9" i="17" s="1"/>
  <c r="BM51" i="1"/>
  <c r="BO51"/>
  <c r="AX9" i="17" s="1"/>
  <c r="BQ51" i="1"/>
  <c r="BS51"/>
  <c r="AT9" i="17" s="1"/>
  <c r="BU51" i="1"/>
  <c r="BW51"/>
  <c r="AP9" i="17" s="1"/>
  <c r="BY51" i="1"/>
  <c r="CA51"/>
  <c r="AL9" i="17" s="1"/>
  <c r="CC51" i="1"/>
  <c r="CE51"/>
  <c r="AH9" i="17" s="1"/>
  <c r="CG51" i="1"/>
  <c r="N51"/>
  <c r="CY9" i="17" s="1"/>
  <c r="P51" i="1"/>
  <c r="CW9" i="17" s="1"/>
  <c r="R51" i="1"/>
  <c r="CU9" i="17" s="1"/>
  <c r="T51" i="1"/>
  <c r="CS9" i="17" s="1"/>
  <c r="V51" i="1"/>
  <c r="X51"/>
  <c r="CO9" i="17" s="1"/>
  <c r="Z51" i="1"/>
  <c r="CM9" i="17" s="1"/>
  <c r="AB51" i="1"/>
  <c r="CK9" i="17" s="1"/>
  <c r="AD51" i="1"/>
  <c r="CI9" i="17" s="1"/>
  <c r="AF51" i="1"/>
  <c r="CG9" i="17" s="1"/>
  <c r="AH51" i="1"/>
  <c r="CE9" i="17" s="1"/>
  <c r="AJ51" i="1"/>
  <c r="CC9" i="17" s="1"/>
  <c r="AL51" i="1"/>
  <c r="AN51"/>
  <c r="BY9" i="17" s="1"/>
  <c r="AP51" i="1"/>
  <c r="BW9" i="17" s="1"/>
  <c r="AR51" i="1"/>
  <c r="BU9" i="17" s="1"/>
  <c r="AT51" i="1"/>
  <c r="BS9" i="17" s="1"/>
  <c r="AV51" i="1"/>
  <c r="BQ9" i="17" s="1"/>
  <c r="AX51" i="1"/>
  <c r="BO9" i="17" s="1"/>
  <c r="AZ51" i="1"/>
  <c r="BM9" i="17" s="1"/>
  <c r="BB51" i="1"/>
  <c r="BD51"/>
  <c r="BI9" i="17" s="1"/>
  <c r="BF51" i="1"/>
  <c r="BG9" i="17" s="1"/>
  <c r="BH51" i="1"/>
  <c r="BE9" i="17" s="1"/>
  <c r="BJ51" i="1"/>
  <c r="BC9" i="17" s="1"/>
  <c r="BL51" i="1"/>
  <c r="BA9" i="17" s="1"/>
  <c r="BN51" i="1"/>
  <c r="AY9" i="17" s="1"/>
  <c r="BP51" i="1"/>
  <c r="AW9" i="17" s="1"/>
  <c r="BR51" i="1"/>
  <c r="BT51"/>
  <c r="AS9" i="17" s="1"/>
  <c r="BV51" i="1"/>
  <c r="AQ9" i="17" s="1"/>
  <c r="BX51" i="1"/>
  <c r="AO9" i="17" s="1"/>
  <c r="BZ51" i="1"/>
  <c r="AM9" i="17" s="1"/>
  <c r="CB51" i="1"/>
  <c r="AK9" i="17" s="1"/>
  <c r="CD51" i="1"/>
  <c r="AI9" i="17" s="1"/>
  <c r="CF51" i="1"/>
  <c r="AG9" i="17" s="1"/>
  <c r="AD13"/>
  <c r="CH57" i="1"/>
  <c r="AE13" i="17" s="1"/>
  <c r="DA13"/>
  <c r="N57" i="1"/>
  <c r="CY13" i="17" s="1"/>
  <c r="P57" i="1"/>
  <c r="CW13" i="17" s="1"/>
  <c r="R57" i="1"/>
  <c r="CU13" i="17" s="1"/>
  <c r="T57" i="1"/>
  <c r="CS13" i="17" s="1"/>
  <c r="V57" i="1"/>
  <c r="CQ13" i="17" s="1"/>
  <c r="X57" i="1"/>
  <c r="CO13" i="17" s="1"/>
  <c r="Z57" i="1"/>
  <c r="CM13" i="17" s="1"/>
  <c r="AB57" i="1"/>
  <c r="CK13" i="17" s="1"/>
  <c r="AD57" i="1"/>
  <c r="CI13" i="17" s="1"/>
  <c r="AF57" i="1"/>
  <c r="CG13" i="17" s="1"/>
  <c r="AH57" i="1"/>
  <c r="CE13" i="17" s="1"/>
  <c r="AJ57" i="1"/>
  <c r="CC13" i="17" s="1"/>
  <c r="AL57" i="1"/>
  <c r="CA13" i="17" s="1"/>
  <c r="AN57" i="1"/>
  <c r="BY13" i="17" s="1"/>
  <c r="AP57" i="1"/>
  <c r="BW13" i="17" s="1"/>
  <c r="AR57" i="1"/>
  <c r="BU13" i="17" s="1"/>
  <c r="AT57" i="1"/>
  <c r="BS13" i="17" s="1"/>
  <c r="AV57" i="1"/>
  <c r="BQ13" i="17" s="1"/>
  <c r="AX57" i="1"/>
  <c r="BO13" i="17" s="1"/>
  <c r="AZ57" i="1"/>
  <c r="BM13" i="17" s="1"/>
  <c r="BB57" i="1"/>
  <c r="BK13" i="17" s="1"/>
  <c r="BD57" i="1"/>
  <c r="BI13" i="17" s="1"/>
  <c r="BF57" i="1"/>
  <c r="BG13" i="17" s="1"/>
  <c r="BH57" i="1"/>
  <c r="BE13" i="17" s="1"/>
  <c r="BJ57" i="1"/>
  <c r="BC13" i="17" s="1"/>
  <c r="BL57" i="1"/>
  <c r="BA13" i="17" s="1"/>
  <c r="BN57" i="1"/>
  <c r="AY13" i="17" s="1"/>
  <c r="BP57" i="1"/>
  <c r="AW13" i="17" s="1"/>
  <c r="BR57" i="1"/>
  <c r="AU13" i="17" s="1"/>
  <c r="BT57" i="1"/>
  <c r="AS13" i="17" s="1"/>
  <c r="BV57" i="1"/>
  <c r="AQ13" i="17" s="1"/>
  <c r="BX57" i="1"/>
  <c r="AO13" i="17" s="1"/>
  <c r="BZ57" i="1"/>
  <c r="AM13" i="17" s="1"/>
  <c r="CB57" i="1"/>
  <c r="AK13" i="17" s="1"/>
  <c r="CD57" i="1"/>
  <c r="AI13" i="17" s="1"/>
  <c r="CF57" i="1"/>
  <c r="AG13" i="17" s="1"/>
  <c r="M57" i="1"/>
  <c r="CZ13" i="17" s="1"/>
  <c r="O57" i="1"/>
  <c r="Q57"/>
  <c r="CV13" i="17" s="1"/>
  <c r="S57" i="1"/>
  <c r="CT13" i="17" s="1"/>
  <c r="U57" i="1"/>
  <c r="CR13" i="17" s="1"/>
  <c r="W57" i="1"/>
  <c r="Y57"/>
  <c r="CN13" i="17" s="1"/>
  <c r="AA57" i="1"/>
  <c r="CL13" i="17" s="1"/>
  <c r="AC57" i="1"/>
  <c r="CJ13" i="17" s="1"/>
  <c r="AE57" i="1"/>
  <c r="AG57"/>
  <c r="CF13" i="17" s="1"/>
  <c r="AI57" i="1"/>
  <c r="CD13" i="17" s="1"/>
  <c r="AK57" i="1"/>
  <c r="CB13" i="17" s="1"/>
  <c r="AM57" i="1"/>
  <c r="AO57"/>
  <c r="BX13" i="17" s="1"/>
  <c r="AQ57" i="1"/>
  <c r="BV13" i="17" s="1"/>
  <c r="AS57" i="1"/>
  <c r="BT13" i="17" s="1"/>
  <c r="AU57" i="1"/>
  <c r="AW57"/>
  <c r="BP13" i="17" s="1"/>
  <c r="AY57" i="1"/>
  <c r="BN13" i="17" s="1"/>
  <c r="BA57" i="1"/>
  <c r="BL13" i="17" s="1"/>
  <c r="BC57" i="1"/>
  <c r="BE57"/>
  <c r="BH13" i="17" s="1"/>
  <c r="BG57" i="1"/>
  <c r="BF13" i="17" s="1"/>
  <c r="BI57" i="1"/>
  <c r="BD13" i="17" s="1"/>
  <c r="BK57" i="1"/>
  <c r="BM57"/>
  <c r="AZ13" i="17" s="1"/>
  <c r="BO57" i="1"/>
  <c r="AX13" i="17" s="1"/>
  <c r="BQ57" i="1"/>
  <c r="AV13" i="17" s="1"/>
  <c r="BS57" i="1"/>
  <c r="BU57"/>
  <c r="AR13" i="17" s="1"/>
  <c r="BW57" i="1"/>
  <c r="AP13" i="17" s="1"/>
  <c r="BY57" i="1"/>
  <c r="AN13" i="17" s="1"/>
  <c r="CA57" i="1"/>
  <c r="CC57"/>
  <c r="AJ13" i="17" s="1"/>
  <c r="CE57" i="1"/>
  <c r="AH13" i="17" s="1"/>
  <c r="CG57" i="1"/>
  <c r="AF13" i="17" s="1"/>
  <c r="AD15"/>
  <c r="CH61" i="1"/>
  <c r="AE15" i="17" s="1"/>
  <c r="DA15"/>
  <c r="N61" i="1"/>
  <c r="CY15" i="17" s="1"/>
  <c r="P61" i="1"/>
  <c r="CW15" i="17" s="1"/>
  <c r="R61" i="1"/>
  <c r="CU15" i="17" s="1"/>
  <c r="T61" i="1"/>
  <c r="V61"/>
  <c r="CQ15" i="17" s="1"/>
  <c r="X61" i="1"/>
  <c r="CO15" i="17" s="1"/>
  <c r="Z61" i="1"/>
  <c r="CM15" i="17" s="1"/>
  <c r="AB61" i="1"/>
  <c r="AD61"/>
  <c r="CI15" i="17" s="1"/>
  <c r="AF61" i="1"/>
  <c r="CG15" i="17" s="1"/>
  <c r="AH61" i="1"/>
  <c r="CE15" i="17" s="1"/>
  <c r="AJ61" i="1"/>
  <c r="AL61"/>
  <c r="CA15" i="17" s="1"/>
  <c r="AN61" i="1"/>
  <c r="BY15" i="17" s="1"/>
  <c r="AP61" i="1"/>
  <c r="BW15" i="17" s="1"/>
  <c r="AR61" i="1"/>
  <c r="AT61"/>
  <c r="BS15" i="17" s="1"/>
  <c r="AV61" i="1"/>
  <c r="BQ15" i="17" s="1"/>
  <c r="AX61" i="1"/>
  <c r="BO15" i="17" s="1"/>
  <c r="AZ61" i="1"/>
  <c r="BB61"/>
  <c r="BK15" i="17" s="1"/>
  <c r="BD61" i="1"/>
  <c r="BI15" i="17" s="1"/>
  <c r="BF61" i="1"/>
  <c r="BG15" i="17" s="1"/>
  <c r="BH61" i="1"/>
  <c r="BJ61"/>
  <c r="BC15" i="17" s="1"/>
  <c r="BL61" i="1"/>
  <c r="BA15" i="17" s="1"/>
  <c r="BN61" i="1"/>
  <c r="AY15" i="17" s="1"/>
  <c r="BP61" i="1"/>
  <c r="BR61"/>
  <c r="AU15" i="17" s="1"/>
  <c r="BT61" i="1"/>
  <c r="AS15" i="17" s="1"/>
  <c r="BV61" i="1"/>
  <c r="AQ15" i="17" s="1"/>
  <c r="BX61" i="1"/>
  <c r="BZ61"/>
  <c r="AM15" i="17" s="1"/>
  <c r="CB61" i="1"/>
  <c r="AK15" i="17" s="1"/>
  <c r="CD61" i="1"/>
  <c r="AI15" i="17" s="1"/>
  <c r="CF61" i="1"/>
  <c r="M61"/>
  <c r="CZ15" i="17" s="1"/>
  <c r="O61" i="1"/>
  <c r="CX15" i="17" s="1"/>
  <c r="Q61" i="1"/>
  <c r="CV15" i="17" s="1"/>
  <c r="S61" i="1"/>
  <c r="CT15" i="17" s="1"/>
  <c r="U61" i="1"/>
  <c r="CR15" i="17" s="1"/>
  <c r="W61" i="1"/>
  <c r="CP15" i="17" s="1"/>
  <c r="Y61" i="1"/>
  <c r="CN15" i="17" s="1"/>
  <c r="AA61" i="1"/>
  <c r="CL15" i="17" s="1"/>
  <c r="AC61" i="1"/>
  <c r="CJ15" i="17" s="1"/>
  <c r="AE61" i="1"/>
  <c r="CH15" i="17" s="1"/>
  <c r="AG61" i="1"/>
  <c r="CF15" i="17" s="1"/>
  <c r="AI61" i="1"/>
  <c r="CD15" i="17" s="1"/>
  <c r="AK61" i="1"/>
  <c r="CB15" i="17" s="1"/>
  <c r="AM61" i="1"/>
  <c r="BZ15" i="17" s="1"/>
  <c r="AO61" i="1"/>
  <c r="BX15" i="17" s="1"/>
  <c r="AQ61" i="1"/>
  <c r="BV15" i="17" s="1"/>
  <c r="AS61" i="1"/>
  <c r="BT15" i="17" s="1"/>
  <c r="AU61" i="1"/>
  <c r="BR15" i="17" s="1"/>
  <c r="AW61" i="1"/>
  <c r="BP15" i="17" s="1"/>
  <c r="AY61" i="1"/>
  <c r="BN15" i="17" s="1"/>
  <c r="BA61" i="1"/>
  <c r="BL15" i="17" s="1"/>
  <c r="BC61" i="1"/>
  <c r="BJ15" i="17" s="1"/>
  <c r="BE61" i="1"/>
  <c r="BH15" i="17" s="1"/>
  <c r="BG61" i="1"/>
  <c r="BF15" i="17" s="1"/>
  <c r="BI61" i="1"/>
  <c r="BD15" i="17" s="1"/>
  <c r="BK61" i="1"/>
  <c r="BB15" i="17" s="1"/>
  <c r="BM61" i="1"/>
  <c r="AZ15" i="17" s="1"/>
  <c r="BO61" i="1"/>
  <c r="AX15" i="17" s="1"/>
  <c r="BQ61" i="1"/>
  <c r="AV15" i="17" s="1"/>
  <c r="BS61" i="1"/>
  <c r="AT15" i="17" s="1"/>
  <c r="BU61" i="1"/>
  <c r="AR15" i="17" s="1"/>
  <c r="BW61" i="1"/>
  <c r="AP15" i="17" s="1"/>
  <c r="BY61" i="1"/>
  <c r="AN15" i="17" s="1"/>
  <c r="CA61" i="1"/>
  <c r="AL15" i="17" s="1"/>
  <c r="CC61" i="1"/>
  <c r="AJ15" i="17" s="1"/>
  <c r="CE61" i="1"/>
  <c r="AH15" i="17" s="1"/>
  <c r="CG61" i="1"/>
  <c r="AF15" i="17" s="1"/>
  <c r="AD17"/>
  <c r="CH64" i="1"/>
  <c r="AE17" i="17" s="1"/>
  <c r="DA17"/>
  <c r="N64" i="1"/>
  <c r="CY17" i="17" s="1"/>
  <c r="P64" i="1"/>
  <c r="R64"/>
  <c r="CU17" i="17" s="1"/>
  <c r="T64" i="1"/>
  <c r="CS17" i="17" s="1"/>
  <c r="M64" i="1"/>
  <c r="CZ17" i="17" s="1"/>
  <c r="O64" i="1"/>
  <c r="Q64"/>
  <c r="CV17" i="17" s="1"/>
  <c r="S64" i="1"/>
  <c r="CT17" i="17" s="1"/>
  <c r="U64" i="1"/>
  <c r="CR17" i="17" s="1"/>
  <c r="W64" i="1"/>
  <c r="Y64"/>
  <c r="CN17" i="17" s="1"/>
  <c r="AA64" i="1"/>
  <c r="CL17" i="17" s="1"/>
  <c r="AC64" i="1"/>
  <c r="CJ17" i="17" s="1"/>
  <c r="AE64" i="1"/>
  <c r="AG64"/>
  <c r="CF17" i="17" s="1"/>
  <c r="AI64" i="1"/>
  <c r="CD17" i="17" s="1"/>
  <c r="AK64" i="1"/>
  <c r="CB17" i="17" s="1"/>
  <c r="AM64" i="1"/>
  <c r="AO64"/>
  <c r="BX17" i="17" s="1"/>
  <c r="AQ64" i="1"/>
  <c r="BV17" i="17" s="1"/>
  <c r="AS64" i="1"/>
  <c r="BT17" i="17" s="1"/>
  <c r="AU64" i="1"/>
  <c r="AW64"/>
  <c r="BP17" i="17" s="1"/>
  <c r="AY64" i="1"/>
  <c r="BN17" i="17" s="1"/>
  <c r="BA64" i="1"/>
  <c r="BL17" i="17" s="1"/>
  <c r="BC64" i="1"/>
  <c r="BE64"/>
  <c r="BH17" i="17" s="1"/>
  <c r="BG64" i="1"/>
  <c r="BF17" i="17" s="1"/>
  <c r="BI64" i="1"/>
  <c r="BD17" i="17" s="1"/>
  <c r="BK64" i="1"/>
  <c r="BM64"/>
  <c r="AZ17" i="17" s="1"/>
  <c r="BO64" i="1"/>
  <c r="AX17" i="17" s="1"/>
  <c r="X64" i="1"/>
  <c r="CO17" i="17" s="1"/>
  <c r="AB64" i="1"/>
  <c r="AF64"/>
  <c r="CG17" i="17" s="1"/>
  <c r="AJ64" i="1"/>
  <c r="CC17" i="17" s="1"/>
  <c r="AN64" i="1"/>
  <c r="BY17" i="17" s="1"/>
  <c r="AR64" i="1"/>
  <c r="AV64"/>
  <c r="BQ17" i="17" s="1"/>
  <c r="AZ64" i="1"/>
  <c r="BM17" i="17" s="1"/>
  <c r="BD64" i="1"/>
  <c r="BI17" i="17" s="1"/>
  <c r="BH64" i="1"/>
  <c r="BL64"/>
  <c r="BA17" i="17" s="1"/>
  <c r="BP64" i="1"/>
  <c r="AW17" i="17" s="1"/>
  <c r="BR64" i="1"/>
  <c r="AU17" i="17" s="1"/>
  <c r="BT64" i="1"/>
  <c r="AS17" i="17" s="1"/>
  <c r="BV64" i="1"/>
  <c r="AQ17" i="17" s="1"/>
  <c r="BX64" i="1"/>
  <c r="BZ64"/>
  <c r="AM17" i="17" s="1"/>
  <c r="CB64" i="1"/>
  <c r="CD64"/>
  <c r="AI17" i="17" s="1"/>
  <c r="CF64" i="1"/>
  <c r="AG17" i="17" s="1"/>
  <c r="V64" i="1"/>
  <c r="CQ17" i="17" s="1"/>
  <c r="Z64" i="1"/>
  <c r="CM17" i="17" s="1"/>
  <c r="AD64" i="1"/>
  <c r="CI17" i="17" s="1"/>
  <c r="AH64" i="1"/>
  <c r="CE17" i="17" s="1"/>
  <c r="AL64" i="1"/>
  <c r="CA17" i="17" s="1"/>
  <c r="AP64" i="1"/>
  <c r="BW17" i="17" s="1"/>
  <c r="AT64" i="1"/>
  <c r="BS17" i="17" s="1"/>
  <c r="AX64" i="1"/>
  <c r="BO17" i="17" s="1"/>
  <c r="BB64" i="1"/>
  <c r="BK17" i="17" s="1"/>
  <c r="BF64" i="1"/>
  <c r="BG17" i="17" s="1"/>
  <c r="BJ64" i="1"/>
  <c r="BC17" i="17" s="1"/>
  <c r="BN64" i="1"/>
  <c r="AY17" i="17" s="1"/>
  <c r="BQ64" i="1"/>
  <c r="AV17" i="17" s="1"/>
  <c r="BS64" i="1"/>
  <c r="BU64"/>
  <c r="AR17" i="17" s="1"/>
  <c r="BW64" i="1"/>
  <c r="AP17" i="17" s="1"/>
  <c r="BY64" i="1"/>
  <c r="AN17" i="17" s="1"/>
  <c r="CA64" i="1"/>
  <c r="CC64"/>
  <c r="AJ17" i="17" s="1"/>
  <c r="CE64" i="1"/>
  <c r="AH17" i="17" s="1"/>
  <c r="CG64" i="1"/>
  <c r="AF17" i="17" s="1"/>
  <c r="AD19"/>
  <c r="CH68" i="1"/>
  <c r="AE19" i="17" s="1"/>
  <c r="DA19"/>
  <c r="N68" i="1"/>
  <c r="CY19" i="17" s="1"/>
  <c r="P68" i="1"/>
  <c r="R68"/>
  <c r="CU19" i="17" s="1"/>
  <c r="T68" i="1"/>
  <c r="CS19" i="17" s="1"/>
  <c r="V68" i="1"/>
  <c r="CQ19" i="17" s="1"/>
  <c r="X68" i="1"/>
  <c r="Z68"/>
  <c r="CM19" i="17" s="1"/>
  <c r="AB68" i="1"/>
  <c r="CK19" i="17" s="1"/>
  <c r="AD68" i="1"/>
  <c r="CI19" i="17" s="1"/>
  <c r="AF68" i="1"/>
  <c r="AH68"/>
  <c r="CE19" i="17" s="1"/>
  <c r="AJ68" i="1"/>
  <c r="CC19" i="17" s="1"/>
  <c r="AL68" i="1"/>
  <c r="CA19" i="17" s="1"/>
  <c r="AN68" i="1"/>
  <c r="AP68"/>
  <c r="BW19" i="17" s="1"/>
  <c r="AR68" i="1"/>
  <c r="BU19" i="17" s="1"/>
  <c r="AT68" i="1"/>
  <c r="BS19" i="17" s="1"/>
  <c r="AV68" i="1"/>
  <c r="AX68"/>
  <c r="BO19" i="17" s="1"/>
  <c r="AZ68" i="1"/>
  <c r="BM19" i="17" s="1"/>
  <c r="BB68" i="1"/>
  <c r="BK19" i="17" s="1"/>
  <c r="BD68" i="1"/>
  <c r="BF68"/>
  <c r="BG19" i="17" s="1"/>
  <c r="BH68" i="1"/>
  <c r="BE19" i="17" s="1"/>
  <c r="BJ68" i="1"/>
  <c r="BC19" i="17" s="1"/>
  <c r="BL68" i="1"/>
  <c r="BN68"/>
  <c r="AY19" i="17" s="1"/>
  <c r="BP68" i="1"/>
  <c r="AW19" i="17" s="1"/>
  <c r="BR68" i="1"/>
  <c r="AU19" i="17" s="1"/>
  <c r="BT68" i="1"/>
  <c r="BV68"/>
  <c r="AQ19" i="17" s="1"/>
  <c r="BX68" i="1"/>
  <c r="AO19" i="17" s="1"/>
  <c r="BZ68" i="1"/>
  <c r="AM19" i="17" s="1"/>
  <c r="CB68" i="1"/>
  <c r="CD68"/>
  <c r="AI19" i="17" s="1"/>
  <c r="CF68" i="1"/>
  <c r="AG19" i="17" s="1"/>
  <c r="M68" i="1"/>
  <c r="CZ19" i="17" s="1"/>
  <c r="O68" i="1"/>
  <c r="Q68"/>
  <c r="CV19" i="17" s="1"/>
  <c r="S68" i="1"/>
  <c r="CT19" i="17" s="1"/>
  <c r="U68" i="1"/>
  <c r="CR19" i="17" s="1"/>
  <c r="W68" i="1"/>
  <c r="Y68"/>
  <c r="CN19" i="17" s="1"/>
  <c r="AA68" i="1"/>
  <c r="CL19" i="17" s="1"/>
  <c r="AC68" i="1"/>
  <c r="CJ19" i="17" s="1"/>
  <c r="AE68" i="1"/>
  <c r="AG68"/>
  <c r="CF19" i="17" s="1"/>
  <c r="AI68" i="1"/>
  <c r="CD19" i="17" s="1"/>
  <c r="AK68" i="1"/>
  <c r="CB19" i="17" s="1"/>
  <c r="AM68" i="1"/>
  <c r="AO68"/>
  <c r="BX19" i="17" s="1"/>
  <c r="AQ68" i="1"/>
  <c r="BV19" i="17" s="1"/>
  <c r="AS68" i="1"/>
  <c r="BT19" i="17" s="1"/>
  <c r="AU68" i="1"/>
  <c r="AW68"/>
  <c r="BP19" i="17" s="1"/>
  <c r="AY68" i="1"/>
  <c r="BN19" i="17" s="1"/>
  <c r="BA68" i="1"/>
  <c r="BL19" i="17" s="1"/>
  <c r="BC68" i="1"/>
  <c r="BE68"/>
  <c r="BH19" i="17" s="1"/>
  <c r="BG68" i="1"/>
  <c r="BF19" i="17" s="1"/>
  <c r="BI68" i="1"/>
  <c r="BD19" i="17" s="1"/>
  <c r="BK68" i="1"/>
  <c r="BM68"/>
  <c r="AZ19" i="17" s="1"/>
  <c r="BO68" i="1"/>
  <c r="AX19" i="17" s="1"/>
  <c r="BQ68" i="1"/>
  <c r="AV19" i="17" s="1"/>
  <c r="BS68" i="1"/>
  <c r="BU68"/>
  <c r="AR19" i="17" s="1"/>
  <c r="BW68" i="1"/>
  <c r="AP19" i="17" s="1"/>
  <c r="BY68" i="1"/>
  <c r="AN19" i="17" s="1"/>
  <c r="CA68" i="1"/>
  <c r="CC68"/>
  <c r="AJ19" i="17" s="1"/>
  <c r="CE68" i="1"/>
  <c r="AH19" i="17" s="1"/>
  <c r="CG68" i="1"/>
  <c r="AF19" i="17" s="1"/>
  <c r="DA4"/>
  <c r="N42" i="1"/>
  <c r="CY4" i="17" s="1"/>
  <c r="P42" i="1"/>
  <c r="R42"/>
  <c r="CU4" i="17" s="1"/>
  <c r="T42" i="1"/>
  <c r="CS4" i="17" s="1"/>
  <c r="V42" i="1"/>
  <c r="CQ4" i="17" s="1"/>
  <c r="X42" i="1"/>
  <c r="Z42"/>
  <c r="CM4" i="17" s="1"/>
  <c r="AB42" i="1"/>
  <c r="CK4" i="17" s="1"/>
  <c r="AD42" i="1"/>
  <c r="CI4" i="17" s="1"/>
  <c r="AF42" i="1"/>
  <c r="AH42"/>
  <c r="CE4" i="17" s="1"/>
  <c r="AJ42" i="1"/>
  <c r="CC4" i="17" s="1"/>
  <c r="AL42" i="1"/>
  <c r="CA4" i="17" s="1"/>
  <c r="AN42" i="1"/>
  <c r="AP42"/>
  <c r="BW4" i="17" s="1"/>
  <c r="AR42" i="1"/>
  <c r="BU4" i="17" s="1"/>
  <c r="AT42" i="1"/>
  <c r="BS4" i="17" s="1"/>
  <c r="AV42" i="1"/>
  <c r="AX42"/>
  <c r="BO4" i="17" s="1"/>
  <c r="AZ42" i="1"/>
  <c r="BM4" i="17" s="1"/>
  <c r="BB42" i="1"/>
  <c r="BK4" i="17" s="1"/>
  <c r="BD42" i="1"/>
  <c r="BF42"/>
  <c r="BG4" i="17" s="1"/>
  <c r="BH42" i="1"/>
  <c r="BE4" i="17" s="1"/>
  <c r="BJ42" i="1"/>
  <c r="BC4" i="17" s="1"/>
  <c r="BL42" i="1"/>
  <c r="BN42"/>
  <c r="AY4" i="17" s="1"/>
  <c r="BP42" i="1"/>
  <c r="AW4" i="17" s="1"/>
  <c r="BR42" i="1"/>
  <c r="AU4" i="17" s="1"/>
  <c r="BT42" i="1"/>
  <c r="BV42"/>
  <c r="AQ4" i="17" s="1"/>
  <c r="BX42" i="1"/>
  <c r="AO4" i="17" s="1"/>
  <c r="BZ42" i="1"/>
  <c r="AM4" i="17" s="1"/>
  <c r="CB42" i="1"/>
  <c r="CD42"/>
  <c r="AI4" i="17" s="1"/>
  <c r="CF42" i="1"/>
  <c r="AD4" i="17"/>
  <c r="CH42" i="1"/>
  <c r="CG42"/>
  <c r="AF4" i="17" s="1"/>
  <c r="M42" i="1"/>
  <c r="CZ4" i="17" s="1"/>
  <c r="O42" i="1"/>
  <c r="CX4" i="17" s="1"/>
  <c r="Q42" i="1"/>
  <c r="S42"/>
  <c r="CT4" i="17" s="1"/>
  <c r="U42" i="1"/>
  <c r="CR4" i="17" s="1"/>
  <c r="W42" i="1"/>
  <c r="CP4" i="17" s="1"/>
  <c r="Y42" i="1"/>
  <c r="AA42"/>
  <c r="CL4" i="17" s="1"/>
  <c r="AC42" i="1"/>
  <c r="CJ4" i="17" s="1"/>
  <c r="AE42" i="1"/>
  <c r="CH4" i="17" s="1"/>
  <c r="AG42" i="1"/>
  <c r="AI42"/>
  <c r="CD4" i="17" s="1"/>
  <c r="AK42" i="1"/>
  <c r="CB4" i="17" s="1"/>
  <c r="AM42" i="1"/>
  <c r="BZ4" i="17" s="1"/>
  <c r="AO42" i="1"/>
  <c r="AQ42"/>
  <c r="BV4" i="17" s="1"/>
  <c r="AS42" i="1"/>
  <c r="BT4" i="17" s="1"/>
  <c r="AU42" i="1"/>
  <c r="BR4" i="17" s="1"/>
  <c r="AW42" i="1"/>
  <c r="AY42"/>
  <c r="BN4" i="17" s="1"/>
  <c r="BA42" i="1"/>
  <c r="BL4" i="17" s="1"/>
  <c r="BC42" i="1"/>
  <c r="BJ4" i="17" s="1"/>
  <c r="BE42" i="1"/>
  <c r="BG42"/>
  <c r="BF4" i="17" s="1"/>
  <c r="BI42" i="1"/>
  <c r="BD4" i="17" s="1"/>
  <c r="BK42" i="1"/>
  <c r="BB4" i="17" s="1"/>
  <c r="BM42" i="1"/>
  <c r="BO42"/>
  <c r="AX4" i="17" s="1"/>
  <c r="BQ42" i="1"/>
  <c r="AV4" i="17" s="1"/>
  <c r="BS42" i="1"/>
  <c r="AT4" i="17" s="1"/>
  <c r="BU42" i="1"/>
  <c r="BW42"/>
  <c r="AP4" i="17" s="1"/>
  <c r="BY42" i="1"/>
  <c r="AN4" i="17" s="1"/>
  <c r="CA42" i="1"/>
  <c r="AL4" i="17" s="1"/>
  <c r="CC42" i="1"/>
  <c r="CE42"/>
  <c r="AH4" i="17" s="1"/>
  <c r="M45" i="1"/>
  <c r="O45"/>
  <c r="CX6" i="17" s="1"/>
  <c r="Q45" i="1"/>
  <c r="S45"/>
  <c r="CT6" i="17" s="1"/>
  <c r="U45" i="1"/>
  <c r="W45"/>
  <c r="CP6" i="17" s="1"/>
  <c r="Y45" i="1"/>
  <c r="AA45"/>
  <c r="CL6" i="17" s="1"/>
  <c r="AC45" i="1"/>
  <c r="AE45"/>
  <c r="CH6" i="17" s="1"/>
  <c r="AG45" i="1"/>
  <c r="AI45"/>
  <c r="CD6" i="17" s="1"/>
  <c r="AK45" i="1"/>
  <c r="AM45"/>
  <c r="BZ6" i="17" s="1"/>
  <c r="AO45" i="1"/>
  <c r="AQ45"/>
  <c r="BV6" i="17" s="1"/>
  <c r="AS45" i="1"/>
  <c r="AU45"/>
  <c r="BR6" i="17" s="1"/>
  <c r="AW45" i="1"/>
  <c r="AY45"/>
  <c r="BN6" i="17" s="1"/>
  <c r="BA45" i="1"/>
  <c r="BC45"/>
  <c r="BJ6" i="17" s="1"/>
  <c r="BE45" i="1"/>
  <c r="BG45"/>
  <c r="BF6" i="17" s="1"/>
  <c r="BI45" i="1"/>
  <c r="BK45"/>
  <c r="BB6" i="17" s="1"/>
  <c r="BM45" i="1"/>
  <c r="BO45"/>
  <c r="AX6" i="17" s="1"/>
  <c r="BQ45" i="1"/>
  <c r="BS45"/>
  <c r="AT6" i="17" s="1"/>
  <c r="BU45" i="1"/>
  <c r="BW45"/>
  <c r="AP6" i="17" s="1"/>
  <c r="BY45" i="1"/>
  <c r="CA45"/>
  <c r="AL6" i="17" s="1"/>
  <c r="CC45" i="1"/>
  <c r="CE45"/>
  <c r="AH6" i="17" s="1"/>
  <c r="CG45" i="1"/>
  <c r="CH45"/>
  <c r="DA6" i="17"/>
  <c r="N45" i="1"/>
  <c r="CY6" i="17" s="1"/>
  <c r="P45" i="1"/>
  <c r="CW6" i="17" s="1"/>
  <c r="R45" i="1"/>
  <c r="CU6" i="17" s="1"/>
  <c r="T45" i="1"/>
  <c r="CS6" i="17" s="1"/>
  <c r="V45" i="1"/>
  <c r="CQ6" i="17" s="1"/>
  <c r="X45" i="1"/>
  <c r="CO6" i="17" s="1"/>
  <c r="Z45" i="1"/>
  <c r="AB45"/>
  <c r="CK6" i="17" s="1"/>
  <c r="AD45" i="1"/>
  <c r="CI6" i="17" s="1"/>
  <c r="AF45" i="1"/>
  <c r="CG6" i="17" s="1"/>
  <c r="AH45" i="1"/>
  <c r="CE6" i="17" s="1"/>
  <c r="AJ45" i="1"/>
  <c r="CC6" i="17" s="1"/>
  <c r="AL45" i="1"/>
  <c r="CA6" i="17" s="1"/>
  <c r="AN45" i="1"/>
  <c r="BY6" i="17" s="1"/>
  <c r="AP45" i="1"/>
  <c r="AR45"/>
  <c r="BU6" i="17" s="1"/>
  <c r="AT45" i="1"/>
  <c r="BS6" i="17" s="1"/>
  <c r="AV45" i="1"/>
  <c r="BQ6" i="17" s="1"/>
  <c r="AX45" i="1"/>
  <c r="BO6" i="17" s="1"/>
  <c r="AZ45" i="1"/>
  <c r="BM6" i="17" s="1"/>
  <c r="BB45" i="1"/>
  <c r="BK6" i="17" s="1"/>
  <c r="BD45" i="1"/>
  <c r="BI6" i="17" s="1"/>
  <c r="BF45" i="1"/>
  <c r="BH45"/>
  <c r="BE6" i="17" s="1"/>
  <c r="BJ45" i="1"/>
  <c r="BC6" i="17" s="1"/>
  <c r="BL45" i="1"/>
  <c r="BA6" i="17" s="1"/>
  <c r="BN45" i="1"/>
  <c r="AY6" i="17" s="1"/>
  <c r="BP45" i="1"/>
  <c r="AW6" i="17" s="1"/>
  <c r="BR45" i="1"/>
  <c r="AU6" i="17" s="1"/>
  <c r="BT45" i="1"/>
  <c r="AS6" i="17" s="1"/>
  <c r="BV45" i="1"/>
  <c r="BX45"/>
  <c r="AO6" i="17" s="1"/>
  <c r="BZ45" i="1"/>
  <c r="AM6" i="17" s="1"/>
  <c r="CB45" i="1"/>
  <c r="AK6" i="17" s="1"/>
  <c r="CD45" i="1"/>
  <c r="AI6" i="17" s="1"/>
  <c r="CF45" i="1"/>
  <c r="AG6" i="17" s="1"/>
  <c r="M49" i="1"/>
  <c r="CZ8" i="17" s="1"/>
  <c r="O49" i="1"/>
  <c r="CX8" i="17" s="1"/>
  <c r="Q49" i="1"/>
  <c r="S49"/>
  <c r="CT8" i="17" s="1"/>
  <c r="U49" i="1"/>
  <c r="CR8" i="17" s="1"/>
  <c r="W49" i="1"/>
  <c r="CP8" i="17" s="1"/>
  <c r="Y49" i="1"/>
  <c r="AA49"/>
  <c r="CL8" i="17" s="1"/>
  <c r="AC49" i="1"/>
  <c r="CJ8" i="17" s="1"/>
  <c r="AE49" i="1"/>
  <c r="CH8" i="17" s="1"/>
  <c r="AG49" i="1"/>
  <c r="AI49"/>
  <c r="CD8" i="17" s="1"/>
  <c r="AK49" i="1"/>
  <c r="CB8" i="17" s="1"/>
  <c r="AM49" i="1"/>
  <c r="BZ8" i="17" s="1"/>
  <c r="AO49" i="1"/>
  <c r="AQ49"/>
  <c r="BV8" i="17" s="1"/>
  <c r="AS49" i="1"/>
  <c r="BT8" i="17" s="1"/>
  <c r="AU49" i="1"/>
  <c r="BR8" i="17" s="1"/>
  <c r="AW49" i="1"/>
  <c r="AY49"/>
  <c r="BN8" i="17" s="1"/>
  <c r="BA49" i="1"/>
  <c r="BL8" i="17" s="1"/>
  <c r="BC49" i="1"/>
  <c r="BJ8" i="17" s="1"/>
  <c r="BE49" i="1"/>
  <c r="BG49"/>
  <c r="BF8" i="17" s="1"/>
  <c r="BI49" i="1"/>
  <c r="BD8" i="17" s="1"/>
  <c r="BK49" i="1"/>
  <c r="BB8" i="17" s="1"/>
  <c r="BM49" i="1"/>
  <c r="BO49"/>
  <c r="AX8" i="17" s="1"/>
  <c r="BQ49" i="1"/>
  <c r="AV8" i="17" s="1"/>
  <c r="BS49" i="1"/>
  <c r="AT8" i="17" s="1"/>
  <c r="BU49" i="1"/>
  <c r="BW49"/>
  <c r="AP8" i="17" s="1"/>
  <c r="BY49" i="1"/>
  <c r="AN8" i="17" s="1"/>
  <c r="CA49" i="1"/>
  <c r="AL8" i="17" s="1"/>
  <c r="CC49" i="1"/>
  <c r="CE49"/>
  <c r="AH8" i="17" s="1"/>
  <c r="CG49" i="1"/>
  <c r="AF8" i="17" s="1"/>
  <c r="CH49" i="1"/>
  <c r="AE8" i="17" s="1"/>
  <c r="DA8"/>
  <c r="N49" i="1"/>
  <c r="CY8" i="17" s="1"/>
  <c r="P49" i="1"/>
  <c r="CW8" i="17" s="1"/>
  <c r="R49" i="1"/>
  <c r="CU8" i="17" s="1"/>
  <c r="T49" i="1"/>
  <c r="CS8" i="17" s="1"/>
  <c r="V49" i="1"/>
  <c r="X49"/>
  <c r="CO8" i="17" s="1"/>
  <c r="Z49" i="1"/>
  <c r="CM8" i="17" s="1"/>
  <c r="AB49" i="1"/>
  <c r="CK8" i="17" s="1"/>
  <c r="AD49" i="1"/>
  <c r="CI8" i="17" s="1"/>
  <c r="AF49" i="1"/>
  <c r="CG8" i="17" s="1"/>
  <c r="AH49" i="1"/>
  <c r="CE8" i="17" s="1"/>
  <c r="AJ49" i="1"/>
  <c r="CC8" i="17" s="1"/>
  <c r="AL49" i="1"/>
  <c r="AN49"/>
  <c r="BY8" i="17" s="1"/>
  <c r="AP49" i="1"/>
  <c r="BW8" i="17" s="1"/>
  <c r="AR49" i="1"/>
  <c r="BU8" i="17" s="1"/>
  <c r="AT49" i="1"/>
  <c r="BS8" i="17" s="1"/>
  <c r="AV49" i="1"/>
  <c r="BQ8" i="17" s="1"/>
  <c r="AX49" i="1"/>
  <c r="BO8" i="17" s="1"/>
  <c r="AZ49" i="1"/>
  <c r="BM8" i="17" s="1"/>
  <c r="BB49" i="1"/>
  <c r="BD49"/>
  <c r="BI8" i="17" s="1"/>
  <c r="BF49" i="1"/>
  <c r="BG8" i="17" s="1"/>
  <c r="BH49" i="1"/>
  <c r="BE8" i="17" s="1"/>
  <c r="BJ49" i="1"/>
  <c r="BC8" i="17" s="1"/>
  <c r="BL49" i="1"/>
  <c r="BA8" i="17" s="1"/>
  <c r="BN49" i="1"/>
  <c r="AY8" i="17" s="1"/>
  <c r="BP49" i="1"/>
  <c r="AW8" i="17" s="1"/>
  <c r="BR49" i="1"/>
  <c r="BT49"/>
  <c r="AS8" i="17" s="1"/>
  <c r="BV49" i="1"/>
  <c r="AQ8" i="17" s="1"/>
  <c r="BX49" i="1"/>
  <c r="AO8" i="17" s="1"/>
  <c r="BZ49" i="1"/>
  <c r="AM8" i="17" s="1"/>
  <c r="CB49" i="1"/>
  <c r="AK8" i="17" s="1"/>
  <c r="CD49" i="1"/>
  <c r="AI8" i="17" s="1"/>
  <c r="CF49" i="1"/>
  <c r="AG8" i="17" s="1"/>
  <c r="AD10"/>
  <c r="CH52" i="1"/>
  <c r="AE10" i="17" s="1"/>
  <c r="DA10"/>
  <c r="N52" i="1"/>
  <c r="CY10" i="17" s="1"/>
  <c r="P52" i="1"/>
  <c r="CW10" i="17" s="1"/>
  <c r="R52" i="1"/>
  <c r="CU10" i="17" s="1"/>
  <c r="T52" i="1"/>
  <c r="V52"/>
  <c r="CQ10" i="17" s="1"/>
  <c r="X52" i="1"/>
  <c r="Z52"/>
  <c r="CM10" i="17" s="1"/>
  <c r="AB52" i="1"/>
  <c r="CK10" i="17" s="1"/>
  <c r="AD52" i="1"/>
  <c r="CI10" i="17" s="1"/>
  <c r="AF52" i="1"/>
  <c r="CG10" i="17" s="1"/>
  <c r="AH52" i="1"/>
  <c r="CE10" i="17" s="1"/>
  <c r="AJ52" i="1"/>
  <c r="AL52"/>
  <c r="CA10" i="17" s="1"/>
  <c r="AN52" i="1"/>
  <c r="BY10" i="17" s="1"/>
  <c r="O52" i="1"/>
  <c r="CX10" i="17" s="1"/>
  <c r="S52" i="1"/>
  <c r="CT10" i="17" s="1"/>
  <c r="W52" i="1"/>
  <c r="CP10" i="17" s="1"/>
  <c r="AA52" i="1"/>
  <c r="CL10" i="17" s="1"/>
  <c r="AE52" i="1"/>
  <c r="CH10" i="17" s="1"/>
  <c r="AI52" i="1"/>
  <c r="CD10" i="17" s="1"/>
  <c r="AM52" i="1"/>
  <c r="BZ10" i="17" s="1"/>
  <c r="AP52" i="1"/>
  <c r="BW10" i="17" s="1"/>
  <c r="AR52" i="1"/>
  <c r="BU10" i="17" s="1"/>
  <c r="AT52" i="1"/>
  <c r="BS10" i="17" s="1"/>
  <c r="AV52" i="1"/>
  <c r="BQ10" i="17" s="1"/>
  <c r="AX52" i="1"/>
  <c r="BO10" i="17" s="1"/>
  <c r="AZ52" i="1"/>
  <c r="BM10" i="17" s="1"/>
  <c r="BB52" i="1"/>
  <c r="BK10" i="17" s="1"/>
  <c r="BD52" i="1"/>
  <c r="BI10" i="17" s="1"/>
  <c r="BF52" i="1"/>
  <c r="BG10" i="17" s="1"/>
  <c r="BH52" i="1"/>
  <c r="BE10" i="17" s="1"/>
  <c r="BJ52" i="1"/>
  <c r="BC10" i="17" s="1"/>
  <c r="BL52" i="1"/>
  <c r="BA10" i="17" s="1"/>
  <c r="BN52" i="1"/>
  <c r="AY10" i="17" s="1"/>
  <c r="BP52" i="1"/>
  <c r="AW10" i="17" s="1"/>
  <c r="BR52" i="1"/>
  <c r="AU10" i="17" s="1"/>
  <c r="BT52" i="1"/>
  <c r="AS10" i="17" s="1"/>
  <c r="BV52" i="1"/>
  <c r="AQ10" i="17" s="1"/>
  <c r="BX52" i="1"/>
  <c r="AO10" i="17" s="1"/>
  <c r="BZ52" i="1"/>
  <c r="AM10" i="17" s="1"/>
  <c r="CB52" i="1"/>
  <c r="AK10" i="17" s="1"/>
  <c r="CD52" i="1"/>
  <c r="AI10" i="17" s="1"/>
  <c r="CF52" i="1"/>
  <c r="AG10" i="17" s="1"/>
  <c r="M52" i="1"/>
  <c r="CZ10" i="17" s="1"/>
  <c r="Q52" i="1"/>
  <c r="CV10" i="17" s="1"/>
  <c r="U52" i="1"/>
  <c r="CR10" i="17" s="1"/>
  <c r="Y52" i="1"/>
  <c r="CN10" i="17" s="1"/>
  <c r="AC52" i="1"/>
  <c r="AG52"/>
  <c r="CF10" i="17" s="1"/>
  <c r="AK52" i="1"/>
  <c r="AO52"/>
  <c r="BX10" i="17" s="1"/>
  <c r="AQ52" i="1"/>
  <c r="BV10" i="17" s="1"/>
  <c r="AS52" i="1"/>
  <c r="BT10" i="17" s="1"/>
  <c r="AU52" i="1"/>
  <c r="BR10" i="17" s="1"/>
  <c r="AW52" i="1"/>
  <c r="BP10" i="17" s="1"/>
  <c r="AY52" i="1"/>
  <c r="BN10" i="17" s="1"/>
  <c r="BA52" i="1"/>
  <c r="BL10" i="17" s="1"/>
  <c r="BC52" i="1"/>
  <c r="BJ10" i="17" s="1"/>
  <c r="BE52" i="1"/>
  <c r="BH10" i="17" s="1"/>
  <c r="BG52" i="1"/>
  <c r="BF10" i="17" s="1"/>
  <c r="BI52" i="1"/>
  <c r="BD10" i="17" s="1"/>
  <c r="BK52" i="1"/>
  <c r="BB10" i="17" s="1"/>
  <c r="BM52" i="1"/>
  <c r="AZ10" i="17" s="1"/>
  <c r="BO52" i="1"/>
  <c r="AX10" i="17" s="1"/>
  <c r="BQ52" i="1"/>
  <c r="AV10" i="17" s="1"/>
  <c r="BS52" i="1"/>
  <c r="AT10" i="17" s="1"/>
  <c r="BU52" i="1"/>
  <c r="AR10" i="17" s="1"/>
  <c r="BW52" i="1"/>
  <c r="AP10" i="17" s="1"/>
  <c r="BY52" i="1"/>
  <c r="AN10" i="17" s="1"/>
  <c r="CA52" i="1"/>
  <c r="AL10" i="17" s="1"/>
  <c r="CC52" i="1"/>
  <c r="AJ10" i="17" s="1"/>
  <c r="CE52" i="1"/>
  <c r="AH10" i="17" s="1"/>
  <c r="CG52" i="1"/>
  <c r="AF10" i="17" s="1"/>
  <c r="AD12"/>
  <c r="CH56" i="1"/>
  <c r="AE12" i="17" s="1"/>
  <c r="DA12"/>
  <c r="N56" i="1"/>
  <c r="CY12" i="17" s="1"/>
  <c r="P56" i="1"/>
  <c r="CW12" i="17" s="1"/>
  <c r="R56" i="1"/>
  <c r="CU12" i="17" s="1"/>
  <c r="T56" i="1"/>
  <c r="CS12" i="17" s="1"/>
  <c r="V56" i="1"/>
  <c r="CQ12" i="17" s="1"/>
  <c r="X56" i="1"/>
  <c r="Z56"/>
  <c r="CM12" i="17" s="1"/>
  <c r="AB56" i="1"/>
  <c r="AD56"/>
  <c r="CI12" i="17" s="1"/>
  <c r="AF56" i="1"/>
  <c r="CG12" i="17" s="1"/>
  <c r="AH56" i="1"/>
  <c r="CE12" i="17" s="1"/>
  <c r="AJ56" i="1"/>
  <c r="CC12" i="17" s="1"/>
  <c r="AL56" i="1"/>
  <c r="CA12" i="17" s="1"/>
  <c r="AN56" i="1"/>
  <c r="AP56"/>
  <c r="BW12" i="17" s="1"/>
  <c r="AR56" i="1"/>
  <c r="AT56"/>
  <c r="BS12" i="17" s="1"/>
  <c r="AV56" i="1"/>
  <c r="BQ12" i="17" s="1"/>
  <c r="AX56" i="1"/>
  <c r="BO12" i="17" s="1"/>
  <c r="AZ56" i="1"/>
  <c r="BM12" i="17" s="1"/>
  <c r="BB56" i="1"/>
  <c r="BK12" i="17" s="1"/>
  <c r="BD56" i="1"/>
  <c r="BF56"/>
  <c r="BG12" i="17" s="1"/>
  <c r="BH56" i="1"/>
  <c r="BJ56"/>
  <c r="BC12" i="17" s="1"/>
  <c r="BL56" i="1"/>
  <c r="BA12" i="17" s="1"/>
  <c r="BN56" i="1"/>
  <c r="AY12" i="17" s="1"/>
  <c r="BP56" i="1"/>
  <c r="AW12" i="17" s="1"/>
  <c r="BR56" i="1"/>
  <c r="AU12" i="17" s="1"/>
  <c r="BT56" i="1"/>
  <c r="BV56"/>
  <c r="AQ12" i="17" s="1"/>
  <c r="BX56" i="1"/>
  <c r="BZ56"/>
  <c r="AM12" i="17" s="1"/>
  <c r="CB56" i="1"/>
  <c r="AK12" i="17" s="1"/>
  <c r="CD56" i="1"/>
  <c r="AI12" i="17" s="1"/>
  <c r="CF56" i="1"/>
  <c r="AG12" i="17" s="1"/>
  <c r="M56" i="1"/>
  <c r="CZ12" i="17" s="1"/>
  <c r="O56" i="1"/>
  <c r="CX12" i="17" s="1"/>
  <c r="Q56" i="1"/>
  <c r="CV12" i="17" s="1"/>
  <c r="S56" i="1"/>
  <c r="CT12" i="17" s="1"/>
  <c r="U56" i="1"/>
  <c r="CR12" i="17" s="1"/>
  <c r="W56" i="1"/>
  <c r="CP12" i="17" s="1"/>
  <c r="Y56" i="1"/>
  <c r="CN12" i="17" s="1"/>
  <c r="AA56" i="1"/>
  <c r="CL12" i="17" s="1"/>
  <c r="AC56" i="1"/>
  <c r="CJ12" i="17" s="1"/>
  <c r="AE56" i="1"/>
  <c r="CH12" i="17" s="1"/>
  <c r="AG56" i="1"/>
  <c r="CF12" i="17" s="1"/>
  <c r="AI56" i="1"/>
  <c r="CD12" i="17" s="1"/>
  <c r="AK56" i="1"/>
  <c r="CB12" i="17" s="1"/>
  <c r="AM56" i="1"/>
  <c r="BZ12" i="17" s="1"/>
  <c r="AO56" i="1"/>
  <c r="BX12" i="17" s="1"/>
  <c r="AQ56" i="1"/>
  <c r="BV12" i="17" s="1"/>
  <c r="AS56" i="1"/>
  <c r="BT12" i="17" s="1"/>
  <c r="AU56" i="1"/>
  <c r="BR12" i="17" s="1"/>
  <c r="AW56" i="1"/>
  <c r="BP12" i="17" s="1"/>
  <c r="AY56" i="1"/>
  <c r="BN12" i="17" s="1"/>
  <c r="BA56" i="1"/>
  <c r="BL12" i="17" s="1"/>
  <c r="BC56" i="1"/>
  <c r="BJ12" i="17" s="1"/>
  <c r="BE56" i="1"/>
  <c r="BH12" i="17" s="1"/>
  <c r="BG56" i="1"/>
  <c r="BF12" i="17" s="1"/>
  <c r="BI56" i="1"/>
  <c r="BD12" i="17" s="1"/>
  <c r="BK56" i="1"/>
  <c r="BB12" i="17" s="1"/>
  <c r="BM56" i="1"/>
  <c r="AZ12" i="17" s="1"/>
  <c r="BO56" i="1"/>
  <c r="AX12" i="17" s="1"/>
  <c r="BQ56" i="1"/>
  <c r="AV12" i="17" s="1"/>
  <c r="BS56" i="1"/>
  <c r="AT12" i="17" s="1"/>
  <c r="BU56" i="1"/>
  <c r="AR12" i="17" s="1"/>
  <c r="BW56" i="1"/>
  <c r="AP12" i="17" s="1"/>
  <c r="BY56" i="1"/>
  <c r="AN12" i="17" s="1"/>
  <c r="CA56" i="1"/>
  <c r="AL12" i="17" s="1"/>
  <c r="CC56" i="1"/>
  <c r="AJ12" i="17" s="1"/>
  <c r="CE56" i="1"/>
  <c r="AH12" i="17" s="1"/>
  <c r="CG56" i="1"/>
  <c r="AF12" i="17" s="1"/>
  <c r="AD14"/>
  <c r="CH59" i="1"/>
  <c r="AE14" i="17" s="1"/>
  <c r="DA14"/>
  <c r="N59" i="1"/>
  <c r="CY14" i="17" s="1"/>
  <c r="P59" i="1"/>
  <c r="CW14" i="17" s="1"/>
  <c r="R59" i="1"/>
  <c r="CU14" i="17" s="1"/>
  <c r="T59" i="1"/>
  <c r="CS14" i="17" s="1"/>
  <c r="V59" i="1"/>
  <c r="CQ14" i="17" s="1"/>
  <c r="X59" i="1"/>
  <c r="Z59"/>
  <c r="CM14" i="17" s="1"/>
  <c r="AB59" i="1"/>
  <c r="CK14" i="17" s="1"/>
  <c r="AD59" i="1"/>
  <c r="CI14" i="17" s="1"/>
  <c r="AF59" i="1"/>
  <c r="AH59"/>
  <c r="CE14" i="17" s="1"/>
  <c r="AJ59" i="1"/>
  <c r="AL59"/>
  <c r="CA14" i="17" s="1"/>
  <c r="AN59" i="1"/>
  <c r="AP59"/>
  <c r="BW14" i="17" s="1"/>
  <c r="AR59" i="1"/>
  <c r="BU14" i="17" s="1"/>
  <c r="AT59" i="1"/>
  <c r="BS14" i="17" s="1"/>
  <c r="AV59" i="1"/>
  <c r="BQ14" i="17" s="1"/>
  <c r="AX59" i="1"/>
  <c r="BO14" i="17" s="1"/>
  <c r="AZ59" i="1"/>
  <c r="BM14" i="17" s="1"/>
  <c r="BB59" i="1"/>
  <c r="BK14" i="17" s="1"/>
  <c r="BD59" i="1"/>
  <c r="BF59"/>
  <c r="BG14" i="17" s="1"/>
  <c r="BH59" i="1"/>
  <c r="BE14" i="17" s="1"/>
  <c r="BJ59" i="1"/>
  <c r="BC14" i="17" s="1"/>
  <c r="BL59" i="1"/>
  <c r="BN59"/>
  <c r="AY14" i="17" s="1"/>
  <c r="BP59" i="1"/>
  <c r="BR59"/>
  <c r="AU14" i="17" s="1"/>
  <c r="BT59" i="1"/>
  <c r="BV59"/>
  <c r="AQ14" i="17" s="1"/>
  <c r="BX59" i="1"/>
  <c r="AO14" i="17" s="1"/>
  <c r="BZ59" i="1"/>
  <c r="AM14" i="17" s="1"/>
  <c r="CB59" i="1"/>
  <c r="CD59"/>
  <c r="AI14" i="17" s="1"/>
  <c r="CF59" i="1"/>
  <c r="AG14" i="17" s="1"/>
  <c r="M59" i="1"/>
  <c r="CZ14" i="17" s="1"/>
  <c r="O59" i="1"/>
  <c r="CX14" i="17" s="1"/>
  <c r="Q59" i="1"/>
  <c r="CV14" i="17" s="1"/>
  <c r="S59" i="1"/>
  <c r="CT14" i="17" s="1"/>
  <c r="U59" i="1"/>
  <c r="CR14" i="17" s="1"/>
  <c r="W59" i="1"/>
  <c r="CP14" i="17" s="1"/>
  <c r="Y59" i="1"/>
  <c r="CN14" i="17" s="1"/>
  <c r="AA59" i="1"/>
  <c r="CL14" i="17" s="1"/>
  <c r="AC59" i="1"/>
  <c r="CJ14" i="17" s="1"/>
  <c r="AE59" i="1"/>
  <c r="CH14" i="17" s="1"/>
  <c r="AG59" i="1"/>
  <c r="CF14" i="17" s="1"/>
  <c r="AI59" i="1"/>
  <c r="CD14" i="17" s="1"/>
  <c r="AK59" i="1"/>
  <c r="CB14" i="17" s="1"/>
  <c r="AM59" i="1"/>
  <c r="BZ14" i="17" s="1"/>
  <c r="AO59" i="1"/>
  <c r="BX14" i="17" s="1"/>
  <c r="AQ59" i="1"/>
  <c r="BV14" i="17" s="1"/>
  <c r="AS59" i="1"/>
  <c r="BT14" i="17" s="1"/>
  <c r="AU59" i="1"/>
  <c r="BR14" i="17" s="1"/>
  <c r="AW59" i="1"/>
  <c r="BP14" i="17" s="1"/>
  <c r="AY59" i="1"/>
  <c r="BN14" i="17" s="1"/>
  <c r="BA59" i="1"/>
  <c r="BL14" i="17" s="1"/>
  <c r="BC59" i="1"/>
  <c r="BJ14" i="17" s="1"/>
  <c r="BE59" i="1"/>
  <c r="BH14" i="17" s="1"/>
  <c r="BG59" i="1"/>
  <c r="BF14" i="17" s="1"/>
  <c r="BI59" i="1"/>
  <c r="BD14" i="17" s="1"/>
  <c r="BK59" i="1"/>
  <c r="BB14" i="17" s="1"/>
  <c r="BM59" i="1"/>
  <c r="AZ14" i="17" s="1"/>
  <c r="BO59" i="1"/>
  <c r="AX14" i="17" s="1"/>
  <c r="BQ59" i="1"/>
  <c r="AV14" i="17" s="1"/>
  <c r="BS59" i="1"/>
  <c r="AT14" i="17" s="1"/>
  <c r="BU59" i="1"/>
  <c r="AR14" i="17" s="1"/>
  <c r="BW59" i="1"/>
  <c r="AP14" i="17" s="1"/>
  <c r="BY59" i="1"/>
  <c r="AN14" i="17" s="1"/>
  <c r="CA59" i="1"/>
  <c r="AL14" i="17" s="1"/>
  <c r="CC59" i="1"/>
  <c r="AJ14" i="17" s="1"/>
  <c r="CE59" i="1"/>
  <c r="AH14" i="17" s="1"/>
  <c r="CG59" i="1"/>
  <c r="AF14" i="17" s="1"/>
  <c r="AD16"/>
  <c r="CH63" i="1"/>
  <c r="AE16" i="17" s="1"/>
  <c r="DA16"/>
  <c r="N63" i="1"/>
  <c r="CY16" i="17" s="1"/>
  <c r="P63" i="1"/>
  <c r="CW16" i="17" s="1"/>
  <c r="R63" i="1"/>
  <c r="CU16" i="17" s="1"/>
  <c r="T63" i="1"/>
  <c r="CS16" i="17" s="1"/>
  <c r="V63" i="1"/>
  <c r="CQ16" i="17" s="1"/>
  <c r="X63" i="1"/>
  <c r="Z63"/>
  <c r="CM16" i="17" s="1"/>
  <c r="AB63" i="1"/>
  <c r="CK16" i="17" s="1"/>
  <c r="AD63" i="1"/>
  <c r="CI16" i="17" s="1"/>
  <c r="AF63" i="1"/>
  <c r="AH63"/>
  <c r="CE16" i="17" s="1"/>
  <c r="AJ63" i="1"/>
  <c r="CC16" i="17" s="1"/>
  <c r="AL63" i="1"/>
  <c r="CA16" i="17" s="1"/>
  <c r="AN63" i="1"/>
  <c r="BY16" i="17" s="1"/>
  <c r="AP63" i="1"/>
  <c r="BW16" i="17" s="1"/>
  <c r="AR63" i="1"/>
  <c r="BU16" i="17" s="1"/>
  <c r="AT63" i="1"/>
  <c r="BS16" i="17" s="1"/>
  <c r="AV63" i="1"/>
  <c r="BQ16" i="17" s="1"/>
  <c r="AX63" i="1"/>
  <c r="BO16" i="17" s="1"/>
  <c r="AZ63" i="1"/>
  <c r="BM16" i="17" s="1"/>
  <c r="BB63" i="1"/>
  <c r="BK16" i="17" s="1"/>
  <c r="BD63" i="1"/>
  <c r="BF63"/>
  <c r="BG16" i="17" s="1"/>
  <c r="BH63" i="1"/>
  <c r="BE16" i="17" s="1"/>
  <c r="BJ63" i="1"/>
  <c r="BC16" i="17" s="1"/>
  <c r="BL63" i="1"/>
  <c r="BN63"/>
  <c r="AY16" i="17" s="1"/>
  <c r="BP63" i="1"/>
  <c r="AW16" i="17" s="1"/>
  <c r="BR63" i="1"/>
  <c r="AU16" i="17" s="1"/>
  <c r="BT63" i="1"/>
  <c r="AS16" i="17" s="1"/>
  <c r="BV63" i="1"/>
  <c r="AQ16" i="17" s="1"/>
  <c r="BX63" i="1"/>
  <c r="AO16" i="17" s="1"/>
  <c r="BZ63" i="1"/>
  <c r="AM16" i="17" s="1"/>
  <c r="CB63" i="1"/>
  <c r="AK16" i="17" s="1"/>
  <c r="CD63" i="1"/>
  <c r="AI16" i="17" s="1"/>
  <c r="CF63" i="1"/>
  <c r="AG16" i="17" s="1"/>
  <c r="M63" i="1"/>
  <c r="CZ16" i="17" s="1"/>
  <c r="O63" i="1"/>
  <c r="CX16" i="17" s="1"/>
  <c r="Q63" i="1"/>
  <c r="CV16" i="17" s="1"/>
  <c r="S63" i="1"/>
  <c r="CT16" i="17" s="1"/>
  <c r="U63" i="1"/>
  <c r="CR16" i="17" s="1"/>
  <c r="W63" i="1"/>
  <c r="Y63"/>
  <c r="CN16" i="17" s="1"/>
  <c r="AA63" i="1"/>
  <c r="CL16" i="17" s="1"/>
  <c r="AC63" i="1"/>
  <c r="CJ16" i="17" s="1"/>
  <c r="AE63" i="1"/>
  <c r="CH16" i="17" s="1"/>
  <c r="AG63" i="1"/>
  <c r="CF16" i="17" s="1"/>
  <c r="AI63" i="1"/>
  <c r="CD16" i="17" s="1"/>
  <c r="AK63" i="1"/>
  <c r="CB16" i="17" s="1"/>
  <c r="AM63" i="1"/>
  <c r="AO63"/>
  <c r="BX16" i="17" s="1"/>
  <c r="AQ63" i="1"/>
  <c r="BV16" i="17" s="1"/>
  <c r="AS63" i="1"/>
  <c r="BT16" i="17" s="1"/>
  <c r="AU63" i="1"/>
  <c r="BR16" i="17" s="1"/>
  <c r="AW63" i="1"/>
  <c r="BP16" i="17" s="1"/>
  <c r="AY63" i="1"/>
  <c r="BN16" i="17" s="1"/>
  <c r="BA63" i="1"/>
  <c r="BL16" i="17" s="1"/>
  <c r="BC63" i="1"/>
  <c r="BJ16" i="17" s="1"/>
  <c r="BE63" i="1"/>
  <c r="BH16" i="17" s="1"/>
  <c r="BG63" i="1"/>
  <c r="BF16" i="17" s="1"/>
  <c r="BI63" i="1"/>
  <c r="BD16" i="17" s="1"/>
  <c r="BK63" i="1"/>
  <c r="BB16" i="17" s="1"/>
  <c r="BM63" i="1"/>
  <c r="AZ16" i="17" s="1"/>
  <c r="BO63" i="1"/>
  <c r="AX16" i="17" s="1"/>
  <c r="BQ63" i="1"/>
  <c r="AV16" i="17" s="1"/>
  <c r="BS63" i="1"/>
  <c r="AT16" i="17" s="1"/>
  <c r="BU63" i="1"/>
  <c r="AR16" i="17" s="1"/>
  <c r="BW63" i="1"/>
  <c r="AP16" i="17" s="1"/>
  <c r="BY63" i="1"/>
  <c r="AN16" i="17" s="1"/>
  <c r="CA63" i="1"/>
  <c r="AL16" i="17" s="1"/>
  <c r="CC63" i="1"/>
  <c r="AJ16" i="17" s="1"/>
  <c r="CE63" i="1"/>
  <c r="AH16" i="17" s="1"/>
  <c r="CG63" i="1"/>
  <c r="AF16" i="17" s="1"/>
  <c r="AD18"/>
  <c r="CH66" i="1"/>
  <c r="AE18" i="17" s="1"/>
  <c r="DA18"/>
  <c r="N66" i="1"/>
  <c r="CY18" i="17" s="1"/>
  <c r="P66" i="1"/>
  <c r="CW18" i="17" s="1"/>
  <c r="R66" i="1"/>
  <c r="CU18" i="17" s="1"/>
  <c r="T66" i="1"/>
  <c r="CS18" i="17" s="1"/>
  <c r="V66" i="1"/>
  <c r="X66"/>
  <c r="CO18" i="17" s="1"/>
  <c r="Z66" i="1"/>
  <c r="CM18" i="17" s="1"/>
  <c r="AB66" i="1"/>
  <c r="CK18" i="17" s="1"/>
  <c r="AD66" i="1"/>
  <c r="CI18" i="17" s="1"/>
  <c r="AF66" i="1"/>
  <c r="CG18" i="17" s="1"/>
  <c r="AH66" i="1"/>
  <c r="CE18" i="17" s="1"/>
  <c r="AJ66" i="1"/>
  <c r="AL66"/>
  <c r="AN66"/>
  <c r="BY18" i="17" s="1"/>
  <c r="AP66" i="1"/>
  <c r="BW18" i="17" s="1"/>
  <c r="AR66" i="1"/>
  <c r="AT66"/>
  <c r="BS18" i="17" s="1"/>
  <c r="AV66" i="1"/>
  <c r="BQ18" i="17" s="1"/>
  <c r="AX66" i="1"/>
  <c r="BO18" i="17" s="1"/>
  <c r="AZ66" i="1"/>
  <c r="BM18" i="17" s="1"/>
  <c r="BB66" i="1"/>
  <c r="BD66"/>
  <c r="BI18" i="17" s="1"/>
  <c r="BF66" i="1"/>
  <c r="BG18" i="17" s="1"/>
  <c r="BH66" i="1"/>
  <c r="BE18" i="17" s="1"/>
  <c r="BJ66" i="1"/>
  <c r="BC18" i="17" s="1"/>
  <c r="BL66" i="1"/>
  <c r="BA18" i="17" s="1"/>
  <c r="BN66" i="1"/>
  <c r="AY18" i="17" s="1"/>
  <c r="BP66" i="1"/>
  <c r="BR66"/>
  <c r="BT66"/>
  <c r="AS18" i="17" s="1"/>
  <c r="BV66" i="1"/>
  <c r="AQ18" i="17" s="1"/>
  <c r="BX66" i="1"/>
  <c r="BZ66"/>
  <c r="AM18" i="17" s="1"/>
  <c r="CB66" i="1"/>
  <c r="AK18" i="17" s="1"/>
  <c r="CD66" i="1"/>
  <c r="AI18" i="17" s="1"/>
  <c r="CF66" i="1"/>
  <c r="M66"/>
  <c r="CZ18" i="17" s="1"/>
  <c r="O66" i="1"/>
  <c r="CX18" i="17" s="1"/>
  <c r="Q66" i="1"/>
  <c r="CV18" i="17" s="1"/>
  <c r="S66" i="1"/>
  <c r="CT18" i="17" s="1"/>
  <c r="U66" i="1"/>
  <c r="CR18" i="17" s="1"/>
  <c r="W66" i="1"/>
  <c r="CP18" i="17" s="1"/>
  <c r="Y66" i="1"/>
  <c r="CN18" i="17" s="1"/>
  <c r="AA66" i="1"/>
  <c r="CL18" i="17" s="1"/>
  <c r="AC66" i="1"/>
  <c r="CJ18" i="17" s="1"/>
  <c r="AE66" i="1"/>
  <c r="CH18" i="17" s="1"/>
  <c r="AG66" i="1"/>
  <c r="CF18" i="17" s="1"/>
  <c r="AI66" i="1"/>
  <c r="CD18" i="17" s="1"/>
  <c r="AK66" i="1"/>
  <c r="CB18" i="17" s="1"/>
  <c r="AM66" i="1"/>
  <c r="BZ18" i="17" s="1"/>
  <c r="AO66" i="1"/>
  <c r="BX18" i="17" s="1"/>
  <c r="AQ66" i="1"/>
  <c r="BV18" i="17" s="1"/>
  <c r="AS66" i="1"/>
  <c r="BT18" i="17" s="1"/>
  <c r="AU66" i="1"/>
  <c r="BR18" i="17" s="1"/>
  <c r="AW66" i="1"/>
  <c r="BP18" i="17" s="1"/>
  <c r="AY66" i="1"/>
  <c r="BN18" i="17" s="1"/>
  <c r="BA66" i="1"/>
  <c r="BL18" i="17" s="1"/>
  <c r="BC66" i="1"/>
  <c r="BJ18" i="17" s="1"/>
  <c r="BE66" i="1"/>
  <c r="BH18" i="17" s="1"/>
  <c r="BG66" i="1"/>
  <c r="BF18" i="17" s="1"/>
  <c r="BI66" i="1"/>
  <c r="BD18" i="17" s="1"/>
  <c r="BK66" i="1"/>
  <c r="BB18" i="17" s="1"/>
  <c r="BM66" i="1"/>
  <c r="AZ18" i="17" s="1"/>
  <c r="BO66" i="1"/>
  <c r="AX18" i="17" s="1"/>
  <c r="BQ66" i="1"/>
  <c r="AV18" i="17" s="1"/>
  <c r="BS66" i="1"/>
  <c r="AT18" i="17" s="1"/>
  <c r="BU66" i="1"/>
  <c r="AR18" i="17" s="1"/>
  <c r="BW66" i="1"/>
  <c r="AP18" i="17" s="1"/>
  <c r="BY66" i="1"/>
  <c r="AN18" i="17" s="1"/>
  <c r="CA66" i="1"/>
  <c r="AL18" i="17" s="1"/>
  <c r="CC66" i="1"/>
  <c r="AJ18" i="17" s="1"/>
  <c r="CE66" i="1"/>
  <c r="AH18" i="17" s="1"/>
  <c r="CG66" i="1"/>
  <c r="AF18" i="17" s="1"/>
  <c r="AD20"/>
  <c r="CH70" i="1"/>
  <c r="AE20" i="17" s="1"/>
  <c r="DA20"/>
  <c r="N70" i="1"/>
  <c r="CY20" i="17" s="1"/>
  <c r="P70" i="1"/>
  <c r="CW20" i="17" s="1"/>
  <c r="R70" i="1"/>
  <c r="CU20" i="17" s="1"/>
  <c r="T70" i="1"/>
  <c r="CS20" i="17" s="1"/>
  <c r="V70" i="1"/>
  <c r="CQ20" i="17" s="1"/>
  <c r="X70" i="1"/>
  <c r="CO20" i="17" s="1"/>
  <c r="Z70" i="1"/>
  <c r="CM20" i="17" s="1"/>
  <c r="AB70" i="1"/>
  <c r="CK20" i="17" s="1"/>
  <c r="AD70" i="1"/>
  <c r="CI20" i="17" s="1"/>
  <c r="AF70" i="1"/>
  <c r="CG20" i="17" s="1"/>
  <c r="AH70" i="1"/>
  <c r="CE20" i="17" s="1"/>
  <c r="AJ70" i="1"/>
  <c r="CC20" i="17" s="1"/>
  <c r="AL70" i="1"/>
  <c r="CA20" i="17" s="1"/>
  <c r="AN70" i="1"/>
  <c r="AP70"/>
  <c r="BW20" i="17" s="1"/>
  <c r="AR70" i="1"/>
  <c r="BU20" i="17" s="1"/>
  <c r="AT70" i="1"/>
  <c r="BS20" i="17" s="1"/>
  <c r="AV70" i="1"/>
  <c r="AX70"/>
  <c r="BO20" i="17" s="1"/>
  <c r="AZ70" i="1"/>
  <c r="BM20" i="17" s="1"/>
  <c r="BB70" i="1"/>
  <c r="BK20" i="17" s="1"/>
  <c r="BD70" i="1"/>
  <c r="BI20" i="17" s="1"/>
  <c r="BF70" i="1"/>
  <c r="BG20" i="17" s="1"/>
  <c r="BH70" i="1"/>
  <c r="BE20" i="17" s="1"/>
  <c r="BJ70" i="1"/>
  <c r="BC20" i="17" s="1"/>
  <c r="BL70" i="1"/>
  <c r="BA20" i="17" s="1"/>
  <c r="BN70" i="1"/>
  <c r="AY20" i="17" s="1"/>
  <c r="BP70" i="1"/>
  <c r="AW20" i="17" s="1"/>
  <c r="BR70" i="1"/>
  <c r="AU20" i="17" s="1"/>
  <c r="BT70" i="1"/>
  <c r="BV70"/>
  <c r="AQ20" i="17" s="1"/>
  <c r="BX70" i="1"/>
  <c r="AO20" i="17" s="1"/>
  <c r="BZ70" i="1"/>
  <c r="AM20" i="17" s="1"/>
  <c r="CB70" i="1"/>
  <c r="AK20" i="17" s="1"/>
  <c r="CD70" i="1"/>
  <c r="AI20" i="17" s="1"/>
  <c r="CF70" i="1"/>
  <c r="AG20" i="17" s="1"/>
  <c r="M70" i="1"/>
  <c r="O70"/>
  <c r="CX20" i="17" s="1"/>
  <c r="Q70" i="1"/>
  <c r="S70"/>
  <c r="CT20" i="17" s="1"/>
  <c r="U70" i="1"/>
  <c r="CR20" i="17" s="1"/>
  <c r="W70" i="1"/>
  <c r="CP20" i="17" s="1"/>
  <c r="Y70" i="1"/>
  <c r="CN20" i="17" s="1"/>
  <c r="AA70" i="1"/>
  <c r="CL20" i="17" s="1"/>
  <c r="AC70" i="1"/>
  <c r="CJ20" i="17" s="1"/>
  <c r="AE70" i="1"/>
  <c r="CH20" i="17" s="1"/>
  <c r="AG70" i="1"/>
  <c r="CF20" i="17" s="1"/>
  <c r="AI70" i="1"/>
  <c r="CD20" i="17" s="1"/>
  <c r="AK70" i="1"/>
  <c r="CB20" i="17" s="1"/>
  <c r="AM70" i="1"/>
  <c r="BZ20" i="17" s="1"/>
  <c r="AO70" i="1"/>
  <c r="BX20" i="17" s="1"/>
  <c r="AQ70" i="1"/>
  <c r="BV20" i="17" s="1"/>
  <c r="AS70" i="1"/>
  <c r="BT20" i="17" s="1"/>
  <c r="AU70" i="1"/>
  <c r="BR20" i="17" s="1"/>
  <c r="AW70" i="1"/>
  <c r="BP20" i="17" s="1"/>
  <c r="AY70" i="1"/>
  <c r="BN20" i="17" s="1"/>
  <c r="BA70" i="1"/>
  <c r="BL20" i="17" s="1"/>
  <c r="BC70" i="1"/>
  <c r="BJ20" i="17" s="1"/>
  <c r="BE70" i="1"/>
  <c r="BH20" i="17" s="1"/>
  <c r="BG70" i="1"/>
  <c r="BF20" i="17" s="1"/>
  <c r="BI70" i="1"/>
  <c r="BD20" i="17" s="1"/>
  <c r="BK70" i="1"/>
  <c r="BB20" i="17" s="1"/>
  <c r="BM70" i="1"/>
  <c r="AZ20" i="17" s="1"/>
  <c r="BO70" i="1"/>
  <c r="AX20" i="17" s="1"/>
  <c r="BQ70" i="1"/>
  <c r="AV20" i="17" s="1"/>
  <c r="BS70" i="1"/>
  <c r="AT20" i="17" s="1"/>
  <c r="BU70" i="1"/>
  <c r="BW70"/>
  <c r="AP20" i="17" s="1"/>
  <c r="BY70" i="1"/>
  <c r="AN20" i="17" s="1"/>
  <c r="CA70" i="1"/>
  <c r="AL20" i="17" s="1"/>
  <c r="CC70" i="1"/>
  <c r="AJ20" i="17" s="1"/>
  <c r="CE70" i="1"/>
  <c r="AH20" i="17" s="1"/>
  <c r="CG70" i="1"/>
  <c r="AF20" i="17" s="1"/>
  <c r="DB5" i="16"/>
  <c r="CY5"/>
  <c r="CQ5"/>
  <c r="CI5"/>
  <c r="CA5"/>
  <c r="BS5"/>
  <c r="BK5"/>
  <c r="BC5"/>
  <c r="AU5"/>
  <c r="AM5"/>
  <c r="DB6"/>
  <c r="CW6"/>
  <c r="CG6"/>
  <c r="BQ6"/>
  <c r="BA6"/>
  <c r="AK6"/>
  <c r="CY10"/>
  <c r="CU10"/>
  <c r="CI10"/>
  <c r="CE10"/>
  <c r="BS10"/>
  <c r="BO10"/>
  <c r="AY10"/>
  <c r="DB10"/>
  <c r="BE12"/>
  <c r="AW12"/>
  <c r="AO12"/>
  <c r="AG12"/>
  <c r="DB12"/>
  <c r="CQ14"/>
  <c r="BK14"/>
  <c r="DB14"/>
  <c r="DB18"/>
  <c r="CS18"/>
  <c r="CC18"/>
  <c r="BM18"/>
  <c r="AW18"/>
  <c r="AG18"/>
  <c r="AV20"/>
  <c r="CE20"/>
  <c r="DA7"/>
  <c r="CS7"/>
  <c r="CC7"/>
  <c r="BW7"/>
  <c r="BO7"/>
  <c r="BG7"/>
  <c r="AY7"/>
  <c r="AQ7"/>
  <c r="AI7"/>
  <c r="CT7"/>
  <c r="CL7"/>
  <c r="CD7"/>
  <c r="DB9"/>
  <c r="CC9"/>
  <c r="AW9"/>
  <c r="AJ9"/>
  <c r="CS11"/>
  <c r="CK11"/>
  <c r="CC11"/>
  <c r="BU11"/>
  <c r="BM11"/>
  <c r="BE11"/>
  <c r="AW11"/>
  <c r="AO11"/>
  <c r="AG11"/>
  <c r="DB13"/>
  <c r="CZ13"/>
  <c r="CV13"/>
  <c r="CR13"/>
  <c r="CN13"/>
  <c r="CJ13"/>
  <c r="CF13"/>
  <c r="CB13"/>
  <c r="BX13"/>
  <c r="BT13"/>
  <c r="BP13"/>
  <c r="BL13"/>
  <c r="BH13"/>
  <c r="BD13"/>
  <c r="AZ13"/>
  <c r="AV13"/>
  <c r="AR13"/>
  <c r="AN13"/>
  <c r="AJ13"/>
  <c r="AF13"/>
  <c r="AH15"/>
  <c r="DA15"/>
  <c r="AS15"/>
  <c r="AG15"/>
  <c r="CY17"/>
  <c r="BS17"/>
  <c r="AM17"/>
  <c r="DB17"/>
  <c r="CX17"/>
  <c r="CH17"/>
  <c r="BR17"/>
  <c r="BB17"/>
  <c r="AL17"/>
  <c r="DA19"/>
  <c r="CO19"/>
  <c r="BY19"/>
  <c r="BI19"/>
  <c r="AS19"/>
  <c r="CZ19"/>
  <c r="CV19"/>
  <c r="CR19"/>
  <c r="CN19"/>
  <c r="CJ19"/>
  <c r="CF19"/>
  <c r="CB19"/>
  <c r="BX19"/>
  <c r="BT19"/>
  <c r="BP19"/>
  <c r="BL19"/>
  <c r="BH19"/>
  <c r="BD19"/>
  <c r="AZ19"/>
  <c r="AV19"/>
  <c r="AR19"/>
  <c r="AN19"/>
  <c r="AJ19"/>
  <c r="AF19"/>
  <c r="CM21"/>
  <c r="BW21"/>
  <c r="BG21"/>
  <c r="AQ21"/>
  <c r="DB21"/>
  <c r="CX8"/>
  <c r="CT8"/>
  <c r="CP8"/>
  <c r="CL8"/>
  <c r="CH8"/>
  <c r="CD8"/>
  <c r="BZ8"/>
  <c r="BV8"/>
  <c r="BR8"/>
  <c r="BN8"/>
  <c r="BJ8"/>
  <c r="BF8"/>
  <c r="BB8"/>
  <c r="AX8"/>
  <c r="AT8"/>
  <c r="AP8"/>
  <c r="AL8"/>
  <c r="AH8"/>
  <c r="CI8"/>
  <c r="BS8"/>
  <c r="BC8"/>
  <c r="AM8"/>
  <c r="CS8"/>
  <c r="BM8"/>
  <c r="AG8"/>
  <c r="DA16"/>
  <c r="CW16"/>
  <c r="CO16"/>
  <c r="CG16"/>
  <c r="BY16"/>
  <c r="BQ16"/>
  <c r="BI16"/>
  <c r="BA16"/>
  <c r="AS16"/>
  <c r="AK16"/>
  <c r="AX16"/>
  <c r="CR4"/>
  <c r="CB4"/>
  <c r="BL4"/>
  <c r="AV4"/>
  <c r="AF4"/>
  <c r="CW4"/>
  <c r="CS4"/>
  <c r="CO4"/>
  <c r="CK4"/>
  <c r="CG4"/>
  <c r="CC4"/>
  <c r="BY4"/>
  <c r="BU4"/>
  <c r="BQ4"/>
  <c r="BM4"/>
  <c r="BI4"/>
  <c r="BE4"/>
  <c r="BA4"/>
  <c r="AW4"/>
  <c r="AS4"/>
  <c r="AO4"/>
  <c r="AK4"/>
  <c r="AG4"/>
  <c r="DB4"/>
  <c r="AT9"/>
  <c r="CU6"/>
  <c r="CY8"/>
  <c r="O399"/>
  <c r="P399"/>
  <c r="Q554"/>
  <c r="O554"/>
  <c r="P554"/>
  <c r="N554"/>
  <c r="Q552"/>
  <c r="O552"/>
  <c r="P552"/>
  <c r="N552"/>
  <c r="Q550"/>
  <c r="O550"/>
  <c r="P550"/>
  <c r="N550"/>
  <c r="Q548"/>
  <c r="O548"/>
  <c r="P548"/>
  <c r="N548"/>
  <c r="P555"/>
  <c r="N555"/>
  <c r="Q555"/>
  <c r="O555"/>
  <c r="Q553"/>
  <c r="O553"/>
  <c r="P553"/>
  <c r="N553"/>
  <c r="Q549"/>
  <c r="O549"/>
  <c r="P549"/>
  <c r="N549"/>
  <c r="Q547"/>
  <c r="O547"/>
  <c r="P547"/>
  <c r="N547"/>
  <c r="P289"/>
  <c r="Q289"/>
  <c r="O289"/>
  <c r="M289"/>
  <c r="K289"/>
  <c r="L289"/>
  <c r="Q286"/>
  <c r="O286"/>
  <c r="M286"/>
  <c r="K286"/>
  <c r="P286"/>
  <c r="L286"/>
  <c r="Q283"/>
  <c r="O283"/>
  <c r="M283"/>
  <c r="K283"/>
  <c r="P283"/>
  <c r="L283"/>
  <c r="Q281"/>
  <c r="O281"/>
  <c r="M281"/>
  <c r="K281"/>
  <c r="P281"/>
  <c r="L281"/>
  <c r="Q278"/>
  <c r="O278"/>
  <c r="M278"/>
  <c r="K278"/>
  <c r="P278"/>
  <c r="L278"/>
  <c r="Q276"/>
  <c r="O276"/>
  <c r="M276"/>
  <c r="K276"/>
  <c r="P276"/>
  <c r="L276"/>
  <c r="Q274"/>
  <c r="O274"/>
  <c r="M274"/>
  <c r="K274"/>
  <c r="P274"/>
  <c r="L274"/>
  <c r="Q271"/>
  <c r="O271"/>
  <c r="M271"/>
  <c r="K271"/>
  <c r="P271"/>
  <c r="L271"/>
  <c r="Q269"/>
  <c r="O269"/>
  <c r="M269"/>
  <c r="K269"/>
  <c r="P269"/>
  <c r="L269"/>
  <c r="Q267"/>
  <c r="O267"/>
  <c r="M267"/>
  <c r="K267"/>
  <c r="P267"/>
  <c r="L267"/>
  <c r="Q264"/>
  <c r="O264"/>
  <c r="M264"/>
  <c r="K264"/>
  <c r="P264"/>
  <c r="L264"/>
  <c r="Q262"/>
  <c r="O262"/>
  <c r="M262"/>
  <c r="K262"/>
  <c r="P262"/>
  <c r="L262"/>
  <c r="Q260"/>
  <c r="O260"/>
  <c r="M260"/>
  <c r="K260"/>
  <c r="P260"/>
  <c r="L260"/>
  <c r="Q258"/>
  <c r="O258"/>
  <c r="M258"/>
  <c r="K258"/>
  <c r="P258"/>
  <c r="L258"/>
  <c r="Q255"/>
  <c r="O255"/>
  <c r="M255"/>
  <c r="K255"/>
  <c r="P255"/>
  <c r="L255"/>
  <c r="Q253"/>
  <c r="O253"/>
  <c r="M253"/>
  <c r="K253"/>
  <c r="P253"/>
  <c r="L253"/>
  <c r="Q251"/>
  <c r="O251"/>
  <c r="M251"/>
  <c r="K251"/>
  <c r="P251"/>
  <c r="L251"/>
  <c r="Q249"/>
  <c r="O249"/>
  <c r="M249"/>
  <c r="K249"/>
  <c r="P249"/>
  <c r="L249"/>
  <c r="Q247"/>
  <c r="O247"/>
  <c r="M247"/>
  <c r="K247"/>
  <c r="P247"/>
  <c r="L247"/>
  <c r="Q245"/>
  <c r="O245"/>
  <c r="M245"/>
  <c r="K245"/>
  <c r="P245"/>
  <c r="L245"/>
  <c r="Q243"/>
  <c r="O243"/>
  <c r="M243"/>
  <c r="K243"/>
  <c r="P243"/>
  <c r="L243"/>
  <c r="Q241"/>
  <c r="O241"/>
  <c r="M241"/>
  <c r="K241"/>
  <c r="P241"/>
  <c r="L241"/>
  <c r="Q239"/>
  <c r="O239"/>
  <c r="M239"/>
  <c r="K239"/>
  <c r="P239"/>
  <c r="L239"/>
  <c r="Q237"/>
  <c r="O237"/>
  <c r="M237"/>
  <c r="K237"/>
  <c r="P237"/>
  <c r="L237"/>
  <c r="Q235"/>
  <c r="O235"/>
  <c r="M235"/>
  <c r="K235"/>
  <c r="P235"/>
  <c r="L235"/>
  <c r="Q231"/>
  <c r="O231"/>
  <c r="M231"/>
  <c r="K231"/>
  <c r="P231"/>
  <c r="L231"/>
  <c r="Q229"/>
  <c r="O229"/>
  <c r="M229"/>
  <c r="K229"/>
  <c r="P229"/>
  <c r="L229"/>
  <c r="Q287"/>
  <c r="O287"/>
  <c r="M287"/>
  <c r="K287"/>
  <c r="P287"/>
  <c r="L287"/>
  <c r="Q285"/>
  <c r="O285"/>
  <c r="M285"/>
  <c r="K285"/>
  <c r="P285"/>
  <c r="L285"/>
  <c r="Q282"/>
  <c r="O282"/>
  <c r="M282"/>
  <c r="K282"/>
  <c r="P282"/>
  <c r="L282"/>
  <c r="Q280"/>
  <c r="O280"/>
  <c r="M280"/>
  <c r="K280"/>
  <c r="P280"/>
  <c r="L280"/>
  <c r="Q277"/>
  <c r="O277"/>
  <c r="M277"/>
  <c r="K277"/>
  <c r="P277"/>
  <c r="L277"/>
  <c r="Q275"/>
  <c r="O275"/>
  <c r="M275"/>
  <c r="K275"/>
  <c r="P275"/>
  <c r="L275"/>
  <c r="Q272"/>
  <c r="O272"/>
  <c r="M272"/>
  <c r="K272"/>
  <c r="P272"/>
  <c r="L272"/>
  <c r="Q270"/>
  <c r="O270"/>
  <c r="M270"/>
  <c r="K270"/>
  <c r="P270"/>
  <c r="L270"/>
  <c r="Q268"/>
  <c r="O268"/>
  <c r="M268"/>
  <c r="K268"/>
  <c r="P268"/>
  <c r="L268"/>
  <c r="Q266"/>
  <c r="O266"/>
  <c r="M266"/>
  <c r="K266"/>
  <c r="P266"/>
  <c r="L266"/>
  <c r="Q263"/>
  <c r="O263"/>
  <c r="M263"/>
  <c r="K263"/>
  <c r="P263"/>
  <c r="L263"/>
  <c r="Q261"/>
  <c r="O261"/>
  <c r="M261"/>
  <c r="K261"/>
  <c r="P261"/>
  <c r="L261"/>
  <c r="Q259"/>
  <c r="O259"/>
  <c r="M259"/>
  <c r="K259"/>
  <c r="P259"/>
  <c r="L259"/>
  <c r="Q257"/>
  <c r="O257"/>
  <c r="M257"/>
  <c r="K257"/>
  <c r="P257"/>
  <c r="L257"/>
  <c r="Q254"/>
  <c r="O254"/>
  <c r="M254"/>
  <c r="K254"/>
  <c r="P254"/>
  <c r="L254"/>
  <c r="Q252"/>
  <c r="O252"/>
  <c r="M252"/>
  <c r="K252"/>
  <c r="P252"/>
  <c r="L252"/>
  <c r="Q250"/>
  <c r="O250"/>
  <c r="M250"/>
  <c r="K250"/>
  <c r="P250"/>
  <c r="L250"/>
  <c r="Q248"/>
  <c r="O248"/>
  <c r="M248"/>
  <c r="K248"/>
  <c r="P248"/>
  <c r="L248"/>
  <c r="Q244"/>
  <c r="O244"/>
  <c r="M244"/>
  <c r="K244"/>
  <c r="P244"/>
  <c r="L244"/>
  <c r="Q242"/>
  <c r="O242"/>
  <c r="M242"/>
  <c r="K242"/>
  <c r="P242"/>
  <c r="L242"/>
  <c r="Q240"/>
  <c r="O240"/>
  <c r="M240"/>
  <c r="K240"/>
  <c r="P240"/>
  <c r="L240"/>
  <c r="Q238"/>
  <c r="O238"/>
  <c r="M238"/>
  <c r="K238"/>
  <c r="P238"/>
  <c r="L238"/>
  <c r="Q236"/>
  <c r="O236"/>
  <c r="M236"/>
  <c r="K236"/>
  <c r="P236"/>
  <c r="L236"/>
  <c r="Q232"/>
  <c r="O232"/>
  <c r="M232"/>
  <c r="K232"/>
  <c r="P232"/>
  <c r="L232"/>
  <c r="Q230"/>
  <c r="O230"/>
  <c r="M230"/>
  <c r="K230"/>
  <c r="P230"/>
  <c r="L230"/>
  <c r="Q200"/>
  <c r="O200"/>
  <c r="M200"/>
  <c r="K200"/>
  <c r="P200"/>
  <c r="L200"/>
  <c r="Q196"/>
  <c r="O196"/>
  <c r="M196"/>
  <c r="K196"/>
  <c r="P196"/>
  <c r="L196"/>
  <c r="Q194"/>
  <c r="O194"/>
  <c r="M194"/>
  <c r="K194"/>
  <c r="P194"/>
  <c r="L194"/>
  <c r="Q192"/>
  <c r="O192"/>
  <c r="M192"/>
  <c r="K192"/>
  <c r="P192"/>
  <c r="L192"/>
  <c r="Q190"/>
  <c r="O190"/>
  <c r="M190"/>
  <c r="K190"/>
  <c r="P190"/>
  <c r="L190"/>
  <c r="Q188"/>
  <c r="O188"/>
  <c r="M188"/>
  <c r="K188"/>
  <c r="P188"/>
  <c r="L188"/>
  <c r="Q184"/>
  <c r="O184"/>
  <c r="M184"/>
  <c r="K184"/>
  <c r="P184"/>
  <c r="L184"/>
  <c r="Q182"/>
  <c r="O182"/>
  <c r="M182"/>
  <c r="K182"/>
  <c r="P182"/>
  <c r="L182"/>
  <c r="Q180"/>
  <c r="O180"/>
  <c r="M180"/>
  <c r="K180"/>
  <c r="P180"/>
  <c r="L180"/>
  <c r="Q178"/>
  <c r="O178"/>
  <c r="M178"/>
  <c r="K178"/>
  <c r="P178"/>
  <c r="L178"/>
  <c r="Q199"/>
  <c r="O199"/>
  <c r="M199"/>
  <c r="K199"/>
  <c r="P199"/>
  <c r="L199"/>
  <c r="Q195"/>
  <c r="O195"/>
  <c r="M195"/>
  <c r="K195"/>
  <c r="P195"/>
  <c r="L195"/>
  <c r="Q193"/>
  <c r="O193"/>
  <c r="M193"/>
  <c r="K193"/>
  <c r="P193"/>
  <c r="L193"/>
  <c r="Q191"/>
  <c r="O191"/>
  <c r="M191"/>
  <c r="K191"/>
  <c r="P191"/>
  <c r="L191"/>
  <c r="Q189"/>
  <c r="O189"/>
  <c r="M189"/>
  <c r="K189"/>
  <c r="P189"/>
  <c r="L189"/>
  <c r="Q187"/>
  <c r="O187"/>
  <c r="M187"/>
  <c r="K187"/>
  <c r="P187"/>
  <c r="L187"/>
  <c r="Q183"/>
  <c r="O183"/>
  <c r="M183"/>
  <c r="K183"/>
  <c r="P183"/>
  <c r="L183"/>
  <c r="Q181"/>
  <c r="O181"/>
  <c r="M181"/>
  <c r="K181"/>
  <c r="P181"/>
  <c r="L181"/>
  <c r="Q179"/>
  <c r="O179"/>
  <c r="M179"/>
  <c r="K179"/>
  <c r="P179"/>
  <c r="L179"/>
  <c r="Q64"/>
  <c r="O64"/>
  <c r="M64"/>
  <c r="K64"/>
  <c r="P64"/>
  <c r="L64"/>
  <c r="Q62"/>
  <c r="O62"/>
  <c r="M62"/>
  <c r="K62"/>
  <c r="P62"/>
  <c r="L62"/>
  <c r="Q60"/>
  <c r="O60"/>
  <c r="M60"/>
  <c r="K60"/>
  <c r="P60"/>
  <c r="L60"/>
  <c r="Q65"/>
  <c r="O65"/>
  <c r="M65"/>
  <c r="K65"/>
  <c r="P65"/>
  <c r="L65"/>
  <c r="Q63"/>
  <c r="O63"/>
  <c r="M63"/>
  <c r="K63"/>
  <c r="P63"/>
  <c r="L63"/>
  <c r="Q61"/>
  <c r="O61"/>
  <c r="M61"/>
  <c r="K61"/>
  <c r="P61"/>
  <c r="L61"/>
  <c r="P67"/>
  <c r="M67"/>
  <c r="K67"/>
  <c r="Q67"/>
  <c r="O67"/>
  <c r="L67"/>
  <c r="AD6"/>
  <c r="AD14"/>
  <c r="DA8"/>
  <c r="CZ4"/>
  <c r="AH4"/>
  <c r="AL4"/>
  <c r="AP4"/>
  <c r="AT4"/>
  <c r="AX4"/>
  <c r="BB4"/>
  <c r="BF4"/>
  <c r="BJ4"/>
  <c r="BN4"/>
  <c r="BR4"/>
  <c r="BV4"/>
  <c r="BZ4"/>
  <c r="CD4"/>
  <c r="CH4"/>
  <c r="CL4"/>
  <c r="CP4"/>
  <c r="CT4"/>
  <c r="CX4"/>
  <c r="AE6"/>
  <c r="AM6"/>
  <c r="AU6"/>
  <c r="BC6"/>
  <c r="BK6"/>
  <c r="BS6"/>
  <c r="CA6"/>
  <c r="CI6"/>
  <c r="CQ6"/>
  <c r="CY6"/>
  <c r="AI8"/>
  <c r="AQ8"/>
  <c r="AY8"/>
  <c r="BG8"/>
  <c r="BO8"/>
  <c r="BW8"/>
  <c r="CE8"/>
  <c r="CM8"/>
  <c r="CU8"/>
  <c r="BK10"/>
  <c r="CA10"/>
  <c r="CQ10"/>
  <c r="AY12"/>
  <c r="CE12"/>
  <c r="AE14"/>
  <c r="BS14"/>
  <c r="BG16"/>
  <c r="AU18"/>
  <c r="AI20"/>
  <c r="AD8"/>
  <c r="AD16"/>
  <c r="DA12"/>
  <c r="DA20"/>
  <c r="AE4"/>
  <c r="AU4"/>
  <c r="BK4"/>
  <c r="CA4"/>
  <c r="CQ4"/>
  <c r="AI6"/>
  <c r="AQ6"/>
  <c r="AY6"/>
  <c r="BG6"/>
  <c r="BO6"/>
  <c r="BW6"/>
  <c r="CE6"/>
  <c r="CM6"/>
  <c r="AE8"/>
  <c r="AU8"/>
  <c r="BK8"/>
  <c r="CA8"/>
  <c r="CQ8"/>
  <c r="BG10"/>
  <c r="BW10"/>
  <c r="CM10"/>
  <c r="BC12"/>
  <c r="CI12"/>
  <c r="BO14"/>
  <c r="BO16"/>
  <c r="BS18"/>
  <c r="CX5"/>
  <c r="CT5"/>
  <c r="CP5"/>
  <c r="CL5"/>
  <c r="CH5"/>
  <c r="CD5"/>
  <c r="BZ5"/>
  <c r="BV5"/>
  <c r="BR5"/>
  <c r="BN5"/>
  <c r="BJ5"/>
  <c r="BF5"/>
  <c r="BB5"/>
  <c r="AX5"/>
  <c r="AT5"/>
  <c r="AP5"/>
  <c r="AL5"/>
  <c r="AH5"/>
  <c r="DA5"/>
  <c r="CX7"/>
  <c r="CR7"/>
  <c r="CP7"/>
  <c r="CN7"/>
  <c r="CH7"/>
  <c r="CB7"/>
  <c r="BZ7"/>
  <c r="BX7"/>
  <c r="BV7"/>
  <c r="BT7"/>
  <c r="BR7"/>
  <c r="BP7"/>
  <c r="BN7"/>
  <c r="BL7"/>
  <c r="BJ7"/>
  <c r="BH7"/>
  <c r="BF7"/>
  <c r="BD7"/>
  <c r="BB7"/>
  <c r="AZ7"/>
  <c r="AX7"/>
  <c r="AV7"/>
  <c r="AT7"/>
  <c r="AR7"/>
  <c r="AP7"/>
  <c r="AN7"/>
  <c r="AL7"/>
  <c r="AJ7"/>
  <c r="AH7"/>
  <c r="AF7"/>
  <c r="CX9"/>
  <c r="CT9"/>
  <c r="CP9"/>
  <c r="CL9"/>
  <c r="CH9"/>
  <c r="CD9"/>
  <c r="BZ9"/>
  <c r="BV9"/>
  <c r="BR9"/>
  <c r="BN9"/>
  <c r="BJ9"/>
  <c r="BF9"/>
  <c r="BB9"/>
  <c r="AX9"/>
  <c r="AP9"/>
  <c r="AL9"/>
  <c r="AH9"/>
  <c r="AF9"/>
  <c r="DA9"/>
  <c r="CZ11"/>
  <c r="CV11"/>
  <c r="CR11"/>
  <c r="CN11"/>
  <c r="CJ11"/>
  <c r="CF11"/>
  <c r="CB11"/>
  <c r="BX11"/>
  <c r="BT11"/>
  <c r="BP11"/>
  <c r="BL11"/>
  <c r="BH11"/>
  <c r="BD11"/>
  <c r="AZ11"/>
  <c r="AV11"/>
  <c r="AR11"/>
  <c r="AN11"/>
  <c r="AJ11"/>
  <c r="AF11"/>
  <c r="DA11"/>
  <c r="CX13"/>
  <c r="CH13"/>
  <c r="BR13"/>
  <c r="BB13"/>
  <c r="AL13"/>
  <c r="DA13"/>
  <c r="CZ15"/>
  <c r="CV15"/>
  <c r="CR15"/>
  <c r="CN15"/>
  <c r="CJ15"/>
  <c r="CF15"/>
  <c r="CB15"/>
  <c r="BX15"/>
  <c r="BT15"/>
  <c r="BP15"/>
  <c r="BL15"/>
  <c r="BH15"/>
  <c r="BD15"/>
  <c r="AZ15"/>
  <c r="AV15"/>
  <c r="AR15"/>
  <c r="AN15"/>
  <c r="CU15"/>
  <c r="CE15"/>
  <c r="BO15"/>
  <c r="AY15"/>
  <c r="AJ15"/>
  <c r="AF15"/>
  <c r="CZ17"/>
  <c r="CV17"/>
  <c r="CR17"/>
  <c r="CN17"/>
  <c r="CJ17"/>
  <c r="CF17"/>
  <c r="CB17"/>
  <c r="BX17"/>
  <c r="BT17"/>
  <c r="BP17"/>
  <c r="BL17"/>
  <c r="BH17"/>
  <c r="BD17"/>
  <c r="AZ17"/>
  <c r="AV17"/>
  <c r="AR17"/>
  <c r="AN17"/>
  <c r="AJ17"/>
  <c r="AF17"/>
  <c r="CE17"/>
  <c r="BW17"/>
  <c r="BO17"/>
  <c r="BG17"/>
  <c r="AY17"/>
  <c r="AQ17"/>
  <c r="AE17"/>
  <c r="DA17"/>
  <c r="CX19"/>
  <c r="CH19"/>
  <c r="BR19"/>
  <c r="BB19"/>
  <c r="AL19"/>
  <c r="CQ19"/>
  <c r="CA19"/>
  <c r="BK19"/>
  <c r="AU19"/>
  <c r="AE19"/>
  <c r="CZ21"/>
  <c r="CV21"/>
  <c r="CR21"/>
  <c r="CN21"/>
  <c r="CJ21"/>
  <c r="CF21"/>
  <c r="CB21"/>
  <c r="BX21"/>
  <c r="BT21"/>
  <c r="BP21"/>
  <c r="BL21"/>
  <c r="BH21"/>
  <c r="BD21"/>
  <c r="AZ21"/>
  <c r="AV21"/>
  <c r="AR21"/>
  <c r="AN21"/>
  <c r="AJ21"/>
  <c r="AF21"/>
  <c r="CQ21"/>
  <c r="CA21"/>
  <c r="BK21"/>
  <c r="AU21"/>
  <c r="AE21"/>
  <c r="DA21"/>
  <c r="AD21"/>
  <c r="CX6"/>
  <c r="CT6"/>
  <c r="CP6"/>
  <c r="CL6"/>
  <c r="CH6"/>
  <c r="CD6"/>
  <c r="BZ6"/>
  <c r="BV6"/>
  <c r="BR6"/>
  <c r="BN6"/>
  <c r="BJ6"/>
  <c r="BF6"/>
  <c r="BB6"/>
  <c r="AX6"/>
  <c r="AT6"/>
  <c r="AP6"/>
  <c r="AL6"/>
  <c r="AH6"/>
  <c r="CZ8"/>
  <c r="CR8"/>
  <c r="CJ8"/>
  <c r="CB8"/>
  <c r="BT8"/>
  <c r="BL8"/>
  <c r="BD8"/>
  <c r="AV8"/>
  <c r="AN8"/>
  <c r="AF8"/>
  <c r="CZ10"/>
  <c r="CX10"/>
  <c r="CV10"/>
  <c r="CT10"/>
  <c r="CR10"/>
  <c r="CP10"/>
  <c r="CN10"/>
  <c r="CL10"/>
  <c r="CJ10"/>
  <c r="CH10"/>
  <c r="CF10"/>
  <c r="CD10"/>
  <c r="CB10"/>
  <c r="BZ10"/>
  <c r="BX10"/>
  <c r="BV10"/>
  <c r="BT10"/>
  <c r="BR10"/>
  <c r="BP10"/>
  <c r="BN10"/>
  <c r="BL10"/>
  <c r="BJ10"/>
  <c r="BH10"/>
  <c r="BF10"/>
  <c r="AZ10"/>
  <c r="AX10"/>
  <c r="AT10"/>
  <c r="AR10"/>
  <c r="AP10"/>
  <c r="AL10"/>
  <c r="AJ10"/>
  <c r="AH10"/>
  <c r="CZ12"/>
  <c r="CV12"/>
  <c r="CR12"/>
  <c r="CN12"/>
  <c r="CJ12"/>
  <c r="CF12"/>
  <c r="CB12"/>
  <c r="BX12"/>
  <c r="BT12"/>
  <c r="BP12"/>
  <c r="BL12"/>
  <c r="BH12"/>
  <c r="BD12"/>
  <c r="AZ12"/>
  <c r="AV12"/>
  <c r="AR12"/>
  <c r="AN12"/>
  <c r="AJ12"/>
  <c r="AF12"/>
  <c r="CZ14"/>
  <c r="CX14"/>
  <c r="CV14"/>
  <c r="CT14"/>
  <c r="CR14"/>
  <c r="CP14"/>
  <c r="CN14"/>
  <c r="CL14"/>
  <c r="CJ14"/>
  <c r="CH14"/>
  <c r="CF14"/>
  <c r="CD14"/>
  <c r="CB14"/>
  <c r="BZ14"/>
  <c r="BX14"/>
  <c r="BV14"/>
  <c r="BT14"/>
  <c r="BR14"/>
  <c r="BP14"/>
  <c r="BN14"/>
  <c r="BL14"/>
  <c r="BJ14"/>
  <c r="BH14"/>
  <c r="BF14"/>
  <c r="BD14"/>
  <c r="BB14"/>
  <c r="AZ14"/>
  <c r="AX14"/>
  <c r="AV14"/>
  <c r="AT14"/>
  <c r="AR14"/>
  <c r="AP14"/>
  <c r="AN14"/>
  <c r="AL14"/>
  <c r="AJ14"/>
  <c r="AH14"/>
  <c r="AF14"/>
  <c r="CZ16"/>
  <c r="CV16"/>
  <c r="CR16"/>
  <c r="CN16"/>
  <c r="CJ16"/>
  <c r="CF16"/>
  <c r="CB16"/>
  <c r="BX16"/>
  <c r="BT16"/>
  <c r="BP16"/>
  <c r="BL16"/>
  <c r="BH16"/>
  <c r="BD16"/>
  <c r="BB16"/>
  <c r="AZ16"/>
  <c r="AV16"/>
  <c r="AR16"/>
  <c r="AN16"/>
  <c r="AL16"/>
  <c r="AJ16"/>
  <c r="AF16"/>
  <c r="CS16"/>
  <c r="CK16"/>
  <c r="CC16"/>
  <c r="BU16"/>
  <c r="BM16"/>
  <c r="BE16"/>
  <c r="AW16"/>
  <c r="AO16"/>
  <c r="AG16"/>
  <c r="CZ18"/>
  <c r="CV18"/>
  <c r="CR18"/>
  <c r="CN18"/>
  <c r="CJ18"/>
  <c r="CF18"/>
  <c r="CB18"/>
  <c r="BX18"/>
  <c r="BT18"/>
  <c r="BP18"/>
  <c r="BL18"/>
  <c r="BH18"/>
  <c r="BD18"/>
  <c r="AZ18"/>
  <c r="AV18"/>
  <c r="AR18"/>
  <c r="AN18"/>
  <c r="AJ18"/>
  <c r="AF18"/>
  <c r="CW18"/>
  <c r="CO18"/>
  <c r="CG18"/>
  <c r="BY18"/>
  <c r="BQ18"/>
  <c r="BI18"/>
  <c r="BA18"/>
  <c r="AS18"/>
  <c r="AK18"/>
  <c r="CZ20"/>
  <c r="CT20"/>
  <c r="CJ20"/>
  <c r="BV20"/>
  <c r="AX20"/>
  <c r="AR20"/>
  <c r="AP20"/>
  <c r="AN20"/>
  <c r="AL20"/>
  <c r="CW20"/>
  <c r="CS20"/>
  <c r="CO20"/>
  <c r="CK20"/>
  <c r="CG20"/>
  <c r="CC20"/>
  <c r="BY20"/>
  <c r="BU20"/>
  <c r="BQ20"/>
  <c r="BM20"/>
  <c r="BE20"/>
  <c r="BA20"/>
  <c r="AW20"/>
  <c r="AS20"/>
  <c r="AO20"/>
  <c r="AK20"/>
  <c r="AG20"/>
  <c r="AG5"/>
  <c r="AK5"/>
  <c r="AO5"/>
  <c r="AS5"/>
  <c r="AW5"/>
  <c r="BA5"/>
  <c r="BE5"/>
  <c r="BI5"/>
  <c r="BM5"/>
  <c r="BQ5"/>
  <c r="BU5"/>
  <c r="BY5"/>
  <c r="CC5"/>
  <c r="CG5"/>
  <c r="CK5"/>
  <c r="CO5"/>
  <c r="CS5"/>
  <c r="CW5"/>
  <c r="AG7"/>
  <c r="AK7"/>
  <c r="AO7"/>
  <c r="AS7"/>
  <c r="AW7"/>
  <c r="BA7"/>
  <c r="BE7"/>
  <c r="BI7"/>
  <c r="BM7"/>
  <c r="BQ7"/>
  <c r="BU7"/>
  <c r="BY7"/>
  <c r="CG7"/>
  <c r="CO7"/>
  <c r="CW7"/>
  <c r="AK9"/>
  <c r="BA9"/>
  <c r="BQ9"/>
  <c r="CG9"/>
  <c r="CW9"/>
  <c r="AK11"/>
  <c r="AS11"/>
  <c r="BA11"/>
  <c r="BI11"/>
  <c r="BQ11"/>
  <c r="BY11"/>
  <c r="CG11"/>
  <c r="CO11"/>
  <c r="CW11"/>
  <c r="AG13"/>
  <c r="AK13"/>
  <c r="AO13"/>
  <c r="AS13"/>
  <c r="AW13"/>
  <c r="BA13"/>
  <c r="BE13"/>
  <c r="BI13"/>
  <c r="BM13"/>
  <c r="BQ13"/>
  <c r="BU13"/>
  <c r="BY13"/>
  <c r="CC13"/>
  <c r="CG13"/>
  <c r="CK13"/>
  <c r="CO13"/>
  <c r="CS13"/>
  <c r="CW13"/>
  <c r="AK15"/>
  <c r="BA15"/>
  <c r="BI15"/>
  <c r="BQ15"/>
  <c r="BY15"/>
  <c r="CG15"/>
  <c r="CO15"/>
  <c r="CW15"/>
  <c r="AG17"/>
  <c r="AO17"/>
  <c r="AW17"/>
  <c r="BE17"/>
  <c r="BM17"/>
  <c r="BU17"/>
  <c r="CC17"/>
  <c r="CK17"/>
  <c r="CS17"/>
  <c r="AK19"/>
  <c r="BA19"/>
  <c r="BQ19"/>
  <c r="CG19"/>
  <c r="CW19"/>
  <c r="AG21"/>
  <c r="AO21"/>
  <c r="AW21"/>
  <c r="BE21"/>
  <c r="BM21"/>
  <c r="BU21"/>
  <c r="CC21"/>
  <c r="CK21"/>
  <c r="CS21"/>
  <c r="AW43" i="13"/>
  <c r="K43" s="1"/>
  <c r="AD5" i="16"/>
  <c r="AD9"/>
  <c r="AD13"/>
  <c r="AD17"/>
  <c r="DA10"/>
  <c r="DA14"/>
  <c r="DA18"/>
  <c r="AE5"/>
  <c r="AI5"/>
  <c r="AQ5"/>
  <c r="AY5"/>
  <c r="BG5"/>
  <c r="BO5"/>
  <c r="BW5"/>
  <c r="CE5"/>
  <c r="CM5"/>
  <c r="CU5"/>
  <c r="AG6"/>
  <c r="AO6"/>
  <c r="AW6"/>
  <c r="BE6"/>
  <c r="BM6"/>
  <c r="BU6"/>
  <c r="CC6"/>
  <c r="CK6"/>
  <c r="CS6"/>
  <c r="AE7"/>
  <c r="AM7"/>
  <c r="AU7"/>
  <c r="BC7"/>
  <c r="BK7"/>
  <c r="BS7"/>
  <c r="CA7"/>
  <c r="CE7"/>
  <c r="CI7"/>
  <c r="CM7"/>
  <c r="CQ7"/>
  <c r="CU7"/>
  <c r="CY7"/>
  <c r="AK8"/>
  <c r="BA8"/>
  <c r="BQ8"/>
  <c r="CG8"/>
  <c r="CW8"/>
  <c r="AI9"/>
  <c r="AM9"/>
  <c r="AQ9"/>
  <c r="AU9"/>
  <c r="AY9"/>
  <c r="BC9"/>
  <c r="BG9"/>
  <c r="BK9"/>
  <c r="BO9"/>
  <c r="BS9"/>
  <c r="BW9"/>
  <c r="CA9"/>
  <c r="CE9"/>
  <c r="CI9"/>
  <c r="CM9"/>
  <c r="CQ9"/>
  <c r="CU9"/>
  <c r="CY9"/>
  <c r="AG10"/>
  <c r="AK10"/>
  <c r="AO10"/>
  <c r="AS10"/>
  <c r="AW10"/>
  <c r="BA10"/>
  <c r="BE10"/>
  <c r="BM10"/>
  <c r="BU10"/>
  <c r="CC10"/>
  <c r="CK10"/>
  <c r="CS10"/>
  <c r="AE11"/>
  <c r="AI11"/>
  <c r="AM11"/>
  <c r="AQ11"/>
  <c r="AU11"/>
  <c r="AY11"/>
  <c r="BC11"/>
  <c r="BG11"/>
  <c r="BK11"/>
  <c r="BO11"/>
  <c r="BS11"/>
  <c r="BW11"/>
  <c r="CA11"/>
  <c r="CE11"/>
  <c r="CI11"/>
  <c r="CM11"/>
  <c r="CQ11"/>
  <c r="CU11"/>
  <c r="CY11"/>
  <c r="AK12"/>
  <c r="AS12"/>
  <c r="BA12"/>
  <c r="BI12"/>
  <c r="BM12"/>
  <c r="BQ12"/>
  <c r="BU12"/>
  <c r="BY12"/>
  <c r="CC12"/>
  <c r="CG12"/>
  <c r="CK12"/>
  <c r="CO12"/>
  <c r="CS12"/>
  <c r="CW12"/>
  <c r="AI13"/>
  <c r="AQ13"/>
  <c r="AY13"/>
  <c r="BG13"/>
  <c r="BO13"/>
  <c r="BW13"/>
  <c r="CE13"/>
  <c r="CM13"/>
  <c r="CU13"/>
  <c r="AG14"/>
  <c r="AK14"/>
  <c r="AO14"/>
  <c r="AS14"/>
  <c r="AW14"/>
  <c r="BA14"/>
  <c r="BE14"/>
  <c r="BI14"/>
  <c r="BM14"/>
  <c r="BQ14"/>
  <c r="BU14"/>
  <c r="BY14"/>
  <c r="CC14"/>
  <c r="CG14"/>
  <c r="CK14"/>
  <c r="CO14"/>
  <c r="CS14"/>
  <c r="CW14"/>
  <c r="AE15"/>
  <c r="AO15"/>
  <c r="AW15"/>
  <c r="BE15"/>
  <c r="BM15"/>
  <c r="BU15"/>
  <c r="CC15"/>
  <c r="CK15"/>
  <c r="CS15"/>
  <c r="AE16"/>
  <c r="AU16"/>
  <c r="BK16"/>
  <c r="CA16"/>
  <c r="CQ16"/>
  <c r="AK17"/>
  <c r="BA17"/>
  <c r="BQ17"/>
  <c r="CG17"/>
  <c r="CO17"/>
  <c r="CW17"/>
  <c r="AQ18"/>
  <c r="BG18"/>
  <c r="BW18"/>
  <c r="CM18"/>
  <c r="AG19"/>
  <c r="AO19"/>
  <c r="AW19"/>
  <c r="BE19"/>
  <c r="BM19"/>
  <c r="BU19"/>
  <c r="CC19"/>
  <c r="CK19"/>
  <c r="CS19"/>
  <c r="AE20"/>
  <c r="AM20"/>
  <c r="BC20"/>
  <c r="BS20"/>
  <c r="CI20"/>
  <c r="CY20"/>
  <c r="AK21"/>
  <c r="AS21"/>
  <c r="BA21"/>
  <c r="BI21"/>
  <c r="BQ21"/>
  <c r="BY21"/>
  <c r="CG21"/>
  <c r="CO21"/>
  <c r="CW21"/>
  <c r="AW57" i="13"/>
  <c r="AT57" s="1"/>
  <c r="I35"/>
  <c r="BA74" s="1"/>
  <c r="BD74" s="1"/>
  <c r="AW40"/>
  <c r="AS40" s="1"/>
  <c r="AW50"/>
  <c r="AT50" s="1"/>
  <c r="AW64"/>
  <c r="M64" s="1"/>
  <c r="AW47"/>
  <c r="AU47" s="1"/>
  <c r="AW54"/>
  <c r="AU54" s="1"/>
  <c r="AW61"/>
  <c r="AS61" s="1"/>
  <c r="AW68"/>
  <c r="AU68" s="1"/>
  <c r="CL71" i="1"/>
  <c r="CL64"/>
  <c r="CL57"/>
  <c r="CL51"/>
  <c r="CL44"/>
  <c r="AY66" i="13"/>
  <c r="AY59"/>
  <c r="AY52"/>
  <c r="AY45"/>
  <c r="H35"/>
  <c r="H36" s="1"/>
  <c r="BA75" s="1"/>
  <c r="BD75" s="1"/>
  <c r="AW42"/>
  <c r="AV42" s="1"/>
  <c r="AW45"/>
  <c r="AV45" s="1"/>
  <c r="AW49"/>
  <c r="K49" s="1"/>
  <c r="AW52"/>
  <c r="AT52" s="1"/>
  <c r="AW55"/>
  <c r="K55" s="1"/>
  <c r="AW59"/>
  <c r="K59" s="1"/>
  <c r="AW62"/>
  <c r="K62" s="1"/>
  <c r="AW66"/>
  <c r="AT66" s="1"/>
  <c r="AW69"/>
  <c r="K69" s="1"/>
  <c r="AY68"/>
  <c r="AY64"/>
  <c r="AY61"/>
  <c r="AY57"/>
  <c r="AY54"/>
  <c r="AY50"/>
  <c r="AY47"/>
  <c r="AY43"/>
  <c r="AY40"/>
  <c r="K42"/>
  <c r="K45"/>
  <c r="AO47"/>
  <c r="J70"/>
  <c r="J71" s="1"/>
  <c r="J72" i="1"/>
  <c r="J73" s="1"/>
  <c r="AO9" i="10"/>
  <c r="AS9"/>
  <c r="C9" s="1"/>
  <c r="AO16"/>
  <c r="AS16"/>
  <c r="C16" s="1"/>
  <c r="AO23"/>
  <c r="AS23"/>
  <c r="C23" s="1"/>
  <c r="AO30"/>
  <c r="AS30"/>
  <c r="C30" s="1"/>
  <c r="AR2"/>
  <c r="AO2" s="1"/>
  <c r="AR26"/>
  <c r="AR19"/>
  <c r="AR12"/>
  <c r="AR5"/>
  <c r="AT30"/>
  <c r="AT23"/>
  <c r="AT16"/>
  <c r="AT9"/>
  <c r="AR31"/>
  <c r="AR28"/>
  <c r="AR24"/>
  <c r="AR21"/>
  <c r="AR17"/>
  <c r="AR14"/>
  <c r="AR11"/>
  <c r="AR7"/>
  <c r="AR4"/>
  <c r="CQ73" i="1"/>
  <c r="CP73"/>
  <c r="CJ76"/>
  <c r="CJ77"/>
  <c r="AY70" i="13" l="1"/>
  <c r="AS20" i="17"/>
  <c r="CM20" i="16"/>
  <c r="BQ20" i="17"/>
  <c r="BO20" i="16"/>
  <c r="BY20" i="17"/>
  <c r="BG20" i="16"/>
  <c r="AG18" i="17"/>
  <c r="CY18" i="16"/>
  <c r="AO18" i="17"/>
  <c r="CQ18" i="16"/>
  <c r="AW18" i="17"/>
  <c r="CI18" i="16"/>
  <c r="BU18" i="17"/>
  <c r="BK18" i="16"/>
  <c r="CC18" i="17"/>
  <c r="BC18" i="16"/>
  <c r="BZ16" i="17"/>
  <c r="BF16" i="16"/>
  <c r="CP16" i="17"/>
  <c r="AP16" i="16"/>
  <c r="BA16" i="17"/>
  <c r="CE16" i="16"/>
  <c r="BI16" i="17"/>
  <c r="BW16" i="16"/>
  <c r="CG16" i="17"/>
  <c r="AY16" i="16"/>
  <c r="CO16" i="17"/>
  <c r="AQ16" i="16"/>
  <c r="AK14" i="17"/>
  <c r="CU14" i="16"/>
  <c r="AS14" i="17"/>
  <c r="CM14" i="16"/>
  <c r="AW14" i="17"/>
  <c r="CI14" i="16"/>
  <c r="BA14" i="17"/>
  <c r="CE14" i="16"/>
  <c r="BI14" i="17"/>
  <c r="BW14" i="16"/>
  <c r="BY14" i="17"/>
  <c r="BG14" i="16"/>
  <c r="CC14" i="17"/>
  <c r="BC14" i="16"/>
  <c r="CG14" i="17"/>
  <c r="AY14" i="16"/>
  <c r="CO14" i="17"/>
  <c r="AQ14" i="16"/>
  <c r="AO12" i="17"/>
  <c r="CQ12" i="16"/>
  <c r="AS12" i="17"/>
  <c r="CM12" i="16"/>
  <c r="BE12" i="17"/>
  <c r="CA12" i="16"/>
  <c r="BI12" i="17"/>
  <c r="BW12" i="16"/>
  <c r="BU12" i="17"/>
  <c r="BK12" i="16"/>
  <c r="BY12" i="17"/>
  <c r="BG12" i="16"/>
  <c r="CK12" i="17"/>
  <c r="AU12" i="16"/>
  <c r="CO12" i="17"/>
  <c r="AQ12" i="16"/>
  <c r="CB10" i="17"/>
  <c r="BD10" i="16"/>
  <c r="CJ10" i="17"/>
  <c r="AV10" i="16"/>
  <c r="CC10" i="17"/>
  <c r="BC10" i="16"/>
  <c r="CO10" i="17"/>
  <c r="AQ10" i="16"/>
  <c r="CS10" i="17"/>
  <c r="AM10" i="16"/>
  <c r="AU8" i="17"/>
  <c r="CK8" i="16"/>
  <c r="BK8" i="17"/>
  <c r="BU8" i="16"/>
  <c r="CA8" i="17"/>
  <c r="BE8" i="16"/>
  <c r="CQ8" i="17"/>
  <c r="AO8" i="16"/>
  <c r="AF6" i="17"/>
  <c r="CZ6" i="16"/>
  <c r="AJ6" i="17"/>
  <c r="CV6" i="16"/>
  <c r="AN6" i="17"/>
  <c r="CR6" i="16"/>
  <c r="AR6" i="17"/>
  <c r="CN6" i="16"/>
  <c r="AV6" i="17"/>
  <c r="CJ6" i="16"/>
  <c r="AZ6" i="17"/>
  <c r="CF6" i="16"/>
  <c r="BD6" i="17"/>
  <c r="CB6" i="16"/>
  <c r="BH6" i="17"/>
  <c r="BX6" i="16"/>
  <c r="BL6" i="17"/>
  <c r="BT6" i="16"/>
  <c r="BP6" i="17"/>
  <c r="BP6" i="16"/>
  <c r="BT6" i="17"/>
  <c r="BL6" i="16"/>
  <c r="BX6" i="17"/>
  <c r="BH6" i="16"/>
  <c r="CB6" i="17"/>
  <c r="BD6" i="16"/>
  <c r="CF6" i="17"/>
  <c r="AZ6" i="16"/>
  <c r="CJ6" i="17"/>
  <c r="AV6" i="16"/>
  <c r="CN6" i="17"/>
  <c r="AR6" i="16"/>
  <c r="CR6" i="17"/>
  <c r="AN6" i="16"/>
  <c r="CV6" i="17"/>
  <c r="AJ6" i="16"/>
  <c r="CZ6" i="17"/>
  <c r="AF6" i="16"/>
  <c r="AJ4" i="17"/>
  <c r="CV4" i="16"/>
  <c r="AR4" i="17"/>
  <c r="CN4" i="16"/>
  <c r="AZ4" i="17"/>
  <c r="CF4" i="16"/>
  <c r="BH4" i="17"/>
  <c r="BX4" i="16"/>
  <c r="BP4" i="17"/>
  <c r="BP4" i="16"/>
  <c r="BX4" i="17"/>
  <c r="BH4" i="16"/>
  <c r="CF4" i="17"/>
  <c r="AZ4" i="16"/>
  <c r="CN4" i="17"/>
  <c r="AR4" i="16"/>
  <c r="CV4" i="17"/>
  <c r="AJ4" i="16"/>
  <c r="AE4" i="17"/>
  <c r="DA4" i="16"/>
  <c r="AG4" i="17"/>
  <c r="CY4" i="16"/>
  <c r="AK4" i="17"/>
  <c r="CU4" i="16"/>
  <c r="AS4" i="17"/>
  <c r="CM4" i="16"/>
  <c r="BA4" i="17"/>
  <c r="CE4" i="16"/>
  <c r="BI4" i="17"/>
  <c r="BW4" i="16"/>
  <c r="BQ4" i="17"/>
  <c r="BO4" i="16"/>
  <c r="BY4" i="17"/>
  <c r="BG4" i="16"/>
  <c r="CG4" i="17"/>
  <c r="AY4" i="16"/>
  <c r="CO4" i="17"/>
  <c r="AQ4" i="16"/>
  <c r="CW4" i="17"/>
  <c r="AI4" i="16"/>
  <c r="AL19" i="17"/>
  <c r="CT19" i="16"/>
  <c r="AT19" i="17"/>
  <c r="CL19" i="16"/>
  <c r="BB19" i="17"/>
  <c r="CD19" i="16"/>
  <c r="BJ19" i="17"/>
  <c r="BV19" i="16"/>
  <c r="BR19" i="17"/>
  <c r="BN19" i="16"/>
  <c r="BZ19" i="17"/>
  <c r="BF19" i="16"/>
  <c r="CH19" i="17"/>
  <c r="AX19" i="16"/>
  <c r="CP19" i="17"/>
  <c r="AP19" i="16"/>
  <c r="CX19" i="17"/>
  <c r="AH19" i="16"/>
  <c r="AK19" i="17"/>
  <c r="CU19" i="16"/>
  <c r="AS19" i="17"/>
  <c r="CM19" i="16"/>
  <c r="BA19" i="17"/>
  <c r="CE19" i="16"/>
  <c r="BI19" i="17"/>
  <c r="BW19" i="16"/>
  <c r="BQ19" i="17"/>
  <c r="BO19" i="16"/>
  <c r="BY19" i="17"/>
  <c r="BG19" i="16"/>
  <c r="CG19" i="17"/>
  <c r="AY19" i="16"/>
  <c r="CO19" i="17"/>
  <c r="AQ19" i="16"/>
  <c r="CW19" i="17"/>
  <c r="AI19" i="16"/>
  <c r="AL17" i="17"/>
  <c r="CT17" i="16"/>
  <c r="AT17" i="17"/>
  <c r="CL17" i="16"/>
  <c r="AK17" i="17"/>
  <c r="CU17" i="16"/>
  <c r="AO17" i="17"/>
  <c r="CQ17" i="16"/>
  <c r="BE17" i="17"/>
  <c r="CA17" i="16"/>
  <c r="BU17" i="17"/>
  <c r="BK17" i="16"/>
  <c r="CK17" i="17"/>
  <c r="AU17" i="16"/>
  <c r="BB17" i="17"/>
  <c r="CD17" i="16"/>
  <c r="BJ17" i="17"/>
  <c r="BV17" i="16"/>
  <c r="BR17" i="17"/>
  <c r="BN17" i="16"/>
  <c r="BZ17" i="17"/>
  <c r="BF17" i="16"/>
  <c r="CH17" i="17"/>
  <c r="AX17" i="16"/>
  <c r="CP17" i="17"/>
  <c r="AP17" i="16"/>
  <c r="CX17" i="17"/>
  <c r="AH17" i="16"/>
  <c r="CW17" i="17"/>
  <c r="AI17" i="16"/>
  <c r="AG15" i="17"/>
  <c r="CY15" i="16"/>
  <c r="AO15" i="17"/>
  <c r="CQ15" i="16"/>
  <c r="AW15" i="17"/>
  <c r="CI15" i="16"/>
  <c r="BE15" i="17"/>
  <c r="CA15" i="16"/>
  <c r="BM15" i="17"/>
  <c r="BS15" i="16"/>
  <c r="BU15" i="17"/>
  <c r="BK15" i="16"/>
  <c r="CC15" i="17"/>
  <c r="BC15" i="16"/>
  <c r="CK15" i="17"/>
  <c r="AU15" i="16"/>
  <c r="CS15" i="17"/>
  <c r="AM15" i="16"/>
  <c r="AL13" i="17"/>
  <c r="CT13" i="16"/>
  <c r="AT13" i="17"/>
  <c r="CL13" i="16"/>
  <c r="BB13" i="17"/>
  <c r="CD13" i="16"/>
  <c r="BJ13" i="17"/>
  <c r="BV13" i="16"/>
  <c r="BR13" i="17"/>
  <c r="BN13" i="16"/>
  <c r="BZ13" i="17"/>
  <c r="BF13" i="16"/>
  <c r="CH13" i="17"/>
  <c r="AX13" i="16"/>
  <c r="CP13" i="17"/>
  <c r="AP13" i="16"/>
  <c r="CX13" i="17"/>
  <c r="AH13" i="16"/>
  <c r="AU9" i="17"/>
  <c r="CK9" i="16"/>
  <c r="BK9" i="17"/>
  <c r="BU9" i="16"/>
  <c r="CA9" i="17"/>
  <c r="BE9" i="16"/>
  <c r="CQ9" i="17"/>
  <c r="AO9" i="16"/>
  <c r="AF5" i="17"/>
  <c r="CZ5" i="16"/>
  <c r="AJ5" i="17"/>
  <c r="CV5" i="16"/>
  <c r="AN5" i="17"/>
  <c r="CR5" i="16"/>
  <c r="AR5" i="17"/>
  <c r="CN5" i="16"/>
  <c r="AV5" i="17"/>
  <c r="CJ5" i="16"/>
  <c r="AZ5" i="17"/>
  <c r="CF5" i="16"/>
  <c r="BD5" i="17"/>
  <c r="CB5" i="16"/>
  <c r="BH5" i="17"/>
  <c r="BX5" i="16"/>
  <c r="BL5" i="17"/>
  <c r="BT5" i="16"/>
  <c r="BP5" i="17"/>
  <c r="BP5" i="16"/>
  <c r="BT5" i="17"/>
  <c r="BL5" i="16"/>
  <c r="BX5" i="17"/>
  <c r="BH5" i="16"/>
  <c r="CB5" i="17"/>
  <c r="BD5" i="16"/>
  <c r="CF5" i="17"/>
  <c r="AZ5" i="16"/>
  <c r="CJ5" i="17"/>
  <c r="AV5" i="16"/>
  <c r="CN5" i="17"/>
  <c r="AR5" i="16"/>
  <c r="CR5" i="17"/>
  <c r="AN5" i="16"/>
  <c r="CV5" i="17"/>
  <c r="AJ5" i="16"/>
  <c r="CZ5" i="17"/>
  <c r="AF5" i="16"/>
  <c r="AD20"/>
  <c r="DB20" i="17"/>
  <c r="DB19"/>
  <c r="AD19" i="16"/>
  <c r="DB12" i="17"/>
  <c r="AD12" i="16"/>
  <c r="AD8" i="17"/>
  <c r="DB8" i="16"/>
  <c r="DB4" i="17"/>
  <c r="K72" i="1"/>
  <c r="K73" s="1"/>
  <c r="AD4" i="16"/>
  <c r="DB18" i="17"/>
  <c r="AD18" i="16"/>
  <c r="DB10" i="17"/>
  <c r="AD10" i="16"/>
  <c r="AJ8" i="17"/>
  <c r="CV8" i="16"/>
  <c r="AR8" i="17"/>
  <c r="CN8" i="16"/>
  <c r="AZ8" i="17"/>
  <c r="CF8" i="16"/>
  <c r="BH8" i="17"/>
  <c r="BX8" i="16"/>
  <c r="BP8" i="17"/>
  <c r="BP8" i="16"/>
  <c r="BX8" i="17"/>
  <c r="BH8" i="16"/>
  <c r="CF8" i="17"/>
  <c r="T215" s="1"/>
  <c r="U215" i="16" s="1"/>
  <c r="AZ8"/>
  <c r="CN8" i="17"/>
  <c r="T447" s="1"/>
  <c r="U447" i="16" s="1"/>
  <c r="AR8"/>
  <c r="CV8" i="17"/>
  <c r="AJ8" i="16"/>
  <c r="AQ6" i="17"/>
  <c r="CO6" i="16"/>
  <c r="BG6" i="17"/>
  <c r="BY6" i="16"/>
  <c r="BW6" i="17"/>
  <c r="T851" s="1"/>
  <c r="U851" i="16" s="1"/>
  <c r="BI6"/>
  <c r="CM6" i="17"/>
  <c r="T121" s="1"/>
  <c r="U121" i="16" s="1"/>
  <c r="AS6"/>
  <c r="AE6" i="17"/>
  <c r="DA6" i="16"/>
  <c r="AF9" i="17"/>
  <c r="CZ9" i="16"/>
  <c r="AJ9" i="17"/>
  <c r="CV9" i="16"/>
  <c r="AN9" i="17"/>
  <c r="CR9" i="16"/>
  <c r="AR9" i="17"/>
  <c r="CN9" i="16"/>
  <c r="AV9" i="17"/>
  <c r="CJ9" i="16"/>
  <c r="AZ9" i="17"/>
  <c r="CF9" i="16"/>
  <c r="BD9" i="17"/>
  <c r="CB9" i="16"/>
  <c r="BH9" i="17"/>
  <c r="T924" s="1"/>
  <c r="U924" i="16" s="1"/>
  <c r="BX9"/>
  <c r="BL9" i="17"/>
  <c r="T920" s="1"/>
  <c r="U920" i="16" s="1"/>
  <c r="BT9"/>
  <c r="BP9" i="17"/>
  <c r="T915" s="1"/>
  <c r="U915" i="16" s="1"/>
  <c r="BP9"/>
  <c r="BT9" i="17"/>
  <c r="T237" s="1"/>
  <c r="U237" i="16" s="1"/>
  <c r="BL9"/>
  <c r="BX9" i="17"/>
  <c r="T226" s="1"/>
  <c r="U226" i="16" s="1"/>
  <c r="BH9"/>
  <c r="CB9" i="17"/>
  <c r="T190" s="1"/>
  <c r="U190" i="16" s="1"/>
  <c r="BD9"/>
  <c r="CF9" i="17"/>
  <c r="T180" s="1"/>
  <c r="U180" i="16" s="1"/>
  <c r="AZ9"/>
  <c r="CJ9" i="17"/>
  <c r="T148" s="1"/>
  <c r="U148" i="16" s="1"/>
  <c r="AV9"/>
  <c r="CN9" i="17"/>
  <c r="T756" s="1"/>
  <c r="U756" i="16" s="1"/>
  <c r="AR9"/>
  <c r="CR9" i="17"/>
  <c r="T708" s="1"/>
  <c r="U708" i="16" s="1"/>
  <c r="AN9"/>
  <c r="AU7" i="17"/>
  <c r="CK7" i="16"/>
  <c r="AF7" i="17"/>
  <c r="CZ7" i="16"/>
  <c r="AJ7" i="17"/>
  <c r="CV7" i="16"/>
  <c r="AV7" i="17"/>
  <c r="CJ7" i="16"/>
  <c r="AZ7" i="17"/>
  <c r="CF7" i="16"/>
  <c r="AH21" i="17"/>
  <c r="CX21" i="16"/>
  <c r="AL21" i="17"/>
  <c r="CT21" i="16"/>
  <c r="AP21" i="17"/>
  <c r="CP21" i="16"/>
  <c r="AT21" i="17"/>
  <c r="CL21" i="16"/>
  <c r="AX21" i="17"/>
  <c r="CH21" i="16"/>
  <c r="BB21" i="17"/>
  <c r="CD21" i="16"/>
  <c r="BF21" i="17"/>
  <c r="BZ21" i="16"/>
  <c r="BJ21" i="17"/>
  <c r="BV21" i="16"/>
  <c r="BN21" i="17"/>
  <c r="BR21" i="16"/>
  <c r="BR21" i="17"/>
  <c r="BN21" i="16"/>
  <c r="BV21" i="17"/>
  <c r="BJ21" i="16"/>
  <c r="BZ21" i="17"/>
  <c r="BF21" i="16"/>
  <c r="CD21" i="17"/>
  <c r="BB21" i="16"/>
  <c r="CH21" i="17"/>
  <c r="AX21" i="16"/>
  <c r="CL21" i="17"/>
  <c r="AT21" i="16"/>
  <c r="CP21" i="17"/>
  <c r="AP21" i="16"/>
  <c r="CT21" i="17"/>
  <c r="AL21" i="16"/>
  <c r="CX21" i="17"/>
  <c r="AH21" i="16"/>
  <c r="AG21" i="17"/>
  <c r="CY21" i="16"/>
  <c r="AK21" i="17"/>
  <c r="CU21" i="16"/>
  <c r="AW21" i="17"/>
  <c r="CI21" i="16"/>
  <c r="BA21" i="17"/>
  <c r="CE21" i="16"/>
  <c r="BM21" i="17"/>
  <c r="BS21" i="16"/>
  <c r="BQ21" i="17"/>
  <c r="BO21" i="16"/>
  <c r="CC21" i="17"/>
  <c r="BC21" i="16"/>
  <c r="CG21" i="17"/>
  <c r="AY21" i="16"/>
  <c r="CS21" i="17"/>
  <c r="AM21" i="16"/>
  <c r="CW21" i="17"/>
  <c r="AI21" i="16"/>
  <c r="AH11" i="17"/>
  <c r="CX11" i="16"/>
  <c r="AL11" i="17"/>
  <c r="CT11" i="16"/>
  <c r="AP11" i="17"/>
  <c r="CP11" i="16"/>
  <c r="AT11" i="17"/>
  <c r="CL11" i="16"/>
  <c r="AX11" i="17"/>
  <c r="CH11" i="16"/>
  <c r="BB11" i="17"/>
  <c r="CD11" i="16"/>
  <c r="BF11" i="17"/>
  <c r="BZ11" i="16"/>
  <c r="BJ11" i="17"/>
  <c r="BV11" i="16"/>
  <c r="BN11" i="17"/>
  <c r="T588" s="1"/>
  <c r="U588" i="16" s="1"/>
  <c r="BR11"/>
  <c r="BR11" i="17"/>
  <c r="T270" s="1"/>
  <c r="U270" i="16" s="1"/>
  <c r="BN11"/>
  <c r="BV11" i="17"/>
  <c r="T567" s="1"/>
  <c r="U567" i="16" s="1"/>
  <c r="BJ11"/>
  <c r="BZ11" i="17"/>
  <c r="T558" s="1"/>
  <c r="U558" i="16" s="1"/>
  <c r="BF11"/>
  <c r="CD11" i="17"/>
  <c r="T548" s="1"/>
  <c r="U548" i="16" s="1"/>
  <c r="BB11"/>
  <c r="CH11" i="17"/>
  <c r="T870" s="1"/>
  <c r="U870" i="16" s="1"/>
  <c r="AX11"/>
  <c r="CL11" i="17"/>
  <c r="T511" s="1"/>
  <c r="U511" i="16" s="1"/>
  <c r="AT11"/>
  <c r="CP11" i="17"/>
  <c r="T827" s="1"/>
  <c r="U827" i="16" s="1"/>
  <c r="AP11"/>
  <c r="CT11" i="17"/>
  <c r="T417" s="1"/>
  <c r="U417" i="16" s="1"/>
  <c r="AL11"/>
  <c r="CX11" i="17"/>
  <c r="T734" s="1"/>
  <c r="U734" i="16" s="1"/>
  <c r="AH11"/>
  <c r="CQ20"/>
  <c r="CA20"/>
  <c r="BK20"/>
  <c r="AU20"/>
  <c r="CU18"/>
  <c r="CE18"/>
  <c r="BO18"/>
  <c r="AY18"/>
  <c r="AI18"/>
  <c r="BY17"/>
  <c r="BI17"/>
  <c r="AS17"/>
  <c r="CY16"/>
  <c r="CI16"/>
  <c r="BS16"/>
  <c r="BC16"/>
  <c r="AM16"/>
  <c r="AI15"/>
  <c r="CY13"/>
  <c r="CQ13"/>
  <c r="CI13"/>
  <c r="CA13"/>
  <c r="BS13"/>
  <c r="BK13"/>
  <c r="BC13"/>
  <c r="AU13"/>
  <c r="AM13"/>
  <c r="CW10"/>
  <c r="CO10"/>
  <c r="CG10"/>
  <c r="BY10"/>
  <c r="BQ10"/>
  <c r="BI10"/>
  <c r="AE9"/>
  <c r="CO8"/>
  <c r="BY8"/>
  <c r="BI8"/>
  <c r="AS8"/>
  <c r="AD15"/>
  <c r="AD11"/>
  <c r="AD7"/>
  <c r="CO9"/>
  <c r="BY9"/>
  <c r="BI9"/>
  <c r="AS9"/>
  <c r="AH20"/>
  <c r="BJ20"/>
  <c r="CH20"/>
  <c r="CP20"/>
  <c r="CX20"/>
  <c r="AH18"/>
  <c r="AL18"/>
  <c r="AP18"/>
  <c r="AT18"/>
  <c r="AX18"/>
  <c r="BB18"/>
  <c r="BF18"/>
  <c r="BJ18"/>
  <c r="BN18"/>
  <c r="BR18"/>
  <c r="BV18"/>
  <c r="BZ18"/>
  <c r="CD18"/>
  <c r="CH18"/>
  <c r="CL18"/>
  <c r="CP18"/>
  <c r="CT18"/>
  <c r="CX18"/>
  <c r="AT16"/>
  <c r="BJ16"/>
  <c r="BN16"/>
  <c r="BR16"/>
  <c r="BV16"/>
  <c r="BZ16"/>
  <c r="CD16"/>
  <c r="CH16"/>
  <c r="CL16"/>
  <c r="CP16"/>
  <c r="CT16"/>
  <c r="CX16"/>
  <c r="AH12"/>
  <c r="AL12"/>
  <c r="AP12"/>
  <c r="AT12"/>
  <c r="AX12"/>
  <c r="BB12"/>
  <c r="BF12"/>
  <c r="BJ12"/>
  <c r="BN12"/>
  <c r="BR12"/>
  <c r="BV12"/>
  <c r="BZ12"/>
  <c r="CD12"/>
  <c r="CH12"/>
  <c r="CL12"/>
  <c r="CP12"/>
  <c r="CT12"/>
  <c r="CX12"/>
  <c r="AF10"/>
  <c r="AN10"/>
  <c r="BB10"/>
  <c r="AM19"/>
  <c r="BC19"/>
  <c r="BS19"/>
  <c r="CI19"/>
  <c r="CY19"/>
  <c r="AT19"/>
  <c r="BJ19"/>
  <c r="BZ19"/>
  <c r="CP19"/>
  <c r="CM17"/>
  <c r="AQ15"/>
  <c r="BG15"/>
  <c r="BW15"/>
  <c r="CM15"/>
  <c r="AL15"/>
  <c r="AP15"/>
  <c r="AT15"/>
  <c r="AX15"/>
  <c r="BB15"/>
  <c r="BF15"/>
  <c r="BJ15"/>
  <c r="BN15"/>
  <c r="BR15"/>
  <c r="BV15"/>
  <c r="BZ15"/>
  <c r="CD15"/>
  <c r="CH15"/>
  <c r="CL15"/>
  <c r="CP15"/>
  <c r="CT15"/>
  <c r="CX15"/>
  <c r="AT13"/>
  <c r="BJ13"/>
  <c r="BZ13"/>
  <c r="CP13"/>
  <c r="AQ20"/>
  <c r="AM18"/>
  <c r="AI16"/>
  <c r="AI14"/>
  <c r="BS12"/>
  <c r="AM12"/>
  <c r="CI4"/>
  <c r="BS4"/>
  <c r="BC4"/>
  <c r="AM4"/>
  <c r="CU20"/>
  <c r="CA18"/>
  <c r="CM16"/>
  <c r="CY14"/>
  <c r="AM14"/>
  <c r="CU12"/>
  <c r="BO12"/>
  <c r="AI12"/>
  <c r="AU10"/>
  <c r="CY12"/>
  <c r="AN4"/>
  <c r="BD4"/>
  <c r="BT4"/>
  <c r="CJ4"/>
  <c r="AH16"/>
  <c r="CU16"/>
  <c r="AW8"/>
  <c r="CC8"/>
  <c r="AT17"/>
  <c r="BJ17"/>
  <c r="BZ17"/>
  <c r="CP17"/>
  <c r="BC17"/>
  <c r="CI17"/>
  <c r="AG9"/>
  <c r="BM9"/>
  <c r="CS9"/>
  <c r="AY20"/>
  <c r="AU14"/>
  <c r="CA14"/>
  <c r="AI10"/>
  <c r="AD7" i="17"/>
  <c r="AD11"/>
  <c r="T581"/>
  <c r="U581" i="16" s="1"/>
  <c r="T590" i="17"/>
  <c r="U590" i="16" s="1"/>
  <c r="T276" i="17"/>
  <c r="U276" i="16" s="1"/>
  <c r="T260" i="17"/>
  <c r="U260" i="16" s="1"/>
  <c r="T565" i="17"/>
  <c r="U565" i="16" s="1"/>
  <c r="T907" i="17"/>
  <c r="U907" i="16" s="1"/>
  <c r="T899" i="17"/>
  <c r="U899" i="16" s="1"/>
  <c r="T266" i="17"/>
  <c r="U266" i="16" s="1"/>
  <c r="T876" i="17"/>
  <c r="U876" i="16" s="1"/>
  <c r="T864" i="17"/>
  <c r="U864" i="16" s="1"/>
  <c r="T542" i="17"/>
  <c r="U542" i="16" s="1"/>
  <c r="T530" i="17"/>
  <c r="U530" i="16" s="1"/>
  <c r="T837" i="17"/>
  <c r="U837" i="16" s="1"/>
  <c r="T518" i="17"/>
  <c r="U518" i="16" s="1"/>
  <c r="T821" i="17"/>
  <c r="U821" i="16" s="1"/>
  <c r="T849" i="17"/>
  <c r="U849" i="16" s="1"/>
  <c r="T516" i="17"/>
  <c r="U516" i="16" s="1"/>
  <c r="T203" i="17"/>
  <c r="U203" i="16" s="1"/>
  <c r="T493" i="17"/>
  <c r="U493" i="16" s="1"/>
  <c r="T505" i="17"/>
  <c r="U505" i="16" s="1"/>
  <c r="T540" i="17"/>
  <c r="U540" i="16" s="1"/>
  <c r="T235" i="17"/>
  <c r="U235" i="16" s="1"/>
  <c r="T192" i="17"/>
  <c r="U192" i="16" s="1"/>
  <c r="T224" i="17"/>
  <c r="U224" i="16" s="1"/>
  <c r="T806" i="17"/>
  <c r="U806" i="16" s="1"/>
  <c r="T171" i="17"/>
  <c r="U171" i="16" s="1"/>
  <c r="T491" i="17"/>
  <c r="U491" i="16" s="1"/>
  <c r="T794" i="17"/>
  <c r="U794" i="16" s="1"/>
  <c r="T847" i="17"/>
  <c r="U847" i="16" s="1"/>
  <c r="T819" i="17"/>
  <c r="U819" i="16" s="1"/>
  <c r="T470" i="17"/>
  <c r="U470" i="16" s="1"/>
  <c r="T514" i="17"/>
  <c r="U514" i="16" s="1"/>
  <c r="T211" i="17"/>
  <c r="U211" i="16" s="1"/>
  <c r="T438" i="17"/>
  <c r="U438" i="16" s="1"/>
  <c r="T831" i="17"/>
  <c r="U831" i="16" s="1"/>
  <c r="T767" i="17"/>
  <c r="U767" i="16" s="1"/>
  <c r="T199" i="17"/>
  <c r="U199" i="16" s="1"/>
  <c r="T489" i="17"/>
  <c r="U489" i="16" s="1"/>
  <c r="T817" i="17"/>
  <c r="U817" i="16" s="1"/>
  <c r="T745" i="17"/>
  <c r="U745" i="16" s="1"/>
  <c r="T501" i="17"/>
  <c r="U501" i="16" s="1"/>
  <c r="T150" i="17"/>
  <c r="U150" i="16" s="1"/>
  <c r="T188" i="17"/>
  <c r="U188" i="16" s="1"/>
  <c r="T428" i="17"/>
  <c r="U428" i="16" s="1"/>
  <c r="T765" i="17"/>
  <c r="U765" i="16" s="1"/>
  <c r="T732" i="17"/>
  <c r="U732" i="16" s="1"/>
  <c r="T130" i="17"/>
  <c r="U130" i="16" s="1"/>
  <c r="T476" i="17"/>
  <c r="U476" i="16" s="1"/>
  <c r="T445" i="17"/>
  <c r="U445" i="16" s="1"/>
  <c r="T743" i="17"/>
  <c r="U743" i="16" s="1"/>
  <c r="T466" i="17"/>
  <c r="U466" i="16" s="1"/>
  <c r="T139" i="17"/>
  <c r="U139" i="16" s="1"/>
  <c r="T167" i="17"/>
  <c r="U167" i="16" s="1"/>
  <c r="T426" i="17"/>
  <c r="U426" i="16" s="1"/>
  <c r="T730" i="17"/>
  <c r="U730" i="16" s="1"/>
  <c r="T464" i="17"/>
  <c r="U464" i="16" s="1"/>
  <c r="T137" i="17"/>
  <c r="U137" i="16" s="1"/>
  <c r="T415" i="17"/>
  <c r="U415" i="16" s="1"/>
  <c r="T443" i="17"/>
  <c r="U443" i="16" s="1"/>
  <c r="T720" i="17"/>
  <c r="U720" i="16" s="1"/>
  <c r="T763" i="17"/>
  <c r="U763" i="16" s="1"/>
  <c r="T710" i="17"/>
  <c r="U710" i="16" s="1"/>
  <c r="T424" i="17"/>
  <c r="U424" i="16" s="1"/>
  <c r="T128" i="17"/>
  <c r="U128" i="16" s="1"/>
  <c r="T146" i="17"/>
  <c r="U146" i="16" s="1"/>
  <c r="T155" i="17"/>
  <c r="U155" i="16" s="1"/>
  <c r="T432" i="17"/>
  <c r="U432" i="16" s="1"/>
  <c r="T761" i="17"/>
  <c r="U761" i="16" s="1"/>
  <c r="T101" i="17"/>
  <c r="U101" i="16" s="1"/>
  <c r="T126" i="17"/>
  <c r="U126" i="16" s="1"/>
  <c r="T422" i="17"/>
  <c r="U422" i="16" s="1"/>
  <c r="T441" i="17"/>
  <c r="U441" i="16" s="1"/>
  <c r="T698" i="17"/>
  <c r="U698" i="16" s="1"/>
  <c r="T739" i="17"/>
  <c r="U739" i="16" s="1"/>
  <c r="T750" i="17"/>
  <c r="U750" i="16" s="1"/>
  <c r="T135" i="17"/>
  <c r="U135" i="16" s="1"/>
  <c r="T109" i="17"/>
  <c r="U109" i="16" s="1"/>
  <c r="T716" i="17"/>
  <c r="U716" i="16" s="1"/>
  <c r="T726" i="17"/>
  <c r="U726" i="16" s="1"/>
  <c r="T420" i="17"/>
  <c r="U420" i="16" s="1"/>
  <c r="T402" i="17"/>
  <c r="U402" i="16" s="1"/>
  <c r="T107" i="17"/>
  <c r="U107" i="16" s="1"/>
  <c r="T737" i="17"/>
  <c r="U737" i="16" s="1"/>
  <c r="T115" i="17"/>
  <c r="U115" i="16" s="1"/>
  <c r="T124" i="17"/>
  <c r="U124" i="16" s="1"/>
  <c r="T411" i="17"/>
  <c r="U411" i="16" s="1"/>
  <c r="T694" i="17"/>
  <c r="U694" i="16" s="1"/>
  <c r="T704" i="17"/>
  <c r="U704" i="16" s="1"/>
  <c r="T89" i="17"/>
  <c r="U89" i="16" s="1"/>
  <c r="T676" i="17"/>
  <c r="U676" i="16" s="1"/>
  <c r="T383" i="17"/>
  <c r="U383" i="16" s="1"/>
  <c r="T97" i="17"/>
  <c r="U97" i="16" s="1"/>
  <c r="T391" i="17"/>
  <c r="U391" i="16" s="1"/>
  <c r="T712" i="17"/>
  <c r="U712" i="16" s="1"/>
  <c r="T658" i="17"/>
  <c r="U658" i="16" s="1"/>
  <c r="T95" i="17"/>
  <c r="U95" i="16" s="1"/>
  <c r="T373" i="17"/>
  <c r="U373" i="16" s="1"/>
  <c r="T103" i="17"/>
  <c r="U103" i="16" s="1"/>
  <c r="T692" i="17"/>
  <c r="U692" i="16" s="1"/>
  <c r="T702" i="17"/>
  <c r="U702" i="16" s="1"/>
  <c r="T365" i="17"/>
  <c r="U365" i="16" s="1"/>
  <c r="T65" i="17"/>
  <c r="U65" i="16" s="1"/>
  <c r="T87" i="17"/>
  <c r="U87" i="16" s="1"/>
  <c r="T672" i="17"/>
  <c r="U672" i="16" s="1"/>
  <c r="T63" i="17"/>
  <c r="U63" i="16" s="1"/>
  <c r="T85" i="17"/>
  <c r="U85" i="16" s="1"/>
  <c r="T664" i="17"/>
  <c r="U664" i="16" s="1"/>
  <c r="T379" i="17"/>
  <c r="U379" i="16" s="1"/>
  <c r="T56" i="17"/>
  <c r="U56" i="16" s="1"/>
  <c r="T70" i="17"/>
  <c r="U70" i="16" s="1"/>
  <c r="T371" i="17"/>
  <c r="U371" i="16" s="1"/>
  <c r="T78" i="17"/>
  <c r="U78" i="16" s="1"/>
  <c r="T363" i="17"/>
  <c r="U363" i="16" s="1"/>
  <c r="T662" i="17"/>
  <c r="U662" i="16" s="1"/>
  <c r="T639" i="17"/>
  <c r="U639" i="16" s="1"/>
  <c r="T670" i="17"/>
  <c r="U670" i="16" s="1"/>
  <c r="T54" i="17"/>
  <c r="U54" i="16" s="1"/>
  <c r="T68" i="17"/>
  <c r="U68" i="16" s="1"/>
  <c r="T369" i="17"/>
  <c r="U369" i="16" s="1"/>
  <c r="T332" i="17"/>
  <c r="U332" i="16" s="1"/>
  <c r="T76" i="17"/>
  <c r="U76" i="16" s="1"/>
  <c r="T679" i="17"/>
  <c r="U679" i="16" s="1"/>
  <c r="T654" i="17"/>
  <c r="U654" i="16" s="1"/>
  <c r="T361" i="17"/>
  <c r="U361" i="16" s="1"/>
  <c r="T61" i="17"/>
  <c r="U61" i="16" s="1"/>
  <c r="T339" i="17"/>
  <c r="U339" i="16" s="1"/>
  <c r="T644" i="17"/>
  <c r="U644" i="16" s="1"/>
  <c r="T631" i="17"/>
  <c r="U631" i="16" s="1"/>
  <c r="T59" i="17"/>
  <c r="U59" i="16" s="1"/>
  <c r="T337" i="17"/>
  <c r="U337" i="16" s="1"/>
  <c r="T660" i="17"/>
  <c r="U660" i="16" s="1"/>
  <c r="T652" i="17"/>
  <c r="U652" i="16" s="1"/>
  <c r="T45" i="17"/>
  <c r="U45" i="16" s="1"/>
  <c r="T52" i="17"/>
  <c r="U52" i="16" s="1"/>
  <c r="T344" i="17"/>
  <c r="U344" i="16" s="1"/>
  <c r="T622" i="17"/>
  <c r="U622" i="16" s="1"/>
  <c r="T328" i="17"/>
  <c r="U328" i="16" s="1"/>
  <c r="T322" i="17"/>
  <c r="U322" i="16" s="1"/>
  <c r="T629" i="17"/>
  <c r="U629" i="16" s="1"/>
  <c r="T335" i="17"/>
  <c r="U335" i="16" s="1"/>
  <c r="T37" i="17"/>
  <c r="U37" i="16" s="1"/>
  <c r="T620" i="17"/>
  <c r="U620" i="16" s="1"/>
  <c r="T29" i="17"/>
  <c r="U29" i="16" s="1"/>
  <c r="T314" i="17"/>
  <c r="U314" i="16" s="1"/>
  <c r="T627" i="17"/>
  <c r="U627" i="16" s="1"/>
  <c r="T320" i="17"/>
  <c r="U320" i="16" s="1"/>
  <c r="T309" i="17"/>
  <c r="U309" i="16" s="1"/>
  <c r="T23" i="17"/>
  <c r="U23" i="16" s="1"/>
  <c r="T583" i="17"/>
  <c r="U583" i="16" s="1"/>
  <c r="T884" i="17"/>
  <c r="U884" i="16" s="1"/>
  <c r="T917" i="17"/>
  <c r="U917" i="16" s="1"/>
  <c r="T550" i="17"/>
  <c r="U550" i="16" s="1"/>
  <c r="T592" i="17"/>
  <c r="U592" i="16" s="1"/>
  <c r="T278" i="17"/>
  <c r="U278" i="16" s="1"/>
  <c r="T594" i="17"/>
  <c r="U594" i="16" s="1"/>
  <c r="T569" i="17"/>
  <c r="U569" i="16" s="1"/>
  <c r="T911" i="17"/>
  <c r="U911" i="16" s="1"/>
  <c r="T922" i="17"/>
  <c r="U922" i="16" s="1"/>
  <c r="T903" i="17"/>
  <c r="U903" i="16" s="1"/>
  <c r="T287" i="17"/>
  <c r="U287" i="16" s="1"/>
  <c r="T245" i="17"/>
  <c r="U245" i="16" s="1"/>
  <c r="T255" i="17"/>
  <c r="U255" i="16" s="1"/>
  <c r="T264" i="17"/>
  <c r="U264" i="16" s="1"/>
  <c r="T283" i="17"/>
  <c r="U283" i="16" s="1"/>
  <c r="T541" i="17"/>
  <c r="U541" i="16" s="1"/>
  <c r="T875" i="17"/>
  <c r="U875" i="16" s="1"/>
  <c r="T515" i="17"/>
  <c r="U515" i="16" s="1"/>
  <c r="T173" i="17"/>
  <c r="U173" i="16" s="1"/>
  <c r="T848" i="17"/>
  <c r="U848" i="16" s="1"/>
  <c r="T212" i="17"/>
  <c r="U212" i="16" s="1"/>
  <c r="T490" i="17"/>
  <c r="U490" i="16" s="1"/>
  <c r="T189" i="17"/>
  <c r="U189" i="16" s="1"/>
  <c r="T818" i="17"/>
  <c r="U818" i="16" s="1"/>
  <c r="T764" i="17"/>
  <c r="U764" i="16" s="1"/>
  <c r="T444" i="17"/>
  <c r="U444" i="16" s="1"/>
  <c r="T423" i="17"/>
  <c r="U423" i="16" s="1"/>
  <c r="T740" i="17"/>
  <c r="U740" i="16" s="1"/>
  <c r="T403" i="17"/>
  <c r="U403" i="16" s="1"/>
  <c r="T717" i="17"/>
  <c r="U717" i="16" s="1"/>
  <c r="T675" i="17"/>
  <c r="U675" i="16" s="1"/>
  <c r="T366" i="17"/>
  <c r="U366" i="16" s="1"/>
  <c r="T73" i="17"/>
  <c r="U73" i="16" s="1"/>
  <c r="CR20"/>
  <c r="T99" i="17"/>
  <c r="U99" i="16" s="1"/>
  <c r="T259" i="17"/>
  <c r="U259" i="16" s="1"/>
  <c r="T657" i="17"/>
  <c r="U657" i="16" s="1"/>
  <c r="T625" i="17"/>
  <c r="U625" i="16" s="1"/>
  <c r="T591" i="17"/>
  <c r="U591" i="16" s="1"/>
  <c r="T549" i="17"/>
  <c r="U549" i="16" s="1"/>
  <c r="T576" i="17"/>
  <c r="U576" i="16" s="1"/>
  <c r="T921" i="17"/>
  <c r="U921" i="16" s="1"/>
  <c r="T902" i="17"/>
  <c r="U902" i="16" s="1"/>
  <c r="T925" i="17"/>
  <c r="U925" i="16" s="1"/>
  <c r="T883" i="17"/>
  <c r="U883" i="16" s="1"/>
  <c r="T559" i="17"/>
  <c r="U559" i="16" s="1"/>
  <c r="T568" i="17"/>
  <c r="U568" i="16" s="1"/>
  <c r="T582" i="17"/>
  <c r="U582" i="16" s="1"/>
  <c r="T587" i="17"/>
  <c r="U587" i="16" s="1"/>
  <c r="T286" i="17"/>
  <c r="U286" i="16" s="1"/>
  <c r="T244" i="17"/>
  <c r="U244" i="16" s="1"/>
  <c r="T271" i="17"/>
  <c r="U271" i="16" s="1"/>
  <c r="T277" i="17"/>
  <c r="U277" i="16" s="1"/>
  <c r="T254" i="17"/>
  <c r="U254" i="16" s="1"/>
  <c r="T916" i="17"/>
  <c r="U916" i="16" s="1"/>
  <c r="T893" i="17"/>
  <c r="U893" i="16" s="1"/>
  <c r="T910" i="17"/>
  <c r="U910" i="16" s="1"/>
  <c r="T282" i="17"/>
  <c r="U282" i="16" s="1"/>
  <c r="T263" i="17"/>
  <c r="U263" i="16" s="1"/>
  <c r="T574" i="17"/>
  <c r="U574" i="16" s="1"/>
  <c r="T914" i="17"/>
  <c r="U914" i="16" s="1"/>
  <c r="T891" i="17"/>
  <c r="U891" i="16" s="1"/>
  <c r="T908" i="17"/>
  <c r="U908" i="16" s="1"/>
  <c r="T280" i="17"/>
  <c r="U280" i="16" s="1"/>
  <c r="T261" i="17"/>
  <c r="U261" i="16" s="1"/>
  <c r="T269" i="17"/>
  <c r="U269" i="16" s="1"/>
  <c r="T919" i="17"/>
  <c r="U919" i="16" s="1"/>
  <c r="T900" i="17"/>
  <c r="U900" i="16" s="1"/>
  <c r="T557" i="17"/>
  <c r="U557" i="16" s="1"/>
  <c r="T566" i="17"/>
  <c r="U566" i="16" s="1"/>
  <c r="T580" i="17"/>
  <c r="U580" i="16" s="1"/>
  <c r="T585" i="17"/>
  <c r="U585" i="16" s="1"/>
  <c r="T275" i="17"/>
  <c r="U275" i="16" s="1"/>
  <c r="T572" i="17"/>
  <c r="U572" i="16" s="1"/>
  <c r="T510" i="17"/>
  <c r="U510" i="16" s="1"/>
  <c r="T898" i="17"/>
  <c r="U898" i="16" s="1"/>
  <c r="T906" i="17"/>
  <c r="U906" i="16" s="1"/>
  <c r="T840" i="17"/>
  <c r="U840" i="16" s="1"/>
  <c r="T564" i="17"/>
  <c r="U564" i="16" s="1"/>
  <c r="T267" i="17"/>
  <c r="U267" i="16" s="1"/>
  <c r="T218" i="17"/>
  <c r="U218" i="16" s="1"/>
  <c r="T521" i="17"/>
  <c r="U521" i="16" s="1"/>
  <c r="T854" i="17"/>
  <c r="U854" i="16" s="1"/>
  <c r="T208" i="17"/>
  <c r="U208" i="16" s="1"/>
  <c r="CN20"/>
  <c r="T669" s="1"/>
  <c r="AR20" i="17"/>
  <c r="T517"/>
  <c r="U517" i="16" s="1"/>
  <c r="T473" i="17"/>
  <c r="U473" i="16" s="1"/>
  <c r="T506" i="17"/>
  <c r="U506" i="16" s="1"/>
  <c r="T863" i="17"/>
  <c r="U863" i="16" s="1"/>
  <c r="T822" i="17"/>
  <c r="U822" i="16" s="1"/>
  <c r="T772" i="17"/>
  <c r="U772" i="16" s="1"/>
  <c r="T797" i="17"/>
  <c r="U797" i="16" s="1"/>
  <c r="T494" i="17"/>
  <c r="U494" i="16" s="1"/>
  <c r="T529" i="17"/>
  <c r="U529" i="16" s="1"/>
  <c r="T204" i="17"/>
  <c r="U204" i="16" s="1"/>
  <c r="T174" i="17"/>
  <c r="U174" i="16" s="1"/>
  <c r="T214" i="17"/>
  <c r="U214" i="16" s="1"/>
  <c r="T236" i="17"/>
  <c r="U236" i="16" s="1"/>
  <c r="T462" i="17"/>
  <c r="U462" i="16" s="1"/>
  <c r="T850" i="17"/>
  <c r="U850" i="16" s="1"/>
  <c r="T809" i="17"/>
  <c r="U809" i="16" s="1"/>
  <c r="T836" i="17"/>
  <c r="U836" i="16" s="1"/>
  <c r="T784" i="17"/>
  <c r="U784" i="16" s="1"/>
  <c r="T483" i="17"/>
  <c r="U483" i="16" s="1"/>
  <c r="T183" i="17"/>
  <c r="U183" i="16" s="1"/>
  <c r="T225" i="17"/>
  <c r="U225" i="16" s="1"/>
  <c r="T193" i="17"/>
  <c r="U193" i="16" s="1"/>
  <c r="T504" i="17"/>
  <c r="U504" i="16" s="1"/>
  <c r="T460" i="17"/>
  <c r="U460" i="16" s="1"/>
  <c r="T861" i="17"/>
  <c r="U861" i="16" s="1"/>
  <c r="T807" i="17"/>
  <c r="U807" i="16" s="1"/>
  <c r="T795" i="17"/>
  <c r="U795" i="16" s="1"/>
  <c r="T481" i="17"/>
  <c r="U481" i="16" s="1"/>
  <c r="T202" i="17"/>
  <c r="U202" i="16" s="1"/>
  <c r="T181" i="17"/>
  <c r="U181" i="16" s="1"/>
  <c r="T223" i="17"/>
  <c r="U223" i="16" s="1"/>
  <c r="T191" i="17"/>
  <c r="U191" i="16" s="1"/>
  <c r="T471" i="17"/>
  <c r="U471" i="16" s="1"/>
  <c r="T820" i="17"/>
  <c r="U820" i="16" s="1"/>
  <c r="T834" i="17"/>
  <c r="U834" i="16" s="1"/>
  <c r="T782" i="17"/>
  <c r="U782" i="16" s="1"/>
  <c r="T492" i="17"/>
  <c r="U492" i="16" s="1"/>
  <c r="T527" i="17"/>
  <c r="U527" i="16" s="1"/>
  <c r="T172" i="17"/>
  <c r="U172" i="16" s="1"/>
  <c r="T502" i="17"/>
  <c r="U502" i="16" s="1"/>
  <c r="T469" i="17"/>
  <c r="U469" i="16" s="1"/>
  <c r="T805" i="17"/>
  <c r="U805" i="16" s="1"/>
  <c r="T832" i="17"/>
  <c r="U832" i="16" s="1"/>
  <c r="T200" i="17"/>
  <c r="U200" i="16" s="1"/>
  <c r="T170" i="17"/>
  <c r="U170" i="16" s="1"/>
  <c r="T746" i="17"/>
  <c r="U746" i="16" s="1"/>
  <c r="T793" i="17"/>
  <c r="U793" i="16" s="1"/>
  <c r="T479" i="17"/>
  <c r="U479" i="16" s="1"/>
  <c r="T179" i="17"/>
  <c r="U179" i="16" s="1"/>
  <c r="T456" i="17"/>
  <c r="U456" i="16" s="1"/>
  <c r="T755" i="17"/>
  <c r="U755" i="16" s="1"/>
  <c r="T733" i="17"/>
  <c r="U733" i="16" s="1"/>
  <c r="T437" i="17"/>
  <c r="U437" i="16" s="1"/>
  <c r="T446" i="17"/>
  <c r="U446" i="16" s="1"/>
  <c r="T427" i="17"/>
  <c r="U427" i="16" s="1"/>
  <c r="T816" i="17"/>
  <c r="U816" i="16" s="1"/>
  <c r="T766" i="17"/>
  <c r="U766" i="16" s="1"/>
  <c r="T744" i="17"/>
  <c r="U744" i="16" s="1"/>
  <c r="T778" i="17"/>
  <c r="U778" i="16" s="1"/>
  <c r="T488" i="17"/>
  <c r="U488" i="16" s="1"/>
  <c r="T131" i="17"/>
  <c r="U131" i="16" s="1"/>
  <c r="T140" i="17"/>
  <c r="U140" i="16" s="1"/>
  <c r="T149" i="17"/>
  <c r="U149" i="16" s="1"/>
  <c r="T158" i="17"/>
  <c r="U158" i="16" s="1"/>
  <c r="T187" i="17"/>
  <c r="U187" i="16" s="1"/>
  <c r="T465" i="17"/>
  <c r="U465" i="16" s="1"/>
  <c r="T454" i="17"/>
  <c r="U454" i="16" s="1"/>
  <c r="T753" i="17"/>
  <c r="U753" i="16" s="1"/>
  <c r="T731" i="17"/>
  <c r="U731" i="16" s="1"/>
  <c r="T789" i="17"/>
  <c r="U789" i="16" s="1"/>
  <c r="T166" i="17"/>
  <c r="U166" i="16" s="1"/>
  <c r="T425" i="17"/>
  <c r="U425" i="16" s="1"/>
  <c r="T120" i="17"/>
  <c r="U120" i="16" s="1"/>
  <c r="T129" i="17"/>
  <c r="U129" i="16" s="1"/>
  <c r="T138" i="17"/>
  <c r="U138" i="16" s="1"/>
  <c r="T147" i="17"/>
  <c r="U147" i="16" s="1"/>
  <c r="T156" i="17"/>
  <c r="U156" i="16" s="1"/>
  <c r="T742" i="17"/>
  <c r="U742" i="16" s="1"/>
  <c r="T721" i="17"/>
  <c r="U721" i="16" s="1"/>
  <c r="T776" i="17"/>
  <c r="U776" i="16" s="1"/>
  <c r="T435" i="17"/>
  <c r="U435" i="16" s="1"/>
  <c r="T407" i="17"/>
  <c r="U407" i="16" s="1"/>
  <c r="T416" i="17"/>
  <c r="U416" i="16" s="1"/>
  <c r="T452" i="17"/>
  <c r="U452" i="16" s="1"/>
  <c r="T762" i="17"/>
  <c r="U762" i="16" s="1"/>
  <c r="T729" i="17"/>
  <c r="U729" i="16" s="1"/>
  <c r="T774" i="17"/>
  <c r="U774" i="16" s="1"/>
  <c r="T719" i="17"/>
  <c r="U719" i="16" s="1"/>
  <c r="T433" i="17"/>
  <c r="U433" i="16" s="1"/>
  <c r="T442" i="17"/>
  <c r="U442" i="16" s="1"/>
  <c r="T165" i="17"/>
  <c r="U165" i="16" s="1"/>
  <c r="T751" i="17"/>
  <c r="U751" i="16" s="1"/>
  <c r="T709" i="17"/>
  <c r="U709" i="16" s="1"/>
  <c r="T699" i="17"/>
  <c r="U699" i="16" s="1"/>
  <c r="T110" i="17"/>
  <c r="U110" i="16" s="1"/>
  <c r="T396" i="17"/>
  <c r="U396" i="16" s="1"/>
  <c r="T405" i="17"/>
  <c r="U405" i="16" s="1"/>
  <c r="T414" i="17"/>
  <c r="U414" i="16" s="1"/>
  <c r="T118" i="17"/>
  <c r="U118" i="16" s="1"/>
  <c r="T127" i="17"/>
  <c r="U127" i="16" s="1"/>
  <c r="T136" i="17"/>
  <c r="U136" i="16" s="1"/>
  <c r="T145" i="17"/>
  <c r="U145" i="16" s="1"/>
  <c r="T154" i="17"/>
  <c r="U154" i="16" s="1"/>
  <c r="T749" i="17"/>
  <c r="U749" i="16" s="1"/>
  <c r="T727" i="17"/>
  <c r="U727" i="16" s="1"/>
  <c r="T697" i="17"/>
  <c r="U697" i="16" s="1"/>
  <c r="T108" i="17"/>
  <c r="U108" i="16" s="1"/>
  <c r="T421" i="17"/>
  <c r="U421" i="16" s="1"/>
  <c r="T116" i="17"/>
  <c r="U116" i="16" s="1"/>
  <c r="T125" i="17"/>
  <c r="U125" i="16" s="1"/>
  <c r="T134" i="17"/>
  <c r="U134" i="16" s="1"/>
  <c r="T412" i="17"/>
  <c r="U412" i="16" s="1"/>
  <c r="T738" i="17"/>
  <c r="U738" i="16" s="1"/>
  <c r="T707" i="17"/>
  <c r="U707" i="16" s="1"/>
  <c r="T431" i="17"/>
  <c r="U431" i="16" s="1"/>
  <c r="T386" i="17"/>
  <c r="U386" i="16" s="1"/>
  <c r="T100" i="17"/>
  <c r="U100" i="16" s="1"/>
  <c r="T394" i="17"/>
  <c r="U394" i="16" s="1"/>
  <c r="T736" i="17"/>
  <c r="U736" i="16" s="1"/>
  <c r="T677" i="17"/>
  <c r="U677" i="16" s="1"/>
  <c r="T376" i="17"/>
  <c r="U376" i="16" s="1"/>
  <c r="T106" i="17"/>
  <c r="U106" i="16" s="1"/>
  <c r="T401" i="17"/>
  <c r="U401" i="16" s="1"/>
  <c r="T410" i="17"/>
  <c r="U410" i="16" s="1"/>
  <c r="T419" i="17"/>
  <c r="U419" i="16" s="1"/>
  <c r="T725" i="17"/>
  <c r="U725" i="16" s="1"/>
  <c r="T686" i="17"/>
  <c r="U686" i="16" s="1"/>
  <c r="T715" i="17"/>
  <c r="U715" i="16" s="1"/>
  <c r="T83" i="17"/>
  <c r="U83" i="16" s="1"/>
  <c r="T114" i="17"/>
  <c r="U114" i="16" s="1"/>
  <c r="T123" i="17"/>
  <c r="U123" i="16" s="1"/>
  <c r="T703" i="17"/>
  <c r="U703" i="16" s="1"/>
  <c r="T667" i="17"/>
  <c r="U667" i="16" s="1"/>
  <c r="T684" i="17"/>
  <c r="U684" i="16" s="1"/>
  <c r="T374" i="17"/>
  <c r="U374" i="16" s="1"/>
  <c r="T81" i="17"/>
  <c r="U81" i="16" s="1"/>
  <c r="T358" i="17"/>
  <c r="U358" i="16" s="1"/>
  <c r="T390" i="17"/>
  <c r="U390" i="16" s="1"/>
  <c r="T399" i="17"/>
  <c r="U399" i="16" s="1"/>
  <c r="T713" i="17"/>
  <c r="U713" i="16" s="1"/>
  <c r="T693" i="17"/>
  <c r="U693" i="16" s="1"/>
  <c r="T88" i="17"/>
  <c r="U88" i="16" s="1"/>
  <c r="T104" i="17"/>
  <c r="U104" i="16" s="1"/>
  <c r="T382" i="17"/>
  <c r="U382" i="16" s="1"/>
  <c r="T96" i="17"/>
  <c r="U96" i="16" s="1"/>
  <c r="T691" i="17"/>
  <c r="U691" i="16" s="1"/>
  <c r="T673" i="17"/>
  <c r="U673" i="16" s="1"/>
  <c r="T388" i="17"/>
  <c r="U388" i="16" s="1"/>
  <c r="T86" i="17"/>
  <c r="U86" i="16" s="1"/>
  <c r="T380" i="17"/>
  <c r="U380" i="16" s="1"/>
  <c r="T57" i="17"/>
  <c r="U57" i="16" s="1"/>
  <c r="T71" i="17"/>
  <c r="U71" i="16" s="1"/>
  <c r="T94" i="17"/>
  <c r="U94" i="16" s="1"/>
  <c r="T349" i="17"/>
  <c r="U349" i="16" s="1"/>
  <c r="T701" i="17"/>
  <c r="U701" i="16" s="1"/>
  <c r="T682" i="17"/>
  <c r="U682" i="16" s="1"/>
  <c r="T665" i="17"/>
  <c r="U665" i="16" s="1"/>
  <c r="T79" i="17"/>
  <c r="U79" i="16" s="1"/>
  <c r="T356" i="17"/>
  <c r="U356" i="16" s="1"/>
  <c r="T364" i="17"/>
  <c r="U364" i="16" s="1"/>
  <c r="T64" i="17"/>
  <c r="U64" i="16" s="1"/>
  <c r="T372" i="17"/>
  <c r="U372" i="16" s="1"/>
  <c r="T655" i="17"/>
  <c r="U655" i="16" s="1"/>
  <c r="T680" i="17"/>
  <c r="U680" i="16" s="1"/>
  <c r="T370" i="17"/>
  <c r="U370" i="16" s="1"/>
  <c r="T77" i="17"/>
  <c r="U77" i="16" s="1"/>
  <c r="T347" i="17"/>
  <c r="U347" i="16" s="1"/>
  <c r="T362" i="17"/>
  <c r="U362" i="16" s="1"/>
  <c r="T48" i="17"/>
  <c r="U48" i="16" s="1"/>
  <c r="T62" i="17"/>
  <c r="U62" i="16" s="1"/>
  <c r="T340" i="17"/>
  <c r="U340" i="16" s="1"/>
  <c r="T671" i="17"/>
  <c r="U671" i="16" s="1"/>
  <c r="T663" i="17"/>
  <c r="U663" i="16" s="1"/>
  <c r="T647" i="17"/>
  <c r="U647" i="16" s="1"/>
  <c r="T55" i="17"/>
  <c r="U55" i="16" s="1"/>
  <c r="T69" i="17"/>
  <c r="U69" i="16" s="1"/>
  <c r="T354" i="17"/>
  <c r="U354" i="16" s="1"/>
  <c r="T669" i="17"/>
  <c r="U669" i="16" s="1"/>
  <c r="T645" i="17"/>
  <c r="U645" i="16" s="1"/>
  <c r="T638" i="17"/>
  <c r="U638" i="16" s="1"/>
  <c r="T352" i="17"/>
  <c r="U352" i="16" s="1"/>
  <c r="T53" i="17"/>
  <c r="U53" i="16" s="1"/>
  <c r="T67" i="17"/>
  <c r="U67" i="16" s="1"/>
  <c r="T331" i="17"/>
  <c r="U331" i="16" s="1"/>
  <c r="T653" i="17"/>
  <c r="U653" i="16" s="1"/>
  <c r="T661" i="17"/>
  <c r="U661" i="16" s="1"/>
  <c r="T40" i="17"/>
  <c r="U40" i="16" s="1"/>
  <c r="T338" i="17"/>
  <c r="U338" i="16" s="1"/>
  <c r="T360" i="17"/>
  <c r="U360" i="16" s="1"/>
  <c r="T46" i="17"/>
  <c r="U46" i="16" s="1"/>
  <c r="T60" i="17"/>
  <c r="U60" i="16" s="1"/>
  <c r="T345" i="17"/>
  <c r="U345" i="16" s="1"/>
  <c r="T651" i="17"/>
  <c r="U651" i="16" s="1"/>
  <c r="T623" i="17"/>
  <c r="U623" i="16" s="1"/>
  <c r="T343" i="17"/>
  <c r="U343" i="16" s="1"/>
  <c r="T38" i="17"/>
  <c r="U38" i="16" s="1"/>
  <c r="T329" i="17"/>
  <c r="U329" i="16" s="1"/>
  <c r="T323" i="17"/>
  <c r="U323" i="16" s="1"/>
  <c r="T630" i="17"/>
  <c r="U630" i="16" s="1"/>
  <c r="T636" i="17"/>
  <c r="U636" i="16" s="1"/>
  <c r="T32" i="17"/>
  <c r="U32" i="16" s="1"/>
  <c r="T51" i="17"/>
  <c r="U51" i="16" s="1"/>
  <c r="CV20" i="17"/>
  <c r="AJ20" i="16"/>
  <c r="AF20"/>
  <c r="T922" s="1"/>
  <c r="CZ20" i="17"/>
  <c r="CK18" i="16"/>
  <c r="T663" s="1"/>
  <c r="AU18" i="17"/>
  <c r="T843" s="1"/>
  <c r="U843" i="16" s="1"/>
  <c r="BU18"/>
  <c r="BK18" i="17"/>
  <c r="T781" s="1"/>
  <c r="U781" i="16" s="1"/>
  <c r="BE18"/>
  <c r="T809" s="1"/>
  <c r="CA18" i="17"/>
  <c r="T687" s="1"/>
  <c r="U687" i="16" s="1"/>
  <c r="AO18"/>
  <c r="T580" s="1"/>
  <c r="CQ18" i="17"/>
  <c r="T39" s="1"/>
  <c r="U39" i="16" s="1"/>
  <c r="T905" i="17"/>
  <c r="U905" i="16" s="1"/>
  <c r="T571" i="17"/>
  <c r="U571" i="16" s="1"/>
  <c r="T886" i="17"/>
  <c r="U886" i="16" s="1"/>
  <c r="T552" i="17"/>
  <c r="U552" i="16" s="1"/>
  <c r="T247" i="17"/>
  <c r="U247" i="16" s="1"/>
  <c r="T862" i="17"/>
  <c r="U862" i="16" s="1"/>
  <c r="T528" i="17"/>
  <c r="U528" i="16" s="1"/>
  <c r="T833" i="17"/>
  <c r="U833" i="16" s="1"/>
  <c r="T503" i="17"/>
  <c r="U503" i="16" s="1"/>
  <c r="T162" i="17"/>
  <c r="U162" i="16" s="1"/>
  <c r="T201" i="17"/>
  <c r="U201" i="16" s="1"/>
  <c r="T804" i="17"/>
  <c r="U804" i="16" s="1"/>
  <c r="T478" i="17"/>
  <c r="U478" i="16" s="1"/>
  <c r="T178" i="17"/>
  <c r="U178" i="16" s="1"/>
  <c r="T777" i="17"/>
  <c r="U777" i="16" s="1"/>
  <c r="T455" i="17"/>
  <c r="U455" i="16" s="1"/>
  <c r="T752" i="17"/>
  <c r="U752" i="16" s="1"/>
  <c r="T434" i="17"/>
  <c r="U434" i="16" s="1"/>
  <c r="T728" i="17"/>
  <c r="U728" i="16" s="1"/>
  <c r="T413" i="17"/>
  <c r="U413" i="16" s="1"/>
  <c r="T706" i="17"/>
  <c r="U706" i="16" s="1"/>
  <c r="T393" i="17"/>
  <c r="U393" i="16" s="1"/>
  <c r="T685" i="17"/>
  <c r="U685" i="16" s="1"/>
  <c r="T375" i="17"/>
  <c r="U375" i="16" s="1"/>
  <c r="T666" i="17"/>
  <c r="U666" i="16" s="1"/>
  <c r="T357" i="17"/>
  <c r="U357" i="16" s="1"/>
  <c r="T608" i="17"/>
  <c r="U608" i="16" s="1"/>
  <c r="T613" i="17"/>
  <c r="U613" i="16" s="1"/>
  <c r="T11" i="17"/>
  <c r="U11" i="16" s="1"/>
  <c r="T312" i="17"/>
  <c r="U312" i="16" s="1"/>
  <c r="T302" i="17"/>
  <c r="U302" i="16" s="1"/>
  <c r="T16" i="17"/>
  <c r="U16" i="16" s="1"/>
  <c r="T21" i="17"/>
  <c r="U21" i="16" s="1"/>
  <c r="T618" i="17"/>
  <c r="U618" i="16" s="1"/>
  <c r="T610" i="17"/>
  <c r="U610" i="16" s="1"/>
  <c r="T304" i="17"/>
  <c r="U304" i="16" s="1"/>
  <c r="T27" i="17"/>
  <c r="U27" i="16" s="1"/>
  <c r="T307" i="17"/>
  <c r="U307" i="16" s="1"/>
  <c r="T13" i="17"/>
  <c r="U13" i="16" s="1"/>
  <c r="T318" i="17"/>
  <c r="U318" i="16" s="1"/>
  <c r="T252" i="17"/>
  <c r="U252" i="16" s="1"/>
  <c r="T648" i="17"/>
  <c r="U648" i="16" s="1"/>
  <c r="T569"/>
  <c r="T928"/>
  <c r="T872"/>
  <c r="T594"/>
  <c r="T592"/>
  <c r="T900"/>
  <c r="T891"/>
  <c r="T869"/>
  <c r="T856"/>
  <c r="T828"/>
  <c r="T574"/>
  <c r="T557"/>
  <c r="T547"/>
  <c r="T535"/>
  <c r="T523"/>
  <c r="T512"/>
  <c r="T566"/>
  <c r="T842"/>
  <c r="T908"/>
  <c r="T881"/>
  <c r="T919"/>
  <c r="T882"/>
  <c r="T924"/>
  <c r="T920"/>
  <c r="T843"/>
  <c r="T892"/>
  <c r="T870"/>
  <c r="T857"/>
  <c r="T829"/>
  <c r="T586"/>
  <c r="T567"/>
  <c r="T590"/>
  <c r="T575"/>
  <c r="T558"/>
  <c r="T548"/>
  <c r="T536"/>
  <c r="T524"/>
  <c r="T898"/>
  <c r="T889"/>
  <c r="T867"/>
  <c r="T854"/>
  <c r="T826"/>
  <c r="T813"/>
  <c r="T906"/>
  <c r="T879"/>
  <c r="T840"/>
  <c r="T572"/>
  <c r="T555"/>
  <c r="T545"/>
  <c r="T533"/>
  <c r="T521"/>
  <c r="T510"/>
  <c r="T564"/>
  <c r="T498"/>
  <c r="T887"/>
  <c r="T877"/>
  <c r="T553"/>
  <c r="T543"/>
  <c r="T790"/>
  <c r="T802"/>
  <c r="T765"/>
  <c r="T476"/>
  <c r="T445"/>
  <c r="T436"/>
  <c r="T754"/>
  <c r="T466"/>
  <c r="T664"/>
  <c r="T690"/>
  <c r="T681"/>
  <c r="T672"/>
  <c r="T656"/>
  <c r="T660"/>
  <c r="T644"/>
  <c r="T637"/>
  <c r="T631"/>
  <c r="T652"/>
  <c r="T633"/>
  <c r="T627"/>
  <c r="T620"/>
  <c r="T615"/>
  <c r="T905"/>
  <c r="T571"/>
  <c r="T862"/>
  <c r="T528"/>
  <c r="T651"/>
  <c r="T623"/>
  <c r="T643"/>
  <c r="T636"/>
  <c r="T630"/>
  <c r="T653"/>
  <c r="T645"/>
  <c r="T858"/>
  <c r="T559"/>
  <c r="T706"/>
  <c r="T875"/>
  <c r="T541"/>
  <c r="T913"/>
  <c r="T907"/>
  <c r="T880"/>
  <c r="T841"/>
  <c r="T899"/>
  <c r="T890"/>
  <c r="T868"/>
  <c r="T855"/>
  <c r="T827"/>
  <c r="T814"/>
  <c r="T579"/>
  <c r="T565"/>
  <c r="T499"/>
  <c r="T573"/>
  <c r="T556"/>
  <c r="T546"/>
  <c r="T534"/>
  <c r="T522"/>
  <c r="T511"/>
  <c r="T878"/>
  <c r="T839"/>
  <c r="T897"/>
  <c r="T888"/>
  <c r="T866"/>
  <c r="T853"/>
  <c r="T825"/>
  <c r="T563"/>
  <c r="T497"/>
  <c r="T554"/>
  <c r="T544"/>
  <c r="T532"/>
  <c r="T520"/>
  <c r="T509"/>
  <c r="T874"/>
  <c r="T835"/>
  <c r="T849"/>
  <c r="T540"/>
  <c r="T516"/>
  <c r="T505"/>
  <c r="T716"/>
  <c r="T748"/>
  <c r="T726"/>
  <c r="T430"/>
  <c r="T737"/>
  <c r="T680"/>
  <c r="T671"/>
  <c r="T655"/>
  <c r="T647"/>
  <c r="T642"/>
  <c r="T635"/>
  <c r="T629"/>
  <c r="T650"/>
  <c r="T622"/>
  <c r="T619"/>
  <c r="T614"/>
  <c r="T611"/>
  <c r="T626"/>
  <c r="T777"/>
  <c r="T455"/>
  <c r="T896"/>
  <c r="T562"/>
  <c r="T863"/>
  <c r="T850"/>
  <c r="T822"/>
  <c r="T836"/>
  <c r="T784"/>
  <c r="T529"/>
  <c r="T517"/>
  <c r="T506"/>
  <c r="T473"/>
  <c r="T608"/>
  <c r="T618"/>
  <c r="T613"/>
  <c r="T610"/>
  <c r="T625"/>
  <c r="T13"/>
  <c r="T11"/>
  <c r="T379"/>
  <c r="T371"/>
  <c r="T363"/>
  <c r="T355"/>
  <c r="T351"/>
  <c r="T344"/>
  <c r="T345"/>
  <c r="T393"/>
  <c r="T343"/>
  <c r="T420"/>
  <c r="T411"/>
  <c r="T402"/>
  <c r="T347"/>
  <c r="T340"/>
  <c r="T370"/>
  <c r="T362"/>
  <c r="T342"/>
  <c r="T14"/>
  <c r="T328"/>
  <c r="T316"/>
  <c r="T335"/>
  <c r="T322"/>
  <c r="T319"/>
  <c r="T313"/>
  <c r="T308"/>
  <c r="T305"/>
  <c r="T312"/>
  <c r="T307"/>
  <c r="T304"/>
  <c r="T318"/>
  <c r="T330"/>
  <c r="T337"/>
  <c r="T324"/>
  <c r="T326"/>
  <c r="T314"/>
  <c r="T309"/>
  <c r="T320"/>
  <c r="T336"/>
  <c r="T323"/>
  <c r="T329"/>
  <c r="T331"/>
  <c r="T302"/>
  <c r="T16"/>
  <c r="T209"/>
  <c r="T197"/>
  <c r="T289"/>
  <c r="T285"/>
  <c r="T281"/>
  <c r="T267"/>
  <c r="T250"/>
  <c r="T248"/>
  <c r="T286"/>
  <c r="T268"/>
  <c r="T260"/>
  <c r="T251"/>
  <c r="T274"/>
  <c r="T266"/>
  <c r="T258"/>
  <c r="T249"/>
  <c r="T259"/>
  <c r="T189"/>
  <c r="T241"/>
  <c r="T257"/>
  <c r="T230"/>
  <c r="T219"/>
  <c r="T228"/>
  <c r="T196"/>
  <c r="T239"/>
  <c r="T217"/>
  <c r="T207"/>
  <c r="T224"/>
  <c r="T235"/>
  <c r="T213"/>
  <c r="T203"/>
  <c r="T236"/>
  <c r="T214"/>
  <c r="T204"/>
  <c r="T225"/>
  <c r="T240"/>
  <c r="T218"/>
  <c r="T208"/>
  <c r="T229"/>
  <c r="T238"/>
  <c r="T176"/>
  <c r="T167"/>
  <c r="T157"/>
  <c r="T245"/>
  <c r="CI72" i="1"/>
  <c r="CI73" s="1"/>
  <c r="T124" i="16"/>
  <c r="T107"/>
  <c r="T133"/>
  <c r="T115"/>
  <c r="T77"/>
  <c r="T148"/>
  <c r="T85"/>
  <c r="T78"/>
  <c r="T99"/>
  <c r="T69"/>
  <c r="T62"/>
  <c r="T55"/>
  <c r="T59"/>
  <c r="T70"/>
  <c r="T63"/>
  <c r="T67"/>
  <c r="T37"/>
  <c r="T50"/>
  <c r="T45"/>
  <c r="T48"/>
  <c r="T44"/>
  <c r="T52"/>
  <c r="T39"/>
  <c r="T51"/>
  <c r="T43"/>
  <c r="T35"/>
  <c r="T46"/>
  <c r="T38"/>
  <c r="T27"/>
  <c r="BI20"/>
  <c r="X79" i="1"/>
  <c r="L77" i="13" s="1"/>
  <c r="AT20" i="16"/>
  <c r="T824" s="1"/>
  <c r="BF79" i="1"/>
  <c r="AI77" i="13" s="1"/>
  <c r="BB20" i="16"/>
  <c r="BJ79" i="1"/>
  <c r="BF20" i="16"/>
  <c r="T804" s="1"/>
  <c r="BG79" i="1"/>
  <c r="AJ77" i="13" s="1"/>
  <c r="AD79" i="1"/>
  <c r="P77" i="13" s="1"/>
  <c r="BN20" i="16"/>
  <c r="BH79" i="1"/>
  <c r="AK77" i="13" s="1"/>
  <c r="BK79" i="1"/>
  <c r="AM77" i="13" s="1"/>
  <c r="BR20" i="16"/>
  <c r="AI79" i="1"/>
  <c r="T77" i="13" s="1"/>
  <c r="AL79" i="1"/>
  <c r="V77" i="13" s="1"/>
  <c r="BZ20" i="16"/>
  <c r="AM79" i="1"/>
  <c r="W77" i="13" s="1"/>
  <c r="BP79" i="1"/>
  <c r="AQ77" i="13" s="1"/>
  <c r="CF20" i="16"/>
  <c r="BT79" i="1"/>
  <c r="AT77" i="13" s="1"/>
  <c r="BW79" i="1"/>
  <c r="AV77" i="13" s="1"/>
  <c r="T32" i="16"/>
  <c r="CV20"/>
  <c r="BX79" i="1"/>
  <c r="AW77" i="13" s="1"/>
  <c r="T28" i="16"/>
  <c r="T22"/>
  <c r="T17"/>
  <c r="CD20"/>
  <c r="AJ79" i="1"/>
  <c r="U77" i="13" s="1"/>
  <c r="T21" i="16"/>
  <c r="T221"/>
  <c r="V79" i="1"/>
  <c r="AZ20" i="16"/>
  <c r="W79" i="1"/>
  <c r="K77" i="13" s="1"/>
  <c r="Z79" i="1"/>
  <c r="M77" i="13" s="1"/>
  <c r="BD20" i="16"/>
  <c r="AH79" i="1"/>
  <c r="S77" i="13" s="1"/>
  <c r="BH20" i="16"/>
  <c r="BN79" i="1"/>
  <c r="AO77" i="13" s="1"/>
  <c r="BR79" i="1"/>
  <c r="AR77" i="13" s="1"/>
  <c r="BL20" i="16"/>
  <c r="T444" s="1"/>
  <c r="AA79" i="1"/>
  <c r="N77" i="13" s="1"/>
  <c r="BP20" i="16"/>
  <c r="T740" s="1"/>
  <c r="AE79" i="1"/>
  <c r="Q77" i="13" s="1"/>
  <c r="BO79" i="1"/>
  <c r="AP77" i="13" s="1"/>
  <c r="BT20" i="16"/>
  <c r="BS79" i="1"/>
  <c r="AS77" i="13" s="1"/>
  <c r="BX20" i="16"/>
  <c r="AB79" i="1"/>
  <c r="O77" i="13" s="1"/>
  <c r="AF79" i="1"/>
  <c r="R77" i="13" s="1"/>
  <c r="CB20" i="16"/>
  <c r="T675" s="1"/>
  <c r="BL79" i="1"/>
  <c r="AN77" i="13" s="1"/>
  <c r="CL20" i="16"/>
  <c r="AN79" i="1"/>
  <c r="X77" i="13" s="1"/>
  <c r="T31" i="16"/>
  <c r="T25"/>
  <c r="T29"/>
  <c r="T23"/>
  <c r="T18"/>
  <c r="BV79" i="1"/>
  <c r="AU77" i="13" s="1"/>
  <c r="BW20" i="16"/>
  <c r="T91" s="1"/>
  <c r="T33"/>
  <c r="AL77" i="13"/>
  <c r="AU69"/>
  <c r="AT55"/>
  <c r="S47"/>
  <c r="AI61"/>
  <c r="L50"/>
  <c r="AA59"/>
  <c r="AS52"/>
  <c r="AC42"/>
  <c r="R62"/>
  <c r="AN50"/>
  <c r="AS43"/>
  <c r="N43"/>
  <c r="AH64"/>
  <c r="AJ47"/>
  <c r="X42"/>
  <c r="R69"/>
  <c r="AU62"/>
  <c r="AS50"/>
  <c r="AH49"/>
  <c r="AP45"/>
  <c r="O69"/>
  <c r="O62"/>
  <c r="N55"/>
  <c r="AQ55"/>
  <c r="AE49"/>
  <c r="N47"/>
  <c r="AN42"/>
  <c r="AV50"/>
  <c r="AS42"/>
  <c r="M42"/>
  <c r="AH69"/>
  <c r="AE69"/>
  <c r="AH62"/>
  <c r="AE62"/>
  <c r="AP61"/>
  <c r="AD55"/>
  <c r="AA55"/>
  <c r="AC50"/>
  <c r="X50"/>
  <c r="R49"/>
  <c r="O49"/>
  <c r="AU49"/>
  <c r="AV66"/>
  <c r="AJ68"/>
  <c r="Q40"/>
  <c r="L43"/>
  <c r="AT43"/>
  <c r="AJ66"/>
  <c r="Q57"/>
  <c r="AF54"/>
  <c r="AO45"/>
  <c r="AC68"/>
  <c r="AM64"/>
  <c r="V59"/>
  <c r="Y54"/>
  <c r="BC74"/>
  <c r="BB74" s="1"/>
  <c r="BP74" s="1"/>
  <c r="V47"/>
  <c r="AF42"/>
  <c r="P42"/>
  <c r="AD47"/>
  <c r="AK42"/>
  <c r="U42"/>
  <c r="Z69"/>
  <c r="AP69"/>
  <c r="W69"/>
  <c r="AM69"/>
  <c r="Z62"/>
  <c r="AP62"/>
  <c r="W62"/>
  <c r="AM62"/>
  <c r="Z61"/>
  <c r="S61"/>
  <c r="V55"/>
  <c r="AL55"/>
  <c r="S55"/>
  <c r="AI55"/>
  <c r="U50"/>
  <c r="AK50"/>
  <c r="P50"/>
  <c r="AF50"/>
  <c r="M50"/>
  <c r="Z49"/>
  <c r="AP49"/>
  <c r="W49"/>
  <c r="AM49"/>
  <c r="Y47"/>
  <c r="AG40"/>
  <c r="Y45"/>
  <c r="AC43"/>
  <c r="AV68"/>
  <c r="AL40"/>
  <c r="Z45"/>
  <c r="AD43"/>
  <c r="AB40"/>
  <c r="T68"/>
  <c r="L68"/>
  <c r="AS68"/>
  <c r="W64"/>
  <c r="R64"/>
  <c r="AQ59"/>
  <c r="AL59"/>
  <c r="K57"/>
  <c r="P54"/>
  <c r="K54"/>
  <c r="AO54"/>
  <c r="AR42"/>
  <c r="AJ42"/>
  <c r="AB42"/>
  <c r="T42"/>
  <c r="L42"/>
  <c r="AO42"/>
  <c r="AG42"/>
  <c r="Y42"/>
  <c r="Q42"/>
  <c r="N69"/>
  <c r="V69"/>
  <c r="AD69"/>
  <c r="AL69"/>
  <c r="AT69"/>
  <c r="S69"/>
  <c r="AA69"/>
  <c r="AI69"/>
  <c r="AQ69"/>
  <c r="N62"/>
  <c r="V62"/>
  <c r="AD62"/>
  <c r="AL62"/>
  <c r="AT62"/>
  <c r="S62"/>
  <c r="AA62"/>
  <c r="AI62"/>
  <c r="AQ62"/>
  <c r="R61"/>
  <c r="AH61"/>
  <c r="M61"/>
  <c r="AA61"/>
  <c r="AQ61"/>
  <c r="R55"/>
  <c r="Z55"/>
  <c r="AH55"/>
  <c r="AP55"/>
  <c r="O55"/>
  <c r="W55"/>
  <c r="AE55"/>
  <c r="AM55"/>
  <c r="AU55"/>
  <c r="Q50"/>
  <c r="Y50"/>
  <c r="AG50"/>
  <c r="AO50"/>
  <c r="K50"/>
  <c r="T50"/>
  <c r="AB50"/>
  <c r="AJ50"/>
  <c r="AR50"/>
  <c r="N49"/>
  <c r="V49"/>
  <c r="AD49"/>
  <c r="AL49"/>
  <c r="AT49"/>
  <c r="S49"/>
  <c r="AA49"/>
  <c r="AI49"/>
  <c r="AQ49"/>
  <c r="AR47"/>
  <c r="AG47"/>
  <c r="AO40"/>
  <c r="Y40"/>
  <c r="AG45"/>
  <c r="Q45"/>
  <c r="AK43"/>
  <c r="U43"/>
  <c r="V40"/>
  <c r="AH45"/>
  <c r="R45"/>
  <c r="AL43"/>
  <c r="V43"/>
  <c r="AR40"/>
  <c r="AU40"/>
  <c r="AB68"/>
  <c r="AR68"/>
  <c r="U68"/>
  <c r="AK68"/>
  <c r="AO66"/>
  <c r="O64"/>
  <c r="AE64"/>
  <c r="AU64"/>
  <c r="Z64"/>
  <c r="AP64"/>
  <c r="S59"/>
  <c r="AI59"/>
  <c r="N59"/>
  <c r="AD59"/>
  <c r="AT59"/>
  <c r="AG57"/>
  <c r="AB57"/>
  <c r="X54"/>
  <c r="AN54"/>
  <c r="Q54"/>
  <c r="AG54"/>
  <c r="M52"/>
  <c r="AN52"/>
  <c r="M43"/>
  <c r="Y66"/>
  <c r="T66"/>
  <c r="N61"/>
  <c r="V61"/>
  <c r="AD61"/>
  <c r="AL61"/>
  <c r="AT61"/>
  <c r="O61"/>
  <c r="W61"/>
  <c r="AE61"/>
  <c r="AM61"/>
  <c r="AU61"/>
  <c r="Y57"/>
  <c r="AO57"/>
  <c r="T57"/>
  <c r="AR57"/>
  <c r="AB47"/>
  <c r="R47"/>
  <c r="AL47"/>
  <c r="W47"/>
  <c r="O47"/>
  <c r="AN47"/>
  <c r="K47"/>
  <c r="AC47"/>
  <c r="AK47"/>
  <c r="AS47"/>
  <c r="Q66"/>
  <c r="AG66"/>
  <c r="L66"/>
  <c r="AB66"/>
  <c r="AR66"/>
  <c r="AJ57"/>
  <c r="AC52"/>
  <c r="X52"/>
  <c r="BC75"/>
  <c r="BB75" s="1"/>
  <c r="BN75" s="1"/>
  <c r="AK40"/>
  <c r="AC40"/>
  <c r="U40"/>
  <c r="L40"/>
  <c r="AS45"/>
  <c r="AK45"/>
  <c r="AC45"/>
  <c r="U45"/>
  <c r="M45"/>
  <c r="AO43"/>
  <c r="AG43"/>
  <c r="Y43"/>
  <c r="Q43"/>
  <c r="AV57"/>
  <c r="AT40"/>
  <c r="AD40"/>
  <c r="N40"/>
  <c r="AT45"/>
  <c r="AL45"/>
  <c r="AD45"/>
  <c r="V45"/>
  <c r="N45"/>
  <c r="AP43"/>
  <c r="AH43"/>
  <c r="Z43"/>
  <c r="R43"/>
  <c r="AV52"/>
  <c r="AJ40"/>
  <c r="T40"/>
  <c r="P68"/>
  <c r="X68"/>
  <c r="AF68"/>
  <c r="AN68"/>
  <c r="K68"/>
  <c r="Q68"/>
  <c r="Y68"/>
  <c r="AG68"/>
  <c r="AO68"/>
  <c r="M66"/>
  <c r="U66"/>
  <c r="AC66"/>
  <c r="AK66"/>
  <c r="AS66"/>
  <c r="P66"/>
  <c r="X66"/>
  <c r="AF66"/>
  <c r="AN66"/>
  <c r="K66"/>
  <c r="S64"/>
  <c r="AA64"/>
  <c r="AI64"/>
  <c r="AQ64"/>
  <c r="N64"/>
  <c r="V64"/>
  <c r="AD64"/>
  <c r="AL64"/>
  <c r="AT64"/>
  <c r="O59"/>
  <c r="W59"/>
  <c r="AE59"/>
  <c r="AM59"/>
  <c r="AU59"/>
  <c r="R59"/>
  <c r="Z59"/>
  <c r="AH59"/>
  <c r="AP59"/>
  <c r="L57"/>
  <c r="U57"/>
  <c r="AC57"/>
  <c r="AK57"/>
  <c r="AS57"/>
  <c r="P57"/>
  <c r="X57"/>
  <c r="AF57"/>
  <c r="AN57"/>
  <c r="M57"/>
  <c r="T54"/>
  <c r="AB54"/>
  <c r="AJ54"/>
  <c r="AR54"/>
  <c r="L54"/>
  <c r="U54"/>
  <c r="AC54"/>
  <c r="AK54"/>
  <c r="AS54"/>
  <c r="U52"/>
  <c r="AK52"/>
  <c r="P52"/>
  <c r="AF52"/>
  <c r="K52"/>
  <c r="M40"/>
  <c r="AQ40"/>
  <c r="AM40"/>
  <c r="AI40"/>
  <c r="AE40"/>
  <c r="AA40"/>
  <c r="W40"/>
  <c r="S40"/>
  <c r="O40"/>
  <c r="AV40"/>
  <c r="AU45"/>
  <c r="AQ45"/>
  <c r="AM45"/>
  <c r="AI45"/>
  <c r="AE45"/>
  <c r="AA45"/>
  <c r="W45"/>
  <c r="S45"/>
  <c r="O45"/>
  <c r="AU43"/>
  <c r="AQ43"/>
  <c r="AM43"/>
  <c r="AI43"/>
  <c r="AE43"/>
  <c r="AA43"/>
  <c r="W43"/>
  <c r="S43"/>
  <c r="O43"/>
  <c r="AV64"/>
  <c r="AV54"/>
  <c r="AV43"/>
  <c r="AP40"/>
  <c r="AH40"/>
  <c r="Z40"/>
  <c r="R40"/>
  <c r="AR45"/>
  <c r="AN45"/>
  <c r="AJ45"/>
  <c r="AF45"/>
  <c r="AB45"/>
  <c r="X45"/>
  <c r="T45"/>
  <c r="P45"/>
  <c r="L45"/>
  <c r="AR43"/>
  <c r="AN43"/>
  <c r="AJ43"/>
  <c r="AF43"/>
  <c r="AB43"/>
  <c r="X43"/>
  <c r="T43"/>
  <c r="P43"/>
  <c r="AV59"/>
  <c r="AN40"/>
  <c r="AF40"/>
  <c r="X40"/>
  <c r="P40"/>
  <c r="N68"/>
  <c r="R68"/>
  <c r="V68"/>
  <c r="Z68"/>
  <c r="AD68"/>
  <c r="AH68"/>
  <c r="AL68"/>
  <c r="AP68"/>
  <c r="AT68"/>
  <c r="M68"/>
  <c r="O68"/>
  <c r="S68"/>
  <c r="W68"/>
  <c r="AA68"/>
  <c r="AE68"/>
  <c r="AI68"/>
  <c r="AM68"/>
  <c r="AQ68"/>
  <c r="O66"/>
  <c r="S66"/>
  <c r="W66"/>
  <c r="AA66"/>
  <c r="AE66"/>
  <c r="AI66"/>
  <c r="AM66"/>
  <c r="AQ66"/>
  <c r="AU66"/>
  <c r="N66"/>
  <c r="R66"/>
  <c r="V66"/>
  <c r="Z66"/>
  <c r="AD66"/>
  <c r="AH66"/>
  <c r="AL66"/>
  <c r="AP66"/>
  <c r="L64"/>
  <c r="Q64"/>
  <c r="U64"/>
  <c r="Y64"/>
  <c r="AC64"/>
  <c r="AG64"/>
  <c r="AK64"/>
  <c r="AO64"/>
  <c r="AS64"/>
  <c r="K64"/>
  <c r="P64"/>
  <c r="T64"/>
  <c r="X64"/>
  <c r="AB64"/>
  <c r="AF64"/>
  <c r="AJ64"/>
  <c r="AN64"/>
  <c r="AR64"/>
  <c r="M59"/>
  <c r="Q59"/>
  <c r="U59"/>
  <c r="Y59"/>
  <c r="AC59"/>
  <c r="AG59"/>
  <c r="AK59"/>
  <c r="AO59"/>
  <c r="AS59"/>
  <c r="L59"/>
  <c r="P59"/>
  <c r="T59"/>
  <c r="X59"/>
  <c r="AB59"/>
  <c r="AF59"/>
  <c r="AJ59"/>
  <c r="AN59"/>
  <c r="AR59"/>
  <c r="O57"/>
  <c r="S57"/>
  <c r="W57"/>
  <c r="AA57"/>
  <c r="AE57"/>
  <c r="AI57"/>
  <c r="AM57"/>
  <c r="AQ57"/>
  <c r="AU57"/>
  <c r="N57"/>
  <c r="R57"/>
  <c r="V57"/>
  <c r="Z57"/>
  <c r="AD57"/>
  <c r="AH57"/>
  <c r="AL57"/>
  <c r="AP57"/>
  <c r="N54"/>
  <c r="R54"/>
  <c r="V54"/>
  <c r="Z54"/>
  <c r="AD54"/>
  <c r="AH54"/>
  <c r="AL54"/>
  <c r="AP54"/>
  <c r="AT54"/>
  <c r="M54"/>
  <c r="O54"/>
  <c r="S54"/>
  <c r="W54"/>
  <c r="AA54"/>
  <c r="AE54"/>
  <c r="AI54"/>
  <c r="AM54"/>
  <c r="AQ54"/>
  <c r="Q52"/>
  <c r="Y52"/>
  <c r="AG52"/>
  <c r="AO52"/>
  <c r="L52"/>
  <c r="T52"/>
  <c r="AB52"/>
  <c r="AJ52"/>
  <c r="AR52"/>
  <c r="K40"/>
  <c r="AW70"/>
  <c r="AW71" s="1"/>
  <c r="AF47"/>
  <c r="X47"/>
  <c r="T47"/>
  <c r="P47"/>
  <c r="AT42"/>
  <c r="AP42"/>
  <c r="AL42"/>
  <c r="AH42"/>
  <c r="AD42"/>
  <c r="Z42"/>
  <c r="V42"/>
  <c r="R42"/>
  <c r="N42"/>
  <c r="AV61"/>
  <c r="AV47"/>
  <c r="AH47"/>
  <c r="Z47"/>
  <c r="U47"/>
  <c r="Q47"/>
  <c r="L47"/>
  <c r="AU42"/>
  <c r="AQ42"/>
  <c r="AM42"/>
  <c r="AI42"/>
  <c r="AE42"/>
  <c r="AA42"/>
  <c r="W42"/>
  <c r="S42"/>
  <c r="O42"/>
  <c r="AV69"/>
  <c r="AV62"/>
  <c r="AV55"/>
  <c r="AV49"/>
  <c r="L69"/>
  <c r="P69"/>
  <c r="T69"/>
  <c r="X69"/>
  <c r="AB69"/>
  <c r="AF69"/>
  <c r="AJ69"/>
  <c r="AN69"/>
  <c r="AR69"/>
  <c r="M69"/>
  <c r="Q69"/>
  <c r="U69"/>
  <c r="Y69"/>
  <c r="AC69"/>
  <c r="AG69"/>
  <c r="AK69"/>
  <c r="AO69"/>
  <c r="AS69"/>
  <c r="L62"/>
  <c r="P62"/>
  <c r="T62"/>
  <c r="X62"/>
  <c r="AB62"/>
  <c r="AF62"/>
  <c r="AJ62"/>
  <c r="AN62"/>
  <c r="AR62"/>
  <c r="M62"/>
  <c r="Q62"/>
  <c r="U62"/>
  <c r="Y62"/>
  <c r="AC62"/>
  <c r="AG62"/>
  <c r="AK62"/>
  <c r="AO62"/>
  <c r="AS62"/>
  <c r="P61"/>
  <c r="T61"/>
  <c r="X61"/>
  <c r="AB61"/>
  <c r="AF61"/>
  <c r="AJ61"/>
  <c r="AN61"/>
  <c r="AR61"/>
  <c r="K61"/>
  <c r="L61"/>
  <c r="Q61"/>
  <c r="U61"/>
  <c r="Y61"/>
  <c r="AC61"/>
  <c r="AG61"/>
  <c r="AK61"/>
  <c r="AO61"/>
  <c r="L55"/>
  <c r="P55"/>
  <c r="T55"/>
  <c r="X55"/>
  <c r="AB55"/>
  <c r="AF55"/>
  <c r="AJ55"/>
  <c r="AN55"/>
  <c r="AR55"/>
  <c r="M55"/>
  <c r="Q55"/>
  <c r="U55"/>
  <c r="Y55"/>
  <c r="AC55"/>
  <c r="AG55"/>
  <c r="AK55"/>
  <c r="AO55"/>
  <c r="AS55"/>
  <c r="O50"/>
  <c r="S50"/>
  <c r="W50"/>
  <c r="AA50"/>
  <c r="AE50"/>
  <c r="AI50"/>
  <c r="AM50"/>
  <c r="AQ50"/>
  <c r="AU50"/>
  <c r="N50"/>
  <c r="R50"/>
  <c r="V50"/>
  <c r="Z50"/>
  <c r="AD50"/>
  <c r="AH50"/>
  <c r="AL50"/>
  <c r="AP50"/>
  <c r="L49"/>
  <c r="P49"/>
  <c r="T49"/>
  <c r="X49"/>
  <c r="AB49"/>
  <c r="AF49"/>
  <c r="AJ49"/>
  <c r="AN49"/>
  <c r="AR49"/>
  <c r="M49"/>
  <c r="Q49"/>
  <c r="U49"/>
  <c r="Y49"/>
  <c r="AC49"/>
  <c r="AG49"/>
  <c r="AK49"/>
  <c r="AO49"/>
  <c r="AS49"/>
  <c r="AP47"/>
  <c r="AT47"/>
  <c r="M47"/>
  <c r="AA47"/>
  <c r="AE47"/>
  <c r="AI47"/>
  <c r="AM47"/>
  <c r="AQ47"/>
  <c r="J77"/>
  <c r="O52"/>
  <c r="S52"/>
  <c r="W52"/>
  <c r="AA52"/>
  <c r="AE52"/>
  <c r="AI52"/>
  <c r="AM52"/>
  <c r="AQ52"/>
  <c r="AU52"/>
  <c r="N52"/>
  <c r="R52"/>
  <c r="V52"/>
  <c r="Z52"/>
  <c r="AD52"/>
  <c r="AH52"/>
  <c r="AL52"/>
  <c r="AP52"/>
  <c r="M72" i="1"/>
  <c r="M73" s="1"/>
  <c r="Q72"/>
  <c r="Q73" s="1"/>
  <c r="U72"/>
  <c r="U73" s="1"/>
  <c r="Y72"/>
  <c r="Y73" s="1"/>
  <c r="AC72"/>
  <c r="AC73" s="1"/>
  <c r="AG72"/>
  <c r="AG73" s="1"/>
  <c r="AK72"/>
  <c r="AK73" s="1"/>
  <c r="AO72"/>
  <c r="AO73" s="1"/>
  <c r="AS72"/>
  <c r="AS73" s="1"/>
  <c r="AW72"/>
  <c r="AW73" s="1"/>
  <c r="BA72"/>
  <c r="BA73" s="1"/>
  <c r="BE72"/>
  <c r="BE73" s="1"/>
  <c r="BI72"/>
  <c r="BI73" s="1"/>
  <c r="BM72"/>
  <c r="BM73" s="1"/>
  <c r="BQ72"/>
  <c r="BQ73" s="1"/>
  <c r="BU72"/>
  <c r="BU73" s="1"/>
  <c r="BY72"/>
  <c r="BY73" s="1"/>
  <c r="CC72"/>
  <c r="CC73" s="1"/>
  <c r="CG72"/>
  <c r="CG73" s="1"/>
  <c r="L72"/>
  <c r="L73" s="1"/>
  <c r="P72"/>
  <c r="P73" s="1"/>
  <c r="T72"/>
  <c r="T73" s="1"/>
  <c r="X72"/>
  <c r="X73" s="1"/>
  <c r="AB72"/>
  <c r="AB73" s="1"/>
  <c r="AF72"/>
  <c r="AF73" s="1"/>
  <c r="AJ72"/>
  <c r="AJ73" s="1"/>
  <c r="AN72"/>
  <c r="AN73" s="1"/>
  <c r="AR72"/>
  <c r="AR73" s="1"/>
  <c r="AV72"/>
  <c r="AV73" s="1"/>
  <c r="AZ72"/>
  <c r="AZ73" s="1"/>
  <c r="BD72"/>
  <c r="BD73" s="1"/>
  <c r="BH72"/>
  <c r="BH73" s="1"/>
  <c r="BL72"/>
  <c r="BL73" s="1"/>
  <c r="BP72"/>
  <c r="BP73" s="1"/>
  <c r="BT72"/>
  <c r="BT73" s="1"/>
  <c r="BX72"/>
  <c r="BX73" s="1"/>
  <c r="CB72"/>
  <c r="CB73" s="1"/>
  <c r="CF72"/>
  <c r="CF73" s="1"/>
  <c r="O72"/>
  <c r="O73" s="1"/>
  <c r="S72"/>
  <c r="S73" s="1"/>
  <c r="W72"/>
  <c r="W73" s="1"/>
  <c r="AA72"/>
  <c r="AA73" s="1"/>
  <c r="AE72"/>
  <c r="AE73" s="1"/>
  <c r="AI72"/>
  <c r="AI73" s="1"/>
  <c r="AM72"/>
  <c r="AM73" s="1"/>
  <c r="AQ72"/>
  <c r="AQ73" s="1"/>
  <c r="AU72"/>
  <c r="AU73" s="1"/>
  <c r="AY72"/>
  <c r="AY73" s="1"/>
  <c r="BC72"/>
  <c r="BC73" s="1"/>
  <c r="BG72"/>
  <c r="BG73" s="1"/>
  <c r="BK72"/>
  <c r="BK73" s="1"/>
  <c r="BO72"/>
  <c r="BO73" s="1"/>
  <c r="BS72"/>
  <c r="BS73" s="1"/>
  <c r="BW72"/>
  <c r="BW73" s="1"/>
  <c r="CA72"/>
  <c r="CA73" s="1"/>
  <c r="CE72"/>
  <c r="CE73" s="1"/>
  <c r="CH72"/>
  <c r="CH73" s="1"/>
  <c r="N72"/>
  <c r="N73" s="1"/>
  <c r="R72"/>
  <c r="R73" s="1"/>
  <c r="V72"/>
  <c r="V73" s="1"/>
  <c r="Z72"/>
  <c r="Z73" s="1"/>
  <c r="AD72"/>
  <c r="AD73" s="1"/>
  <c r="AH72"/>
  <c r="AH73" s="1"/>
  <c r="AL72"/>
  <c r="AL73" s="1"/>
  <c r="AP72"/>
  <c r="AP73" s="1"/>
  <c r="AT72"/>
  <c r="AT73" s="1"/>
  <c r="AX72"/>
  <c r="AX73" s="1"/>
  <c r="BB72"/>
  <c r="BB73" s="1"/>
  <c r="BF72"/>
  <c r="BF73" s="1"/>
  <c r="BJ72"/>
  <c r="BJ73" s="1"/>
  <c r="BN72"/>
  <c r="BN73" s="1"/>
  <c r="BR72"/>
  <c r="BR73" s="1"/>
  <c r="BV72"/>
  <c r="BV73" s="1"/>
  <c r="BZ72"/>
  <c r="BZ73" s="1"/>
  <c r="CD72"/>
  <c r="CD73" s="1"/>
  <c r="AO7" i="10"/>
  <c r="AS7"/>
  <c r="C7" s="1"/>
  <c r="AO14"/>
  <c r="AS14"/>
  <c r="C14" s="1"/>
  <c r="AO21"/>
  <c r="AS21"/>
  <c r="C21" s="1"/>
  <c r="AO28"/>
  <c r="AS28"/>
  <c r="C28" s="1"/>
  <c r="AO5"/>
  <c r="AS5"/>
  <c r="C5" s="1"/>
  <c r="AO19"/>
  <c r="AS19"/>
  <c r="C19" s="1"/>
  <c r="AS2"/>
  <c r="C2" s="1"/>
  <c r="AO4"/>
  <c r="AS4"/>
  <c r="C4" s="1"/>
  <c r="AO11"/>
  <c r="AS11"/>
  <c r="C11" s="1"/>
  <c r="AO17"/>
  <c r="AS17"/>
  <c r="C17" s="1"/>
  <c r="AO24"/>
  <c r="AS24"/>
  <c r="C24" s="1"/>
  <c r="AO31"/>
  <c r="AS31"/>
  <c r="C31" s="1"/>
  <c r="AO12"/>
  <c r="AS12"/>
  <c r="C12" s="1"/>
  <c r="AO26"/>
  <c r="AS26"/>
  <c r="C26" s="1"/>
  <c r="E30"/>
  <c r="G30"/>
  <c r="I30"/>
  <c r="K30"/>
  <c r="M30"/>
  <c r="O30"/>
  <c r="Q30"/>
  <c r="S30"/>
  <c r="U30"/>
  <c r="W30"/>
  <c r="Y30"/>
  <c r="AA30"/>
  <c r="AC30"/>
  <c r="AE30"/>
  <c r="AG30"/>
  <c r="AI30"/>
  <c r="AK30"/>
  <c r="AM30"/>
  <c r="N30"/>
  <c r="V30"/>
  <c r="Z30"/>
  <c r="AD30"/>
  <c r="AH30"/>
  <c r="AL30"/>
  <c r="D30"/>
  <c r="F30"/>
  <c r="H30"/>
  <c r="J30"/>
  <c r="L30"/>
  <c r="P30"/>
  <c r="R30"/>
  <c r="T30"/>
  <c r="X30"/>
  <c r="AB30"/>
  <c r="AF30"/>
  <c r="AJ30"/>
  <c r="AN30"/>
  <c r="F23"/>
  <c r="H23"/>
  <c r="J23"/>
  <c r="L23"/>
  <c r="N23"/>
  <c r="P23"/>
  <c r="R23"/>
  <c r="T23"/>
  <c r="V23"/>
  <c r="X23"/>
  <c r="Z23"/>
  <c r="AB23"/>
  <c r="AD23"/>
  <c r="AF23"/>
  <c r="AH23"/>
  <c r="AJ23"/>
  <c r="AL23"/>
  <c r="AN23"/>
  <c r="E23"/>
  <c r="G23"/>
  <c r="I23"/>
  <c r="K23"/>
  <c r="M23"/>
  <c r="O23"/>
  <c r="Q23"/>
  <c r="S23"/>
  <c r="U23"/>
  <c r="W23"/>
  <c r="Y23"/>
  <c r="AA23"/>
  <c r="AC23"/>
  <c r="AE23"/>
  <c r="AG23"/>
  <c r="AI23"/>
  <c r="AK23"/>
  <c r="AM23"/>
  <c r="D23"/>
  <c r="F16"/>
  <c r="H16"/>
  <c r="J16"/>
  <c r="L16"/>
  <c r="N16"/>
  <c r="P16"/>
  <c r="R16"/>
  <c r="T16"/>
  <c r="V16"/>
  <c r="X16"/>
  <c r="Z16"/>
  <c r="AB16"/>
  <c r="AD16"/>
  <c r="AF16"/>
  <c r="AH16"/>
  <c r="AJ16"/>
  <c r="AL16"/>
  <c r="AN16"/>
  <c r="E16"/>
  <c r="G16"/>
  <c r="I16"/>
  <c r="K16"/>
  <c r="M16"/>
  <c r="O16"/>
  <c r="Q16"/>
  <c r="S16"/>
  <c r="U16"/>
  <c r="W16"/>
  <c r="Y16"/>
  <c r="AA16"/>
  <c r="AC16"/>
  <c r="AE16"/>
  <c r="AG16"/>
  <c r="AI16"/>
  <c r="AK16"/>
  <c r="AM16"/>
  <c r="D16"/>
  <c r="F9"/>
  <c r="H9"/>
  <c r="J9"/>
  <c r="L9"/>
  <c r="N9"/>
  <c r="P9"/>
  <c r="R9"/>
  <c r="T9"/>
  <c r="V9"/>
  <c r="X9"/>
  <c r="Z9"/>
  <c r="AB9"/>
  <c r="AD9"/>
  <c r="AF9"/>
  <c r="AH9"/>
  <c r="AJ9"/>
  <c r="AL9"/>
  <c r="AN9"/>
  <c r="E9"/>
  <c r="G9"/>
  <c r="I9"/>
  <c r="K9"/>
  <c r="M9"/>
  <c r="O9"/>
  <c r="Q9"/>
  <c r="S9"/>
  <c r="U9"/>
  <c r="W9"/>
  <c r="Y9"/>
  <c r="AA9"/>
  <c r="AC9"/>
  <c r="AE9"/>
  <c r="AG9"/>
  <c r="AI9"/>
  <c r="AK9"/>
  <c r="AM9"/>
  <c r="D9"/>
  <c r="CP77" i="1"/>
  <c r="CO77"/>
  <c r="CP76"/>
  <c r="CO76"/>
  <c r="CK76" s="1"/>
  <c r="CJ72"/>
  <c r="CJ73" s="1"/>
  <c r="T874" i="17" l="1"/>
  <c r="U874" i="16" s="1"/>
  <c r="T573" i="17"/>
  <c r="U573" i="16" s="1"/>
  <c r="T281" i="17"/>
  <c r="U281" i="16" s="1"/>
  <c r="T783" i="17"/>
  <c r="U783" i="16" s="1"/>
  <c r="T796" i="17"/>
  <c r="U796" i="16" s="1"/>
  <c r="T209" i="17"/>
  <c r="U209" i="16" s="1"/>
  <c r="T499" i="17"/>
  <c r="U499" i="16" s="1"/>
  <c r="T882" i="17"/>
  <c r="U882" i="16" s="1"/>
  <c r="T586" i="17"/>
  <c r="U586" i="16" s="1"/>
  <c r="T914"/>
  <c r="T588"/>
  <c r="T182" i="17"/>
  <c r="U182" i="16" s="1"/>
  <c r="T205" i="17"/>
  <c r="U205" i="16" s="1"/>
  <c r="T810" i="17"/>
  <c r="U810" i="16" s="1"/>
  <c r="T243" i="17"/>
  <c r="U243" i="16" s="1"/>
  <c r="T575" i="17"/>
  <c r="U575" i="16" s="1"/>
  <c r="T901" i="17"/>
  <c r="U901" i="16" s="1"/>
  <c r="T585"/>
  <c r="T771" i="17"/>
  <c r="U771" i="16" s="1"/>
  <c r="T482" i="17"/>
  <c r="U482" i="16" s="1"/>
  <c r="T785" i="17"/>
  <c r="U785" i="16" s="1"/>
  <c r="T495" i="17"/>
  <c r="U495" i="16" s="1"/>
  <c r="T184" i="17"/>
  <c r="U184" i="16" s="1"/>
  <c r="T823" i="17"/>
  <c r="U823" i="16" s="1"/>
  <c r="T798" i="17"/>
  <c r="U798" i="16" s="1"/>
  <c r="T814" i="17"/>
  <c r="U814" i="16" s="1"/>
  <c r="T892" i="17"/>
  <c r="U892" i="16" s="1"/>
  <c r="T253" i="17"/>
  <c r="U253" i="16" s="1"/>
  <c r="T909" i="17"/>
  <c r="U909" i="16" s="1"/>
  <c r="T119" i="17"/>
  <c r="U119" i="16" s="1"/>
  <c r="T193"/>
  <c r="T174"/>
  <c r="T254"/>
  <c r="T277"/>
  <c r="T278"/>
  <c r="T272"/>
  <c r="T348"/>
  <c r="T648"/>
  <c r="T587"/>
  <c r="T910"/>
  <c r="T916"/>
  <c r="T872" i="17"/>
  <c r="U872" i="16" s="1"/>
  <c r="T538" i="17"/>
  <c r="U538" i="16" s="1"/>
  <c r="T289" i="17"/>
  <c r="U289" i="16" s="1"/>
  <c r="T272" i="17"/>
  <c r="U272" i="16" s="1"/>
  <c r="T577" i="17"/>
  <c r="U577" i="16" s="1"/>
  <c r="T894" i="17"/>
  <c r="U894" i="16" s="1"/>
  <c r="T928" i="17"/>
  <c r="U928" i="16" s="1"/>
  <c r="T926" i="17"/>
  <c r="U926" i="16" s="1"/>
  <c r="T560" i="17"/>
  <c r="U560" i="16" s="1"/>
  <c r="T18" i="17"/>
  <c r="U18" i="16" s="1"/>
  <c r="T326" i="17"/>
  <c r="U326" i="16" s="1"/>
  <c r="T615" i="17"/>
  <c r="U615" i="16" s="1"/>
  <c r="T35" i="17"/>
  <c r="U35" i="16" s="1"/>
  <c r="T633" i="17"/>
  <c r="U633" i="16" s="1"/>
  <c r="T316" i="17"/>
  <c r="U316" i="16" s="1"/>
  <c r="T31" i="17"/>
  <c r="U31" i="16" s="1"/>
  <c r="T642" i="17"/>
  <c r="U642" i="16" s="1"/>
  <c r="T25" i="17"/>
  <c r="U25" i="16" s="1"/>
  <c r="T43" i="17"/>
  <c r="U43" i="16" s="1"/>
  <c r="T635" i="17"/>
  <c r="U635" i="16" s="1"/>
  <c r="T324" i="17"/>
  <c r="U324" i="16" s="1"/>
  <c r="T351" i="17"/>
  <c r="U351" i="16" s="1"/>
  <c r="T33" i="17"/>
  <c r="U33" i="16" s="1"/>
  <c r="T353" i="17"/>
  <c r="U353" i="16" s="1"/>
  <c r="T646" i="17"/>
  <c r="U646" i="16" s="1"/>
  <c r="T346" i="17"/>
  <c r="U346" i="16" s="1"/>
  <c r="T47" i="17"/>
  <c r="U47" i="16" s="1"/>
  <c r="T348" i="17"/>
  <c r="U348" i="16" s="1"/>
  <c r="T681" i="17"/>
  <c r="U681" i="16" s="1"/>
  <c r="T355" i="17"/>
  <c r="U355" i="16" s="1"/>
  <c r="T656" i="17"/>
  <c r="U656" i="16" s="1"/>
  <c r="T690" i="17"/>
  <c r="U690" i="16" s="1"/>
  <c r="T389" i="17"/>
  <c r="U389" i="16" s="1"/>
  <c r="T674" i="17"/>
  <c r="U674" i="16" s="1"/>
  <c r="T381" i="17"/>
  <c r="U381" i="16" s="1"/>
  <c r="T80" i="17"/>
  <c r="U80" i="16" s="1"/>
  <c r="T398" i="17"/>
  <c r="U398" i="16" s="1"/>
  <c r="T72" i="17"/>
  <c r="U72" i="16" s="1"/>
  <c r="T683" i="17"/>
  <c r="U683" i="16" s="1"/>
  <c r="T82" i="17"/>
  <c r="U82" i="16" s="1"/>
  <c r="T409" i="17"/>
  <c r="U409" i="16" s="1"/>
  <c r="T74" i="17"/>
  <c r="U74" i="16" s="1"/>
  <c r="T724" i="17"/>
  <c r="U724" i="16" s="1"/>
  <c r="T367" i="17"/>
  <c r="U367" i="16" s="1"/>
  <c r="T113" i="17"/>
  <c r="U113" i="16" s="1"/>
  <c r="T133" i="17"/>
  <c r="U133" i="16" s="1"/>
  <c r="T748" i="17"/>
  <c r="U748" i="16" s="1"/>
  <c r="T430" i="17"/>
  <c r="U430" i="16" s="1"/>
  <c r="T395" i="17"/>
  <c r="U395" i="16" s="1"/>
  <c r="T144" i="17"/>
  <c r="U144" i="16" s="1"/>
  <c r="T404" i="17"/>
  <c r="U404" i="16" s="1"/>
  <c r="T117" i="17"/>
  <c r="U117" i="16" s="1"/>
  <c r="T718" i="17"/>
  <c r="U718" i="16" s="1"/>
  <c r="T406" i="17"/>
  <c r="U406" i="16" s="1"/>
  <c r="T453" i="17"/>
  <c r="U453" i="16" s="1"/>
  <c r="T788" i="17"/>
  <c r="U788" i="16" s="1"/>
  <c r="T111" i="17"/>
  <c r="U111" i="16" s="1"/>
  <c r="T741" i="17"/>
  <c r="U741" i="16" s="1"/>
  <c r="T775" i="17"/>
  <c r="U775" i="16" s="1"/>
  <c r="T176" i="17"/>
  <c r="U176" i="16" s="1"/>
  <c r="T157" i="17"/>
  <c r="U157" i="16" s="1"/>
  <c r="T754" i="17"/>
  <c r="U754" i="16" s="1"/>
  <c r="T722" i="17"/>
  <c r="U722" i="16" s="1"/>
  <c r="T436" i="17"/>
  <c r="U436" i="16" s="1"/>
  <c r="T802" i="17"/>
  <c r="U802" i="16" s="1"/>
  <c r="T790" i="17"/>
  <c r="U790" i="16" s="1"/>
  <c r="T141" i="17"/>
  <c r="U141" i="16" s="1"/>
  <c r="T480" i="17"/>
  <c r="U480" i="16" s="1"/>
  <c r="T461" i="17"/>
  <c r="U461" i="16" s="1"/>
  <c r="T808" i="17"/>
  <c r="U808" i="16" s="1"/>
  <c r="T835" i="17"/>
  <c r="U835" i="16" s="1"/>
  <c r="T213" i="17"/>
  <c r="U213" i="16" s="1"/>
  <c r="T163" i="17"/>
  <c r="U163" i="16" s="1"/>
  <c r="T472" i="17"/>
  <c r="U472" i="16" s="1"/>
  <c r="T474" i="17"/>
  <c r="U474" i="16" s="1"/>
  <c r="T484" i="17"/>
  <c r="U484" i="16" s="1"/>
  <c r="T194" i="17"/>
  <c r="U194" i="16" s="1"/>
  <c r="T507" i="17"/>
  <c r="U507" i="16" s="1"/>
  <c r="T274" i="17"/>
  <c r="U274" i="16" s="1"/>
  <c r="T841" i="17"/>
  <c r="U841" i="16" s="1"/>
  <c r="T579" i="17"/>
  <c r="U579" i="16" s="1"/>
  <c r="T268" i="17"/>
  <c r="U268" i="16" s="1"/>
  <c r="T913" i="17"/>
  <c r="U913" i="16" s="1"/>
  <c r="T285" i="17"/>
  <c r="U285" i="16" s="1"/>
  <c r="T262" i="17"/>
  <c r="U262" i="16" s="1"/>
  <c r="T550"/>
  <c r="T808"/>
  <c r="T728"/>
  <c r="T503"/>
  <c r="T53"/>
  <c r="T40"/>
  <c r="T60"/>
  <c r="T56"/>
  <c r="T183"/>
  <c r="T271"/>
  <c r="T263"/>
  <c r="T282"/>
  <c r="T264"/>
  <c r="T283"/>
  <c r="T255"/>
  <c r="T287"/>
  <c r="T338"/>
  <c r="T360"/>
  <c r="T352"/>
  <c r="T494"/>
  <c r="T568"/>
  <c r="T537"/>
  <c r="T591"/>
  <c r="T925"/>
  <c r="T883"/>
  <c r="T638"/>
  <c r="T661"/>
  <c r="T909"/>
  <c r="T915"/>
  <c r="T884"/>
  <c r="T926"/>
  <c r="T917"/>
  <c r="T911"/>
  <c r="T354"/>
  <c r="T483"/>
  <c r="T462"/>
  <c r="T797"/>
  <c r="T582"/>
  <c r="T525"/>
  <c r="T549"/>
  <c r="T576"/>
  <c r="T844"/>
  <c r="T921"/>
  <c r="T902"/>
  <c r="T871"/>
  <c r="T893"/>
  <c r="T581"/>
  <c r="T901"/>
  <c r="T538"/>
  <c r="T859"/>
  <c r="T903"/>
  <c r="T845"/>
  <c r="T577"/>
  <c r="T560"/>
  <c r="T583"/>
  <c r="T894"/>
  <c r="T44" i="17"/>
  <c r="U44" i="16" s="1"/>
  <c r="T628" i="17"/>
  <c r="U628" i="16" s="1"/>
  <c r="T616" i="17"/>
  <c r="U616" i="16" s="1"/>
  <c r="T634" i="17"/>
  <c r="U634" i="16" s="1"/>
  <c r="T334" i="17"/>
  <c r="U334" i="16" s="1"/>
  <c r="T24" i="17"/>
  <c r="U24" i="16" s="1"/>
  <c r="T310" i="17"/>
  <c r="U310" i="16" s="1"/>
  <c r="T30" i="17"/>
  <c r="U30" i="16" s="1"/>
  <c r="T621" i="17"/>
  <c r="U621" i="16" s="1"/>
  <c r="T641" i="17"/>
  <c r="U641" i="16" s="1"/>
  <c r="T19" i="17"/>
  <c r="U19" i="16" s="1"/>
  <c r="T36" i="17"/>
  <c r="U36" i="16" s="1"/>
  <c r="T315" i="17"/>
  <c r="U315" i="16" s="1"/>
  <c r="T321" i="17"/>
  <c r="U321" i="16" s="1"/>
  <c r="T42" i="17"/>
  <c r="U42" i="16" s="1"/>
  <c r="T327" i="17"/>
  <c r="U327" i="16" s="1"/>
  <c r="T543" i="17"/>
  <c r="U543" i="16" s="1"/>
  <c r="T519" i="17"/>
  <c r="U519" i="16" s="1"/>
  <c r="T887" i="17"/>
  <c r="U887" i="16" s="1"/>
  <c r="T852" i="17"/>
  <c r="U852" i="16" s="1"/>
  <c r="T811" i="17"/>
  <c r="U811" i="16" s="1"/>
  <c r="T838" i="17"/>
  <c r="U838" i="16" s="1"/>
  <c r="T786" i="17"/>
  <c r="U786" i="16" s="1"/>
  <c r="T485" i="17"/>
  <c r="U485" i="16" s="1"/>
  <c r="T238" i="17"/>
  <c r="U238" i="16" s="1"/>
  <c r="T185" i="17"/>
  <c r="U185" i="16" s="1"/>
  <c r="T227" i="17"/>
  <c r="U227" i="16" s="1"/>
  <c r="T195" i="17"/>
  <c r="U195" i="16" s="1"/>
  <c r="T206" i="17"/>
  <c r="U206" i="16" s="1"/>
  <c r="T508" i="17"/>
  <c r="U508" i="16" s="1"/>
  <c r="T865" i="17"/>
  <c r="U865" i="16" s="1"/>
  <c r="T824" i="17"/>
  <c r="U824" i="16" s="1"/>
  <c r="T877" i="17"/>
  <c r="U877" i="16" s="1"/>
  <c r="T799" i="17"/>
  <c r="U799" i="16" s="1"/>
  <c r="T496" i="17"/>
  <c r="U496" i="16" s="1"/>
  <c r="T531" i="17"/>
  <c r="U531" i="16" s="1"/>
  <c r="T553" i="17"/>
  <c r="U553" i="16" s="1"/>
  <c r="T216" i="17"/>
  <c r="U216" i="16" s="1"/>
  <c r="T248" i="17"/>
  <c r="U248" i="16" s="1"/>
  <c r="T705" i="17"/>
  <c r="U705" i="16" s="1"/>
  <c r="T168" i="17"/>
  <c r="U168" i="16" s="1"/>
  <c r="T477" i="17"/>
  <c r="U477" i="16" s="1"/>
  <c r="T439" i="17"/>
  <c r="U439" i="16" s="1"/>
  <c r="T458" i="17"/>
  <c r="U458" i="16" s="1"/>
  <c r="T151" i="17"/>
  <c r="U151" i="16" s="1"/>
  <c r="T780" i="17"/>
  <c r="U780" i="16" s="1"/>
  <c r="T757" i="17"/>
  <c r="U757" i="16" s="1"/>
  <c r="T250" i="17"/>
  <c r="U250" i="16" s="1"/>
  <c r="T229" i="17"/>
  <c r="U229" i="16" s="1"/>
  <c r="T813" i="17"/>
  <c r="U813" i="16" s="1"/>
  <c r="T889" i="17"/>
  <c r="U889" i="16" s="1"/>
  <c r="T533" i="17"/>
  <c r="U533" i="16" s="1"/>
  <c r="T826" i="17"/>
  <c r="U826" i="16" s="1"/>
  <c r="T535" i="17"/>
  <c r="U535" i="16" s="1"/>
  <c r="T828" i="17"/>
  <c r="U828" i="16" s="1"/>
  <c r="T547" i="17"/>
  <c r="U547" i="16" s="1"/>
  <c r="T242" i="17"/>
  <c r="U242" i="16" s="1"/>
  <c r="T523" i="17"/>
  <c r="U523" i="16" s="1"/>
  <c r="T233" i="17"/>
  <c r="U233" i="16" s="1"/>
  <c r="T525" i="17"/>
  <c r="U525" i="16" s="1"/>
  <c r="T537" i="17"/>
  <c r="U537" i="16" s="1"/>
  <c r="T384" i="17"/>
  <c r="U384" i="16" s="1"/>
  <c r="T791" i="17"/>
  <c r="U791" i="16" s="1"/>
  <c r="T562" i="17"/>
  <c r="U562" i="16" s="1"/>
  <c r="T845" i="17"/>
  <c r="U845" i="16" s="1"/>
  <c r="T859" i="17"/>
  <c r="U859" i="16" s="1"/>
  <c r="T50" i="17"/>
  <c r="U50" i="16" s="1"/>
  <c r="T650" i="17"/>
  <c r="U650" i="16" s="1"/>
  <c r="T714" i="17"/>
  <c r="U714" i="16" s="1"/>
  <c r="T91" i="17"/>
  <c r="U91" i="16" s="1"/>
  <c r="T696" i="17"/>
  <c r="U696" i="16" s="1"/>
  <c r="T159" i="17"/>
  <c r="U159" i="16" s="1"/>
  <c r="T468" i="17"/>
  <c r="U468" i="16" s="1"/>
  <c r="T449" i="17"/>
  <c r="U449" i="16" s="1"/>
  <c r="T459" i="17"/>
  <c r="U459" i="16" s="1"/>
  <c r="T769" i="17"/>
  <c r="U769" i="16" s="1"/>
  <c r="T249" i="17"/>
  <c r="U249" i="16" s="1"/>
  <c r="T258" i="17"/>
  <c r="U258" i="16" s="1"/>
  <c r="T509" i="17"/>
  <c r="U509" i="16" s="1"/>
  <c r="T888" i="17"/>
  <c r="U888" i="16" s="1"/>
  <c r="T800" i="17"/>
  <c r="U800" i="16" s="1"/>
  <c r="T554" i="17"/>
  <c r="U554" i="16" s="1"/>
  <c r="T239" i="17"/>
  <c r="U239" i="16" s="1"/>
  <c r="T520" i="17"/>
  <c r="U520" i="16" s="1"/>
  <c r="T897" i="17"/>
  <c r="U897" i="16" s="1"/>
  <c r="T839" i="17"/>
  <c r="U839" i="16" s="1"/>
  <c r="T497" i="17"/>
  <c r="U497" i="16" s="1"/>
  <c r="T534" i="17"/>
  <c r="U534" i="16" s="1"/>
  <c r="T251" i="17"/>
  <c r="U251" i="16" s="1"/>
  <c r="T546" i="17"/>
  <c r="U546" i="16" s="1"/>
  <c r="T890" i="17"/>
  <c r="U890" i="16" s="1"/>
  <c r="T880" i="17"/>
  <c r="U880" i="16" s="1"/>
  <c r="T829" i="17"/>
  <c r="U829" i="16" s="1"/>
  <c r="T221" i="17"/>
  <c r="U221" i="16" s="1"/>
  <c r="T536" i="17"/>
  <c r="U536" i="16" s="1"/>
  <c r="T626" i="17"/>
  <c r="U626" i="16" s="1"/>
  <c r="T614" i="17"/>
  <c r="U614" i="16" s="1"/>
  <c r="T22" i="17"/>
  <c r="U22" i="16" s="1"/>
  <c r="T17" i="17"/>
  <c r="U17" i="16" s="1"/>
  <c r="T319" i="17"/>
  <c r="U319" i="16" s="1"/>
  <c r="T313" i="17"/>
  <c r="U313" i="16" s="1"/>
  <c r="T619" i="17"/>
  <c r="U619" i="16" s="1"/>
  <c r="T611" i="17"/>
  <c r="U611" i="16" s="1"/>
  <c r="T14" i="17"/>
  <c r="U14" i="16" s="1"/>
  <c r="T305" i="17"/>
  <c r="U305" i="16" s="1"/>
  <c r="T28" i="17"/>
  <c r="U28" i="16" s="1"/>
  <c r="T308" i="17"/>
  <c r="U308" i="16" s="1"/>
  <c r="T336" i="17"/>
  <c r="U336" i="16" s="1"/>
  <c r="T643" i="17"/>
  <c r="U643" i="16" s="1"/>
  <c r="T98" i="17"/>
  <c r="U98" i="16" s="1"/>
  <c r="T392" i="17"/>
  <c r="U392" i="16" s="1"/>
  <c r="T90" i="17"/>
  <c r="U90" i="16" s="1"/>
  <c r="T92" i="17"/>
  <c r="U92" i="16" s="1"/>
  <c r="T688" i="17"/>
  <c r="U688" i="16" s="1"/>
  <c r="T177" i="17"/>
  <c r="U177" i="16" s="1"/>
  <c r="T803" i="17"/>
  <c r="U803" i="16" s="1"/>
  <c r="T448" i="17"/>
  <c r="U448" i="16" s="1"/>
  <c r="T768" i="17"/>
  <c r="U768" i="16" s="1"/>
  <c r="T160" i="17"/>
  <c r="U160" i="16" s="1"/>
  <c r="T142" i="17"/>
  <c r="U142" i="16" s="1"/>
  <c r="T770" i="17"/>
  <c r="U770" i="16" s="1"/>
  <c r="T450" i="17"/>
  <c r="U450" i="16" s="1"/>
  <c r="T759" i="17"/>
  <c r="U759" i="16" s="1"/>
  <c r="T197" i="17"/>
  <c r="U197" i="16" s="1"/>
  <c r="T240" i="17"/>
  <c r="U240" i="16" s="1"/>
  <c r="T879" i="17"/>
  <c r="U879" i="16" s="1"/>
  <c r="T555" i="17"/>
  <c r="U555" i="16" s="1"/>
  <c r="T498" i="17"/>
  <c r="U498" i="16" s="1"/>
  <c r="T867" i="17"/>
  <c r="U867" i="16" s="1"/>
  <c r="T545" i="17"/>
  <c r="U545" i="16" s="1"/>
  <c r="T220" i="17"/>
  <c r="U220" i="16" s="1"/>
  <c r="T881" i="17"/>
  <c r="U881" i="16" s="1"/>
  <c r="T869" i="17"/>
  <c r="U869" i="16" s="1"/>
  <c r="T512" i="17"/>
  <c r="U512" i="16" s="1"/>
  <c r="T231" i="17"/>
  <c r="U231" i="16" s="1"/>
  <c r="T842" i="17"/>
  <c r="U842" i="16" s="1"/>
  <c r="T856" i="17"/>
  <c r="U856" i="16" s="1"/>
  <c r="T844" i="17"/>
  <c r="U844" i="16" s="1"/>
  <c r="T858" i="17"/>
  <c r="U858" i="16" s="1"/>
  <c r="T871" i="17"/>
  <c r="U871" i="16" s="1"/>
  <c r="T241" i="17"/>
  <c r="U241" i="16" s="1"/>
  <c r="T695" i="17"/>
  <c r="U695" i="16" s="1"/>
  <c r="T467" i="17"/>
  <c r="U467" i="16" s="1"/>
  <c r="T257" i="17"/>
  <c r="U257" i="16" s="1"/>
  <c r="T896" i="17"/>
  <c r="U896" i="16" s="1"/>
  <c r="T342" i="17"/>
  <c r="U342" i="16" s="1"/>
  <c r="T330" i="17"/>
  <c r="U330" i="16" s="1"/>
  <c r="T637" i="17"/>
  <c r="U637" i="16" s="1"/>
  <c r="T105" i="17"/>
  <c r="U105" i="16" s="1"/>
  <c r="T400" i="17"/>
  <c r="U400" i="16" s="1"/>
  <c r="T385" i="17"/>
  <c r="U385" i="16" s="1"/>
  <c r="T377" i="17"/>
  <c r="U377" i="16" s="1"/>
  <c r="T169" i="17"/>
  <c r="U169" i="16" s="1"/>
  <c r="T457" i="17"/>
  <c r="U457" i="16" s="1"/>
  <c r="T792" i="17"/>
  <c r="U792" i="16" s="1"/>
  <c r="T779" i="17"/>
  <c r="U779" i="16" s="1"/>
  <c r="T161" i="17"/>
  <c r="U161" i="16" s="1"/>
  <c r="T758" i="17"/>
  <c r="U758" i="16" s="1"/>
  <c r="T152" i="17"/>
  <c r="U152" i="16" s="1"/>
  <c r="T228" i="17"/>
  <c r="U228" i="16" s="1"/>
  <c r="T196" i="17"/>
  <c r="U196" i="16" s="1"/>
  <c r="T544" i="17"/>
  <c r="U544" i="16" s="1"/>
  <c r="T853" i="17"/>
  <c r="U853" i="16" s="1"/>
  <c r="T812" i="17"/>
  <c r="U812" i="16" s="1"/>
  <c r="T878" i="17"/>
  <c r="U878" i="16" s="1"/>
  <c r="T563" i="17"/>
  <c r="U563" i="16" s="1"/>
  <c r="T217" i="17"/>
  <c r="U217" i="16" s="1"/>
  <c r="T207" i="17"/>
  <c r="U207" i="16" s="1"/>
  <c r="T866" i="17"/>
  <c r="U866" i="16" s="1"/>
  <c r="T825" i="17"/>
  <c r="U825" i="16" s="1"/>
  <c r="T532" i="17"/>
  <c r="U532" i="16" s="1"/>
  <c r="T486" i="17"/>
  <c r="U486" i="16" s="1"/>
  <c r="T219" i="17"/>
  <c r="U219" i="16" s="1"/>
  <c r="T522" i="17"/>
  <c r="U522" i="16" s="1"/>
  <c r="T868" i="17"/>
  <c r="U868" i="16" s="1"/>
  <c r="T230" i="17"/>
  <c r="U230" i="16" s="1"/>
  <c r="T855" i="17"/>
  <c r="U855" i="16" s="1"/>
  <c r="T556" i="17"/>
  <c r="U556" i="16" s="1"/>
  <c r="T232" i="17"/>
  <c r="U232" i="16" s="1"/>
  <c r="T857" i="17"/>
  <c r="U857" i="16" s="1"/>
  <c r="T524" i="17"/>
  <c r="U524" i="16" s="1"/>
  <c r="T552"/>
  <c r="T493"/>
  <c r="T812"/>
  <c r="T800"/>
  <c r="T515"/>
  <c r="T732"/>
  <c r="T485"/>
  <c r="T531"/>
  <c r="T865"/>
  <c r="T772"/>
  <c r="T687"/>
  <c r="T472"/>
  <c r="T783"/>
  <c r="T508"/>
  <c r="T799"/>
  <c r="T736"/>
  <c r="T725"/>
  <c r="T715"/>
  <c r="T686"/>
  <c r="T677"/>
  <c r="T705"/>
  <c r="T421"/>
  <c r="T749"/>
  <c r="T738"/>
  <c r="T727"/>
  <c r="T697"/>
  <c r="T688"/>
  <c r="T707"/>
  <c r="T431"/>
  <c r="T427"/>
  <c r="T816"/>
  <c r="T803"/>
  <c r="T778"/>
  <c r="T755"/>
  <c r="T744"/>
  <c r="T733"/>
  <c r="T456"/>
  <c r="T766"/>
  <c r="T488"/>
  <c r="T477"/>
  <c r="T446"/>
  <c r="T437"/>
  <c r="T142"/>
  <c r="T805"/>
  <c r="T832"/>
  <c r="T793"/>
  <c r="T780"/>
  <c r="T757"/>
  <c r="T746"/>
  <c r="T768"/>
  <c r="T502"/>
  <c r="T469"/>
  <c r="T458"/>
  <c r="T479"/>
  <c r="T448"/>
  <c r="T439"/>
  <c r="T702"/>
  <c r="T712"/>
  <c r="T692"/>
  <c r="T683"/>
  <c r="T674"/>
  <c r="T658"/>
  <c r="T704"/>
  <c r="T724"/>
  <c r="T714"/>
  <c r="T694"/>
  <c r="T676"/>
  <c r="T788"/>
  <c r="T720"/>
  <c r="T730"/>
  <c r="T710"/>
  <c r="T443"/>
  <c r="T775"/>
  <c r="T763"/>
  <c r="T741"/>
  <c r="T464"/>
  <c r="T453"/>
  <c r="T662"/>
  <c r="T646"/>
  <c r="T639"/>
  <c r="T679"/>
  <c r="T670"/>
  <c r="T654"/>
  <c r="T713"/>
  <c r="T693"/>
  <c r="T684"/>
  <c r="T703"/>
  <c r="T667"/>
  <c r="T423"/>
  <c r="T774"/>
  <c r="T762"/>
  <c r="T751"/>
  <c r="T729"/>
  <c r="T699"/>
  <c r="T452"/>
  <c r="T719"/>
  <c r="T709"/>
  <c r="T442"/>
  <c r="T433"/>
  <c r="T426"/>
  <c r="T789"/>
  <c r="T776"/>
  <c r="T753"/>
  <c r="T742"/>
  <c r="T731"/>
  <c r="T721"/>
  <c r="T465"/>
  <c r="T454"/>
  <c r="T435"/>
  <c r="T223"/>
  <c r="T861"/>
  <c r="T820"/>
  <c r="T807"/>
  <c r="T834"/>
  <c r="T795"/>
  <c r="T782"/>
  <c r="T759"/>
  <c r="T527"/>
  <c r="T504"/>
  <c r="T471"/>
  <c r="T460"/>
  <c r="T770"/>
  <c r="T492"/>
  <c r="T481"/>
  <c r="T450"/>
  <c r="T621"/>
  <c r="T616"/>
  <c r="T641"/>
  <c r="T634"/>
  <c r="T628"/>
  <c r="T691"/>
  <c r="T682"/>
  <c r="T673"/>
  <c r="T701"/>
  <c r="T665"/>
  <c r="T718"/>
  <c r="T761"/>
  <c r="T739"/>
  <c r="T708"/>
  <c r="T441"/>
  <c r="T432"/>
  <c r="T750"/>
  <c r="T698"/>
  <c r="T831"/>
  <c r="T792"/>
  <c r="T817"/>
  <c r="T767"/>
  <c r="T756"/>
  <c r="T734"/>
  <c r="T489"/>
  <c r="T447"/>
  <c r="T438"/>
  <c r="T779"/>
  <c r="T745"/>
  <c r="T501"/>
  <c r="T468"/>
  <c r="T457"/>
  <c r="T794"/>
  <c r="T847"/>
  <c r="T819"/>
  <c r="T806"/>
  <c r="T769"/>
  <c r="T781"/>
  <c r="T491"/>
  <c r="T480"/>
  <c r="T449"/>
  <c r="T758"/>
  <c r="T514"/>
  <c r="T470"/>
  <c r="T459"/>
  <c r="T185"/>
  <c r="T876"/>
  <c r="T837"/>
  <c r="T798"/>
  <c r="T864"/>
  <c r="T851"/>
  <c r="T823"/>
  <c r="T810"/>
  <c r="T785"/>
  <c r="T495"/>
  <c r="T484"/>
  <c r="T542"/>
  <c r="T530"/>
  <c r="T518"/>
  <c r="T507"/>
  <c r="T474"/>
  <c r="T666"/>
  <c r="T791"/>
  <c r="T752"/>
  <c r="T490"/>
  <c r="T695"/>
  <c r="T685"/>
  <c r="T657"/>
  <c r="T833"/>
  <c r="T886"/>
  <c r="T696"/>
  <c r="T461"/>
  <c r="T482"/>
  <c r="T771"/>
  <c r="T821"/>
  <c r="T796"/>
  <c r="T486"/>
  <c r="T848"/>
  <c r="T717"/>
  <c r="T467"/>
  <c r="T434"/>
  <c r="T478"/>
  <c r="T743"/>
  <c r="T722"/>
  <c r="T496"/>
  <c r="T519"/>
  <c r="T786"/>
  <c r="T838"/>
  <c r="T811"/>
  <c r="T852"/>
  <c r="T818"/>
  <c r="T764"/>
  <c r="T98"/>
  <c r="T419"/>
  <c r="T410"/>
  <c r="T401"/>
  <c r="T392"/>
  <c r="T376"/>
  <c r="T412"/>
  <c r="T394"/>
  <c r="T386"/>
  <c r="T381"/>
  <c r="T373"/>
  <c r="T365"/>
  <c r="T398"/>
  <c r="T389"/>
  <c r="T383"/>
  <c r="T409"/>
  <c r="T400"/>
  <c r="T391"/>
  <c r="T367"/>
  <c r="T155"/>
  <c r="T424"/>
  <c r="T415"/>
  <c r="T406"/>
  <c r="T375"/>
  <c r="T403"/>
  <c r="T385"/>
  <c r="T357"/>
  <c r="T384"/>
  <c r="T369"/>
  <c r="T361"/>
  <c r="T353"/>
  <c r="T346"/>
  <c r="T332"/>
  <c r="T399"/>
  <c r="T390"/>
  <c r="T358"/>
  <c r="T382"/>
  <c r="T374"/>
  <c r="T414"/>
  <c r="T405"/>
  <c r="T396"/>
  <c r="T121"/>
  <c r="T416"/>
  <c r="T407"/>
  <c r="T425"/>
  <c r="T57"/>
  <c r="T388"/>
  <c r="T356"/>
  <c r="T349"/>
  <c r="T380"/>
  <c r="T372"/>
  <c r="T364"/>
  <c r="T422"/>
  <c r="T404"/>
  <c r="T395"/>
  <c r="T428"/>
  <c r="T413"/>
  <c r="T377"/>
  <c r="T366"/>
  <c r="T417"/>
  <c r="T76"/>
  <c r="T339"/>
  <c r="T334"/>
  <c r="T321"/>
  <c r="T327"/>
  <c r="T315"/>
  <c r="T310"/>
  <c r="T233"/>
  <c r="T163"/>
  <c r="T205"/>
  <c r="T184"/>
  <c r="T192"/>
  <c r="T19"/>
  <c r="T247"/>
  <c r="T280"/>
  <c r="T275"/>
  <c r="T269"/>
  <c r="T261"/>
  <c r="T276"/>
  <c r="T253"/>
  <c r="T270"/>
  <c r="T252"/>
  <c r="T206"/>
  <c r="T262"/>
  <c r="T165"/>
  <c r="T154"/>
  <c r="T166"/>
  <c r="T156"/>
  <c r="T202"/>
  <c r="T172"/>
  <c r="T191"/>
  <c r="T181"/>
  <c r="T242"/>
  <c r="T220"/>
  <c r="T231"/>
  <c r="T244"/>
  <c r="T195"/>
  <c r="T232"/>
  <c r="T162"/>
  <c r="T212"/>
  <c r="T131"/>
  <c r="T168"/>
  <c r="T187"/>
  <c r="T177"/>
  <c r="T158"/>
  <c r="T200"/>
  <c r="T151"/>
  <c r="T170"/>
  <c r="T179"/>
  <c r="T160"/>
  <c r="T188"/>
  <c r="T159"/>
  <c r="T199"/>
  <c r="T169"/>
  <c r="T190"/>
  <c r="T180"/>
  <c r="T161"/>
  <c r="T211"/>
  <c r="T171"/>
  <c r="T226"/>
  <c r="T194"/>
  <c r="T237"/>
  <c r="T215"/>
  <c r="T178"/>
  <c r="T227"/>
  <c r="T216"/>
  <c r="T243"/>
  <c r="T201"/>
  <c r="T182"/>
  <c r="T173"/>
  <c r="BN74" i="13"/>
  <c r="T152" i="16"/>
  <c r="T73"/>
  <c r="T104"/>
  <c r="T96"/>
  <c r="T88"/>
  <c r="T81"/>
  <c r="T136"/>
  <c r="T118"/>
  <c r="T110"/>
  <c r="T145"/>
  <c r="T127"/>
  <c r="T138"/>
  <c r="T120"/>
  <c r="T147"/>
  <c r="T129"/>
  <c r="T74"/>
  <c r="T97"/>
  <c r="T89"/>
  <c r="T82"/>
  <c r="T113"/>
  <c r="T105"/>
  <c r="T146"/>
  <c r="T128"/>
  <c r="T137"/>
  <c r="T119"/>
  <c r="T111"/>
  <c r="T139"/>
  <c r="T114"/>
  <c r="T123"/>
  <c r="T106"/>
  <c r="T90"/>
  <c r="T83"/>
  <c r="T134"/>
  <c r="T116"/>
  <c r="T108"/>
  <c r="T100"/>
  <c r="T125"/>
  <c r="T140"/>
  <c r="T149"/>
  <c r="T95"/>
  <c r="T87"/>
  <c r="T80"/>
  <c r="T103"/>
  <c r="T94"/>
  <c r="T86"/>
  <c r="T79"/>
  <c r="T144"/>
  <c r="T126"/>
  <c r="T135"/>
  <c r="T117"/>
  <c r="T109"/>
  <c r="T101"/>
  <c r="T150"/>
  <c r="T141"/>
  <c r="T92"/>
  <c r="T130"/>
  <c r="T47"/>
  <c r="T68"/>
  <c r="T61"/>
  <c r="T72"/>
  <c r="T65"/>
  <c r="T71"/>
  <c r="T64"/>
  <c r="T54"/>
  <c r="T36"/>
  <c r="T42"/>
  <c r="T30"/>
  <c r="T24"/>
  <c r="BK74" i="13"/>
  <c r="BF74"/>
  <c r="BG74"/>
  <c r="BO74"/>
  <c r="BJ74"/>
  <c r="BE74"/>
  <c r="BI74"/>
  <c r="BM74"/>
  <c r="BQ74"/>
  <c r="BH74"/>
  <c r="BL74"/>
  <c r="AT70"/>
  <c r="AT71" s="1"/>
  <c r="AD70"/>
  <c r="AD71" s="1"/>
  <c r="T70"/>
  <c r="T71" s="1"/>
  <c r="Z70"/>
  <c r="Z71" s="1"/>
  <c r="AK70"/>
  <c r="AK71" s="1"/>
  <c r="AJ70"/>
  <c r="AJ71" s="1"/>
  <c r="AV70"/>
  <c r="AV71" s="1"/>
  <c r="AU70"/>
  <c r="AU71" s="1"/>
  <c r="O70"/>
  <c r="O71" s="1"/>
  <c r="AH70"/>
  <c r="AH71" s="1"/>
  <c r="W70"/>
  <c r="W71" s="1"/>
  <c r="AO70"/>
  <c r="AO71" s="1"/>
  <c r="S70"/>
  <c r="S71" s="1"/>
  <c r="AQ70"/>
  <c r="AQ71" s="1"/>
  <c r="AI70"/>
  <c r="AI71" s="1"/>
  <c r="N70"/>
  <c r="N71" s="1"/>
  <c r="K70"/>
  <c r="K71" s="1"/>
  <c r="AN70"/>
  <c r="AN71" s="1"/>
  <c r="X70"/>
  <c r="X71" s="1"/>
  <c r="AC70"/>
  <c r="AC71" s="1"/>
  <c r="M70"/>
  <c r="M71" s="1"/>
  <c r="AG70"/>
  <c r="AG71" s="1"/>
  <c r="Y70"/>
  <c r="Y71" s="1"/>
  <c r="Q70"/>
  <c r="Q71" s="1"/>
  <c r="AR70"/>
  <c r="AR71" s="1"/>
  <c r="AB70"/>
  <c r="AB71" s="1"/>
  <c r="AS70"/>
  <c r="AS71" s="1"/>
  <c r="AF70"/>
  <c r="AF71" s="1"/>
  <c r="AL70"/>
  <c r="AL71" s="1"/>
  <c r="V70"/>
  <c r="V71" s="1"/>
  <c r="AA70"/>
  <c r="AA71" s="1"/>
  <c r="L70"/>
  <c r="L71" s="1"/>
  <c r="U70"/>
  <c r="U71" s="1"/>
  <c r="P70"/>
  <c r="P71" s="1"/>
  <c r="AM70"/>
  <c r="AM71" s="1"/>
  <c r="AE70"/>
  <c r="AE71" s="1"/>
  <c r="R70"/>
  <c r="R71" s="1"/>
  <c r="AP70"/>
  <c r="AP71" s="1"/>
  <c r="BQ75"/>
  <c r="BA73"/>
  <c r="BI75"/>
  <c r="BL75"/>
  <c r="BE75"/>
  <c r="BM75"/>
  <c r="BH75"/>
  <c r="BP75"/>
  <c r="BG75"/>
  <c r="BK75"/>
  <c r="BO75"/>
  <c r="BF75"/>
  <c r="BJ75"/>
  <c r="CK77" i="1"/>
  <c r="CZ77" s="1"/>
  <c r="E26" i="10"/>
  <c r="G26"/>
  <c r="I26"/>
  <c r="K26"/>
  <c r="M26"/>
  <c r="O26"/>
  <c r="Q26"/>
  <c r="S26"/>
  <c r="U26"/>
  <c r="W26"/>
  <c r="Y26"/>
  <c r="AA26"/>
  <c r="AC26"/>
  <c r="AE26"/>
  <c r="AG26"/>
  <c r="AI26"/>
  <c r="AK26"/>
  <c r="AM26"/>
  <c r="D26"/>
  <c r="F26"/>
  <c r="H26"/>
  <c r="J26"/>
  <c r="L26"/>
  <c r="N26"/>
  <c r="P26"/>
  <c r="R26"/>
  <c r="T26"/>
  <c r="V26"/>
  <c r="X26"/>
  <c r="Z26"/>
  <c r="AB26"/>
  <c r="AD26"/>
  <c r="AF26"/>
  <c r="AH26"/>
  <c r="AJ26"/>
  <c r="AL26"/>
  <c r="AN26"/>
  <c r="F12"/>
  <c r="H12"/>
  <c r="J12"/>
  <c r="L12"/>
  <c r="N12"/>
  <c r="P12"/>
  <c r="R12"/>
  <c r="T12"/>
  <c r="V12"/>
  <c r="X12"/>
  <c r="Z12"/>
  <c r="AB12"/>
  <c r="AD12"/>
  <c r="AF12"/>
  <c r="AH12"/>
  <c r="AJ12"/>
  <c r="AL12"/>
  <c r="AN12"/>
  <c r="E12"/>
  <c r="G12"/>
  <c r="I12"/>
  <c r="K12"/>
  <c r="M12"/>
  <c r="O12"/>
  <c r="Q12"/>
  <c r="S12"/>
  <c r="U12"/>
  <c r="W12"/>
  <c r="Y12"/>
  <c r="AA12"/>
  <c r="AC12"/>
  <c r="AE12"/>
  <c r="AG12"/>
  <c r="AI12"/>
  <c r="AK12"/>
  <c r="AM12"/>
  <c r="D12"/>
  <c r="E31"/>
  <c r="G31"/>
  <c r="I31"/>
  <c r="K31"/>
  <c r="M31"/>
  <c r="O31"/>
  <c r="Q31"/>
  <c r="S31"/>
  <c r="U31"/>
  <c r="W31"/>
  <c r="Y31"/>
  <c r="AA31"/>
  <c r="AC31"/>
  <c r="AE31"/>
  <c r="AG31"/>
  <c r="AI31"/>
  <c r="AK31"/>
  <c r="AM31"/>
  <c r="D31"/>
  <c r="F31"/>
  <c r="H31"/>
  <c r="L31"/>
  <c r="P31"/>
  <c r="T31"/>
  <c r="X31"/>
  <c r="AB31"/>
  <c r="AF31"/>
  <c r="AJ31"/>
  <c r="AN31"/>
  <c r="J31"/>
  <c r="N31"/>
  <c r="R31"/>
  <c r="V31"/>
  <c r="Z31"/>
  <c r="AD31"/>
  <c r="AH31"/>
  <c r="AL31"/>
  <c r="F24"/>
  <c r="H24"/>
  <c r="J24"/>
  <c r="L24"/>
  <c r="N24"/>
  <c r="P24"/>
  <c r="R24"/>
  <c r="T24"/>
  <c r="V24"/>
  <c r="X24"/>
  <c r="Z24"/>
  <c r="AB24"/>
  <c r="AD24"/>
  <c r="E24"/>
  <c r="G24"/>
  <c r="I24"/>
  <c r="K24"/>
  <c r="M24"/>
  <c r="O24"/>
  <c r="Q24"/>
  <c r="S24"/>
  <c r="W24"/>
  <c r="AA24"/>
  <c r="AE24"/>
  <c r="AG24"/>
  <c r="AI24"/>
  <c r="AK24"/>
  <c r="AM24"/>
  <c r="D24"/>
  <c r="U24"/>
  <c r="Y24"/>
  <c r="AC24"/>
  <c r="AF24"/>
  <c r="AH24"/>
  <c r="AJ24"/>
  <c r="AL24"/>
  <c r="AN24"/>
  <c r="F17"/>
  <c r="H17"/>
  <c r="J17"/>
  <c r="L17"/>
  <c r="N17"/>
  <c r="P17"/>
  <c r="R17"/>
  <c r="T17"/>
  <c r="V17"/>
  <c r="X17"/>
  <c r="Z17"/>
  <c r="AB17"/>
  <c r="AD17"/>
  <c r="AF17"/>
  <c r="AH17"/>
  <c r="AJ17"/>
  <c r="AL17"/>
  <c r="AN17"/>
  <c r="E17"/>
  <c r="G17"/>
  <c r="I17"/>
  <c r="K17"/>
  <c r="M17"/>
  <c r="O17"/>
  <c r="Q17"/>
  <c r="S17"/>
  <c r="U17"/>
  <c r="W17"/>
  <c r="Y17"/>
  <c r="AA17"/>
  <c r="AC17"/>
  <c r="AE17"/>
  <c r="AG17"/>
  <c r="AI17"/>
  <c r="AK17"/>
  <c r="AM17"/>
  <c r="D17"/>
  <c r="F11"/>
  <c r="H11"/>
  <c r="J11"/>
  <c r="L11"/>
  <c r="N11"/>
  <c r="P11"/>
  <c r="R11"/>
  <c r="T11"/>
  <c r="V11"/>
  <c r="X11"/>
  <c r="Z11"/>
  <c r="AB11"/>
  <c r="AD11"/>
  <c r="AF11"/>
  <c r="AH11"/>
  <c r="AJ11"/>
  <c r="AL11"/>
  <c r="AN11"/>
  <c r="E11"/>
  <c r="G11"/>
  <c r="I11"/>
  <c r="K11"/>
  <c r="M11"/>
  <c r="O11"/>
  <c r="Q11"/>
  <c r="S11"/>
  <c r="U11"/>
  <c r="W11"/>
  <c r="Y11"/>
  <c r="AA11"/>
  <c r="AC11"/>
  <c r="AE11"/>
  <c r="AG11"/>
  <c r="AI11"/>
  <c r="AK11"/>
  <c r="AM11"/>
  <c r="D11"/>
  <c r="F4"/>
  <c r="H4"/>
  <c r="J4"/>
  <c r="L4"/>
  <c r="N4"/>
  <c r="P4"/>
  <c r="R4"/>
  <c r="T4"/>
  <c r="V4"/>
  <c r="X4"/>
  <c r="Z4"/>
  <c r="AB4"/>
  <c r="AD4"/>
  <c r="AF4"/>
  <c r="AH4"/>
  <c r="AJ4"/>
  <c r="AL4"/>
  <c r="AN4"/>
  <c r="E4"/>
  <c r="G4"/>
  <c r="I4"/>
  <c r="K4"/>
  <c r="M4"/>
  <c r="O4"/>
  <c r="Q4"/>
  <c r="S4"/>
  <c r="U4"/>
  <c r="W4"/>
  <c r="Y4"/>
  <c r="AA4"/>
  <c r="AC4"/>
  <c r="AE4"/>
  <c r="AG4"/>
  <c r="AI4"/>
  <c r="AK4"/>
  <c r="AM4"/>
  <c r="D4"/>
  <c r="F2"/>
  <c r="H2"/>
  <c r="J2"/>
  <c r="L2"/>
  <c r="N2"/>
  <c r="P2"/>
  <c r="R2"/>
  <c r="T2"/>
  <c r="V2"/>
  <c r="X2"/>
  <c r="Z2"/>
  <c r="AB2"/>
  <c r="AD2"/>
  <c r="AF2"/>
  <c r="AH2"/>
  <c r="AJ2"/>
  <c r="AL2"/>
  <c r="AN2"/>
  <c r="E2"/>
  <c r="G2"/>
  <c r="I2"/>
  <c r="K2"/>
  <c r="M2"/>
  <c r="O2"/>
  <c r="Q2"/>
  <c r="S2"/>
  <c r="U2"/>
  <c r="W2"/>
  <c r="Y2"/>
  <c r="AA2"/>
  <c r="AC2"/>
  <c r="AE2"/>
  <c r="AG2"/>
  <c r="AI2"/>
  <c r="AK2"/>
  <c r="AM2"/>
  <c r="D2"/>
  <c r="F19"/>
  <c r="H19"/>
  <c r="J19"/>
  <c r="L19"/>
  <c r="N19"/>
  <c r="P19"/>
  <c r="R19"/>
  <c r="T19"/>
  <c r="V19"/>
  <c r="X19"/>
  <c r="Z19"/>
  <c r="AB19"/>
  <c r="AD19"/>
  <c r="AF19"/>
  <c r="AH19"/>
  <c r="AJ19"/>
  <c r="AL19"/>
  <c r="AN19"/>
  <c r="E19"/>
  <c r="G19"/>
  <c r="I19"/>
  <c r="K19"/>
  <c r="M19"/>
  <c r="O19"/>
  <c r="Q19"/>
  <c r="S19"/>
  <c r="U19"/>
  <c r="W19"/>
  <c r="Y19"/>
  <c r="AA19"/>
  <c r="AC19"/>
  <c r="AE19"/>
  <c r="AG19"/>
  <c r="AI19"/>
  <c r="AK19"/>
  <c r="AM19"/>
  <c r="D19"/>
  <c r="F5"/>
  <c r="H5"/>
  <c r="J5"/>
  <c r="L5"/>
  <c r="N5"/>
  <c r="P5"/>
  <c r="R5"/>
  <c r="T5"/>
  <c r="V5"/>
  <c r="X5"/>
  <c r="Z5"/>
  <c r="AB5"/>
  <c r="AD5"/>
  <c r="AF5"/>
  <c r="AH5"/>
  <c r="AJ5"/>
  <c r="AL5"/>
  <c r="AN5"/>
  <c r="E5"/>
  <c r="G5"/>
  <c r="I5"/>
  <c r="K5"/>
  <c r="M5"/>
  <c r="O5"/>
  <c r="Q5"/>
  <c r="S5"/>
  <c r="U5"/>
  <c r="W5"/>
  <c r="Y5"/>
  <c r="AA5"/>
  <c r="AC5"/>
  <c r="AE5"/>
  <c r="AG5"/>
  <c r="AI5"/>
  <c r="AK5"/>
  <c r="AM5"/>
  <c r="D5"/>
  <c r="E28"/>
  <c r="G28"/>
  <c r="I28"/>
  <c r="K28"/>
  <c r="M28"/>
  <c r="O28"/>
  <c r="Q28"/>
  <c r="S28"/>
  <c r="U28"/>
  <c r="W28"/>
  <c r="Y28"/>
  <c r="AA28"/>
  <c r="AC28"/>
  <c r="AE28"/>
  <c r="AG28"/>
  <c r="AI28"/>
  <c r="AK28"/>
  <c r="AM28"/>
  <c r="D28"/>
  <c r="F28"/>
  <c r="H28"/>
  <c r="J28"/>
  <c r="L28"/>
  <c r="N28"/>
  <c r="P28"/>
  <c r="R28"/>
  <c r="T28"/>
  <c r="V28"/>
  <c r="X28"/>
  <c r="Z28"/>
  <c r="AB28"/>
  <c r="AD28"/>
  <c r="AF28"/>
  <c r="AH28"/>
  <c r="AJ28"/>
  <c r="AL28"/>
  <c r="AN28"/>
  <c r="F21"/>
  <c r="H21"/>
  <c r="J21"/>
  <c r="L21"/>
  <c r="N21"/>
  <c r="P21"/>
  <c r="R21"/>
  <c r="T21"/>
  <c r="V21"/>
  <c r="X21"/>
  <c r="Z21"/>
  <c r="AB21"/>
  <c r="AD21"/>
  <c r="AF21"/>
  <c r="AH21"/>
  <c r="AJ21"/>
  <c r="AL21"/>
  <c r="AN21"/>
  <c r="E21"/>
  <c r="G21"/>
  <c r="I21"/>
  <c r="K21"/>
  <c r="M21"/>
  <c r="O21"/>
  <c r="Q21"/>
  <c r="S21"/>
  <c r="U21"/>
  <c r="W21"/>
  <c r="Y21"/>
  <c r="AA21"/>
  <c r="AC21"/>
  <c r="AE21"/>
  <c r="AG21"/>
  <c r="AI21"/>
  <c r="AK21"/>
  <c r="AM21"/>
  <c r="D21"/>
  <c r="F14"/>
  <c r="H14"/>
  <c r="J14"/>
  <c r="L14"/>
  <c r="N14"/>
  <c r="P14"/>
  <c r="R14"/>
  <c r="T14"/>
  <c r="V14"/>
  <c r="X14"/>
  <c r="Z14"/>
  <c r="AB14"/>
  <c r="AD14"/>
  <c r="AF14"/>
  <c r="AH14"/>
  <c r="AJ14"/>
  <c r="AL14"/>
  <c r="AN14"/>
  <c r="E14"/>
  <c r="G14"/>
  <c r="I14"/>
  <c r="K14"/>
  <c r="M14"/>
  <c r="O14"/>
  <c r="Q14"/>
  <c r="S14"/>
  <c r="U14"/>
  <c r="W14"/>
  <c r="Y14"/>
  <c r="AA14"/>
  <c r="AC14"/>
  <c r="AE14"/>
  <c r="AG14"/>
  <c r="AI14"/>
  <c r="AK14"/>
  <c r="AM14"/>
  <c r="D14"/>
  <c r="F7"/>
  <c r="H7"/>
  <c r="J7"/>
  <c r="L7"/>
  <c r="N7"/>
  <c r="P7"/>
  <c r="R7"/>
  <c r="T7"/>
  <c r="V7"/>
  <c r="X7"/>
  <c r="Z7"/>
  <c r="AB7"/>
  <c r="AD7"/>
  <c r="AF7"/>
  <c r="AH7"/>
  <c r="AJ7"/>
  <c r="AL7"/>
  <c r="AN7"/>
  <c r="E7"/>
  <c r="G7"/>
  <c r="I7"/>
  <c r="K7"/>
  <c r="M7"/>
  <c r="O7"/>
  <c r="Q7"/>
  <c r="S7"/>
  <c r="U7"/>
  <c r="W7"/>
  <c r="Y7"/>
  <c r="AA7"/>
  <c r="AC7"/>
  <c r="AE7"/>
  <c r="AG7"/>
  <c r="AI7"/>
  <c r="AK7"/>
  <c r="AM7"/>
  <c r="D7"/>
  <c r="DB76" i="1"/>
  <c r="CZ76"/>
  <c r="CX76"/>
  <c r="CV76"/>
  <c r="CT76"/>
  <c r="CR76"/>
  <c r="DC76"/>
  <c r="DA76"/>
  <c r="CY76"/>
  <c r="CW76"/>
  <c r="CU76"/>
  <c r="CS76"/>
  <c r="CQ76"/>
  <c r="DC77"/>
  <c r="BR74" i="13" l="1"/>
  <c r="CU77" i="1"/>
  <c r="CX77"/>
  <c r="CQ77"/>
  <c r="CY77"/>
  <c r="CT77"/>
  <c r="DB77"/>
  <c r="BD73" i="13"/>
  <c r="BR75"/>
  <c r="CS77" i="1"/>
  <c r="CW77"/>
  <c r="DA77"/>
  <c r="CR77"/>
  <c r="CV77"/>
  <c r="CJ75"/>
  <c r="DD76"/>
  <c r="CP75" l="1"/>
  <c r="BC73" i="13"/>
  <c r="BB73" s="1"/>
  <c r="BP73" s="1"/>
  <c r="DD77" i="1"/>
  <c r="CO75" l="1"/>
  <c r="CK75" s="1"/>
  <c r="DB75" s="1"/>
  <c r="BG73" i="13"/>
  <c r="BK73"/>
  <c r="BO73"/>
  <c r="BF73"/>
  <c r="BJ73"/>
  <c r="BN73"/>
  <c r="BE73"/>
  <c r="BI73"/>
  <c r="BM73"/>
  <c r="BQ73"/>
  <c r="BH73"/>
  <c r="BL73"/>
  <c r="CX75" i="1" l="1"/>
  <c r="DC75"/>
  <c r="CU75"/>
  <c r="CZ75"/>
  <c r="CR75"/>
  <c r="DA75"/>
  <c r="CT75"/>
  <c r="CY75"/>
  <c r="CQ75"/>
  <c r="CV75"/>
  <c r="CW75"/>
  <c r="CS75"/>
  <c r="BR73" i="13"/>
  <c r="BR77" s="1"/>
  <c r="BB71" s="1"/>
  <c r="DD75" i="1" l="1"/>
  <c r="DA79" s="1"/>
  <c r="I39" s="1"/>
  <c r="I37" i="13"/>
  <c r="CO73" i="1" l="1"/>
  <c r="Q47" i="16"/>
  <c r="P47"/>
  <c r="M47"/>
  <c r="O47"/>
  <c r="L47"/>
  <c r="K47"/>
  <c r="M625"/>
  <c r="O625"/>
  <c r="N625"/>
  <c r="Q625"/>
  <c r="P625"/>
  <c r="K625"/>
</calcChain>
</file>

<file path=xl/sharedStrings.xml><?xml version="1.0" encoding="utf-8"?>
<sst xmlns="http://schemas.openxmlformats.org/spreadsheetml/2006/main" count="722" uniqueCount="215">
  <si>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</si>
  <si>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</si>
  <si>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</si>
  <si>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</si>
  <si>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</si>
  <si>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</si>
  <si>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</si>
  <si>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</si>
  <si>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</si>
  <si>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</si>
  <si>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</si>
  <si>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</si>
  <si>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</si>
  <si>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</si>
  <si>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</si>
  <si>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</si>
  <si>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</si>
  <si>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</si>
  <si>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</si>
  <si>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</si>
  <si>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</si>
  <si>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</si>
  <si>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</si>
  <si>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</si>
  <si>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</si>
  <si>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</si>
  <si>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</si>
  <si>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</si>
  <si>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</si>
  <si>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</si>
  <si>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</si>
  <si>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</si>
  <si>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</si>
  <si>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</si>
  <si>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</si>
  <si>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</si>
  <si>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</si>
  <si>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</si>
  <si>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</si>
  <si>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</si>
  <si>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</si>
  <si>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</si>
  <si>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</si>
  <si>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</si>
  <si>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</si>
  <si>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</si>
  <si>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</si>
  <si>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</si>
  <si>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</si>
  <si>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</si>
  <si>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</si>
  <si>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</si>
  <si>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</si>
  <si>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</si>
  <si>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</si>
  <si>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</si>
  <si>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</si>
  <si>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</si>
  <si>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</si>
  <si>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</si>
  <si>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</si>
  <si>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</si>
  <si>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</si>
  <si>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</si>
  <si>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</si>
  <si>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</si>
  <si>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</si>
  <si>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</si>
  <si>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</si>
  <si>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</si>
  <si>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</si>
  <si>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</si>
  <si>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</si>
  <si>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</si>
  <si>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</si>
  <si>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</si>
  <si>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</si>
  <si>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</si>
  <si>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</si>
  <si>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</si>
  <si>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</si>
  <si>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</si>
  <si>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</si>
  <si>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</si>
  <si>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</si>
  <si>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</si>
  <si>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</si>
  <si>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</si>
  <si>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</si>
  <si>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</si>
  <si>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</si>
  <si>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</si>
  <si>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</si>
  <si>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</si>
  <si>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</si>
  <si>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</si>
  <si>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</si>
  <si>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</si>
  <si>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</si>
  <si>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</si>
  <si>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</si>
  <si>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</si>
  <si>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</si>
  <si>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</si>
  <si>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</si>
  <si>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</si>
  <si>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</si>
  <si>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</si>
  <si>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</si>
  <si>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</si>
  <si>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</si>
  <si>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</si>
  <si>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</si>
  <si>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</si>
  <si>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</si>
  <si>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</si>
  <si>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</si>
  <si>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</si>
  <si>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</si>
  <si>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</si>
  <si>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</si>
  <si>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</si>
  <si>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</si>
  <si>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</si>
  <si>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</si>
  <si>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</si>
  <si>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</si>
  <si>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</si>
  <si>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</si>
  <si>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</si>
  <si>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</si>
  <si>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</si>
  <si>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</si>
  <si>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</si>
  <si>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</si>
  <si>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</si>
  <si>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</si>
  <si>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</si>
  <si>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</si>
  <si>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</si>
  <si>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</si>
  <si>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</si>
  <si>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</si>
  <si>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</si>
  <si>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</si>
  <si>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</si>
  <si>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</si>
  <si>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</si>
  <si>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</si>
  <si>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</si>
  <si>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</si>
  <si>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</si>
  <si>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</si>
  <si>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</si>
  <si>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</si>
  <si>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</si>
  <si>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</si>
  <si>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</si>
  <si>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</si>
  <si>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</si>
  <si>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</si>
  <si>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</si>
  <si>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</si>
  <si>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</si>
  <si>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</si>
  <si>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</si>
  <si>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</si>
  <si>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</si>
  <si>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</si>
  <si>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</si>
  <si>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</si>
  <si>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</si>
  <si>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</si>
  <si>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</si>
  <si>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 xml:space="preserve"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</si>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</sst>
</file>

<file path=xl/styles.xml><?xml version="1.0" encoding="utf-8"?>
<styleSheet xmlns="http://schemas.openxmlformats.org/spreadsheetml/2006/main">
  <numFmts count="3">
    <numFmt numFmtId="164" formatCode="0.00;[Red]0.00"/>
    <numFmt numFmtId="165" formatCode="0.000"/>
    <numFmt numFmtId="166" formatCode="0;[Red]0"/>
  </numFmts>
  <fonts count="17">
    <font>
      <sz val="10"/>
      <color indexed="8"/>
      <name val="Arial"/>
      <charset val="1"/>
    </font>
    <font>
      <sz val="7"/>
      <name val="Arial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6"/>
      <color indexed="8"/>
      <name val="Arial"/>
      <family val="2"/>
    </font>
    <font>
      <sz val="7"/>
      <name val="Arial"/>
      <family val="2"/>
    </font>
    <font>
      <b/>
      <sz val="16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7"/>
      <color indexed="8"/>
      <name val="Arial"/>
      <family val="2"/>
    </font>
    <font>
      <sz val="8"/>
      <color indexed="8"/>
      <name val="Arial"/>
      <family val="2"/>
    </font>
    <font>
      <sz val="20"/>
      <color indexed="8"/>
      <name val="Arial"/>
      <family val="2"/>
    </font>
    <font>
      <b/>
      <sz val="14"/>
      <color indexed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144">
    <xf numFmtId="0" fontId="0" fillId="0" borderId="0" xfId="0" applyNumberFormat="1" applyFont="1" applyFill="1" applyBorder="1" applyAlignment="1" applyProtection="1"/>
    <xf numFmtId="164" fontId="0" fillId="0" borderId="0" xfId="0" applyNumberFormat="1" applyFont="1" applyFill="1" applyBorder="1" applyAlignment="1" applyProtection="1"/>
    <xf numFmtId="164" fontId="1" fillId="0" borderId="1" xfId="0" applyNumberFormat="1" applyFont="1" applyFill="1" applyBorder="1" applyAlignment="1" applyProtection="1">
      <alignment horizontal="center" vertical="center"/>
    </xf>
    <xf numFmtId="165" fontId="0" fillId="0" borderId="0" xfId="0" applyNumberFormat="1" applyFont="1" applyFill="1" applyBorder="1" applyAlignment="1" applyProtection="1"/>
    <xf numFmtId="165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164" fontId="0" fillId="0" borderId="0" xfId="0" applyNumberFormat="1" applyFill="1" applyBorder="1" applyAlignment="1" applyProtection="1"/>
    <xf numFmtId="164" fontId="0" fillId="0" borderId="0" xfId="0" applyNumberFormat="1" applyFill="1" applyBorder="1" applyAlignment="1" applyProtection="1">
      <alignment horizontal="center"/>
    </xf>
    <xf numFmtId="164" fontId="2" fillId="0" borderId="0" xfId="0" applyNumberFormat="1" applyFont="1" applyFill="1" applyBorder="1" applyAlignment="1" applyProtection="1"/>
    <xf numFmtId="164" fontId="0" fillId="0" borderId="0" xfId="0" applyNumberFormat="1" applyFill="1" applyBorder="1" applyAlignment="1" applyProtection="1">
      <alignment horizontal="center" vertical="center"/>
    </xf>
    <xf numFmtId="164" fontId="1" fillId="0" borderId="0" xfId="0" applyNumberFormat="1" applyFont="1" applyFill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</xf>
    <xf numFmtId="0" fontId="0" fillId="0" borderId="4" xfId="0" applyNumberFormat="1" applyFont="1" applyFill="1" applyBorder="1" applyAlignment="1" applyProtection="1"/>
    <xf numFmtId="0" fontId="1" fillId="0" borderId="5" xfId="0" applyFont="1" applyBorder="1" applyAlignment="1" applyProtection="1">
      <alignment horizontal="center" vertical="center"/>
    </xf>
    <xf numFmtId="0" fontId="0" fillId="0" borderId="5" xfId="0" applyNumberFormat="1" applyFont="1" applyFill="1" applyBorder="1" applyAlignment="1" applyProtection="1">
      <alignment horizontal="center"/>
    </xf>
    <xf numFmtId="0" fontId="1" fillId="0" borderId="6" xfId="0" applyFont="1" applyBorder="1" applyAlignment="1" applyProtection="1">
      <alignment horizontal="center" vertical="center"/>
    </xf>
    <xf numFmtId="0" fontId="0" fillId="2" borderId="0" xfId="0" applyNumberFormat="1" applyFont="1" applyFill="1" applyBorder="1" applyAlignment="1" applyProtection="1"/>
    <xf numFmtId="0" fontId="0" fillId="3" borderId="0" xfId="0" applyNumberFormat="1" applyFont="1" applyFill="1" applyBorder="1" applyAlignment="1" applyProtection="1"/>
    <xf numFmtId="0" fontId="0" fillId="4" borderId="0" xfId="0" applyNumberFormat="1" applyFont="1" applyFill="1" applyBorder="1" applyAlignment="1" applyProtection="1"/>
    <xf numFmtId="164" fontId="7" fillId="0" borderId="0" xfId="0" applyNumberFormat="1" applyFont="1" applyFill="1" applyBorder="1" applyAlignment="1" applyProtection="1">
      <alignment horizontal="center"/>
    </xf>
    <xf numFmtId="0" fontId="1" fillId="0" borderId="7" xfId="0" applyNumberFormat="1" applyFont="1" applyFill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8" xfId="0" applyNumberFormat="1" applyFill="1" applyBorder="1" applyAlignment="1" applyProtection="1"/>
    <xf numFmtId="0" fontId="1" fillId="0" borderId="7" xfId="0" applyFont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1" fontId="0" fillId="0" borderId="0" xfId="0" applyNumberFormat="1" applyFont="1" applyFill="1" applyBorder="1" applyAlignment="1" applyProtection="1"/>
    <xf numFmtId="0" fontId="0" fillId="0" borderId="1" xfId="0" applyBorder="1" applyAlignment="1" applyProtection="1">
      <alignment horizontal="center" vertical="center"/>
    </xf>
    <xf numFmtId="0" fontId="8" fillId="5" borderId="1" xfId="0" applyFont="1" applyFill="1" applyBorder="1" applyAlignment="1" applyProtection="1">
      <alignment horizontal="center" vertical="center"/>
      <protection locked="0"/>
    </xf>
    <xf numFmtId="0" fontId="8" fillId="6" borderId="1" xfId="0" applyFont="1" applyFill="1" applyBorder="1" applyAlignment="1" applyProtection="1">
      <alignment horizontal="center" vertical="center"/>
      <protection locked="0"/>
    </xf>
    <xf numFmtId="0" fontId="8" fillId="7" borderId="1" xfId="0" applyFont="1" applyFill="1" applyBorder="1" applyAlignment="1" applyProtection="1">
      <alignment horizontal="center" vertical="center"/>
      <protection locked="0"/>
    </xf>
    <xf numFmtId="0" fontId="8" fillId="8" borderId="1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</xf>
    <xf numFmtId="164" fontId="0" fillId="0" borderId="1" xfId="0" applyNumberFormat="1" applyFill="1" applyBorder="1" applyAlignment="1" applyProtection="1">
      <alignment horizontal="center" vertical="center"/>
    </xf>
    <xf numFmtId="2" fontId="3" fillId="0" borderId="1" xfId="0" applyNumberFormat="1" applyFont="1" applyFill="1" applyBorder="1" applyAlignment="1" applyProtection="1">
      <alignment horizontal="center" vertical="center"/>
    </xf>
    <xf numFmtId="164" fontId="9" fillId="3" borderId="1" xfId="0" applyNumberFormat="1" applyFont="1" applyFill="1" applyBorder="1" applyAlignment="1" applyProtection="1">
      <alignment horizontal="center" vertical="center"/>
    </xf>
    <xf numFmtId="2" fontId="10" fillId="0" borderId="1" xfId="0" applyNumberFormat="1" applyFont="1" applyFill="1" applyBorder="1" applyAlignment="1" applyProtection="1">
      <alignment horizontal="center" vertical="center"/>
    </xf>
    <xf numFmtId="164" fontId="10" fillId="3" borderId="1" xfId="0" applyNumberFormat="1" applyFont="1" applyFill="1" applyBorder="1" applyAlignment="1" applyProtection="1">
      <alignment horizontal="center" vertical="center"/>
    </xf>
    <xf numFmtId="164" fontId="7" fillId="0" borderId="0" xfId="0" applyNumberFormat="1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/>
    </xf>
    <xf numFmtId="1" fontId="0" fillId="0" borderId="0" xfId="0" applyNumberFormat="1" applyFill="1" applyBorder="1" applyAlignment="1" applyProtection="1"/>
    <xf numFmtId="1" fontId="7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0" fillId="9" borderId="0" xfId="0" applyNumberFormat="1" applyFont="1" applyFill="1" applyBorder="1" applyAlignment="1" applyProtection="1"/>
    <xf numFmtId="14" fontId="0" fillId="9" borderId="0" xfId="0" applyNumberFormat="1" applyFont="1" applyFill="1" applyBorder="1" applyAlignment="1" applyProtection="1"/>
    <xf numFmtId="18" fontId="0" fillId="9" borderId="0" xfId="0" applyNumberFormat="1" applyFont="1" applyFill="1" applyBorder="1" applyAlignment="1" applyProtection="1"/>
    <xf numFmtId="0" fontId="5" fillId="9" borderId="0" xfId="0" applyNumberFormat="1" applyFont="1" applyFill="1" applyBorder="1" applyAlignment="1" applyProtection="1"/>
    <xf numFmtId="2" fontId="6" fillId="9" borderId="0" xfId="0" applyNumberFormat="1" applyFont="1" applyFill="1" applyBorder="1" applyAlignment="1" applyProtection="1">
      <alignment horizontal="center"/>
    </xf>
    <xf numFmtId="164" fontId="0" fillId="9" borderId="0" xfId="0" applyNumberFormat="1" applyFont="1" applyFill="1" applyBorder="1" applyAlignment="1" applyProtection="1"/>
    <xf numFmtId="1" fontId="0" fillId="9" borderId="0" xfId="0" applyNumberFormat="1" applyFont="1" applyFill="1" applyBorder="1" applyAlignment="1" applyProtection="1"/>
    <xf numFmtId="164" fontId="0" fillId="0" borderId="9" xfId="0" applyNumberFormat="1" applyFill="1" applyBorder="1" applyAlignment="1" applyProtection="1">
      <alignment horizontal="center" vertical="center"/>
    </xf>
    <xf numFmtId="165" fontId="1" fillId="0" borderId="9" xfId="0" applyNumberFormat="1" applyFont="1" applyFill="1" applyBorder="1" applyAlignment="1" applyProtection="1">
      <alignment horizontal="center" vertical="center"/>
    </xf>
    <xf numFmtId="164" fontId="1" fillId="0" borderId="9" xfId="0" applyNumberFormat="1" applyFont="1" applyFill="1" applyBorder="1" applyAlignment="1" applyProtection="1">
      <alignment horizontal="center" vertical="center"/>
    </xf>
    <xf numFmtId="164" fontId="0" fillId="0" borderId="10" xfId="0" applyNumberFormat="1" applyFill="1" applyBorder="1" applyAlignment="1" applyProtection="1">
      <alignment horizontal="center" vertical="center"/>
    </xf>
    <xf numFmtId="165" fontId="1" fillId="0" borderId="10" xfId="0" applyNumberFormat="1" applyFont="1" applyFill="1" applyBorder="1" applyAlignment="1" applyProtection="1">
      <alignment horizontal="center" vertical="center"/>
    </xf>
    <xf numFmtId="164" fontId="1" fillId="0" borderId="10" xfId="0" applyNumberFormat="1" applyFont="1" applyFill="1" applyBorder="1" applyAlignment="1" applyProtection="1">
      <alignment horizontal="center" vertical="center"/>
    </xf>
    <xf numFmtId="164" fontId="0" fillId="9" borderId="0" xfId="0" applyNumberFormat="1" applyFill="1" applyBorder="1" applyAlignment="1" applyProtection="1">
      <alignment horizontal="center" vertical="center"/>
    </xf>
    <xf numFmtId="165" fontId="1" fillId="9" borderId="0" xfId="0" applyNumberFormat="1" applyFont="1" applyFill="1" applyBorder="1" applyAlignment="1" applyProtection="1">
      <alignment horizontal="center" vertical="center"/>
    </xf>
    <xf numFmtId="164" fontId="1" fillId="9" borderId="0" xfId="0" applyNumberFormat="1" applyFont="1" applyFill="1" applyBorder="1" applyAlignment="1" applyProtection="1">
      <alignment horizontal="center" vertical="center"/>
    </xf>
    <xf numFmtId="1" fontId="1" fillId="9" borderId="0" xfId="0" applyNumberFormat="1" applyFont="1" applyFill="1" applyBorder="1" applyAlignment="1" applyProtection="1">
      <alignment horizontal="center" vertical="center"/>
    </xf>
    <xf numFmtId="1" fontId="0" fillId="9" borderId="0" xfId="0" applyNumberFormat="1" applyFill="1" applyBorder="1" applyAlignment="1" applyProtection="1">
      <alignment horizontal="center" vertical="center"/>
    </xf>
    <xf numFmtId="164" fontId="12" fillId="3" borderId="0" xfId="0" applyNumberFormat="1" applyFont="1" applyFill="1" applyBorder="1" applyAlignment="1" applyProtection="1">
      <alignment horizontal="center" vertical="center"/>
    </xf>
    <xf numFmtId="164" fontId="12" fillId="3" borderId="13" xfId="0" applyNumberFormat="1" applyFont="1" applyFill="1" applyBorder="1" applyAlignment="1" applyProtection="1">
      <alignment horizontal="center" vertical="center"/>
    </xf>
    <xf numFmtId="164" fontId="12" fillId="0" borderId="11" xfId="0" applyNumberFormat="1" applyFont="1" applyFill="1" applyBorder="1" applyAlignment="1" applyProtection="1">
      <alignment horizontal="center" vertical="center"/>
    </xf>
    <xf numFmtId="164" fontId="12" fillId="0" borderId="0" xfId="0" applyNumberFormat="1" applyFont="1" applyFill="1" applyBorder="1" applyAlignment="1" applyProtection="1">
      <alignment horizontal="center" vertical="center"/>
    </xf>
    <xf numFmtId="166" fontId="12" fillId="0" borderId="12" xfId="0" applyNumberFormat="1" applyFont="1" applyFill="1" applyBorder="1" applyAlignment="1" applyProtection="1">
      <alignment horizontal="center" vertical="center"/>
    </xf>
    <xf numFmtId="166" fontId="12" fillId="0" borderId="0" xfId="0" applyNumberFormat="1" applyFont="1" applyFill="1" applyBorder="1" applyAlignment="1" applyProtection="1">
      <alignment horizontal="center" vertical="center"/>
    </xf>
    <xf numFmtId="0" fontId="1" fillId="0" borderId="12" xfId="0" applyNumberFormat="1" applyFont="1" applyFill="1" applyBorder="1" applyAlignment="1" applyProtection="1">
      <alignment horizontal="center" vertical="center"/>
    </xf>
    <xf numFmtId="49" fontId="1" fillId="0" borderId="12" xfId="0" applyNumberFormat="1" applyFont="1" applyFill="1" applyBorder="1" applyAlignment="1" applyProtection="1">
      <alignment horizontal="center" vertical="center"/>
    </xf>
    <xf numFmtId="164" fontId="12" fillId="0" borderId="12" xfId="0" applyNumberFormat="1" applyFont="1" applyFill="1" applyBorder="1" applyAlignment="1" applyProtection="1">
      <alignment horizontal="center" vertical="center"/>
    </xf>
    <xf numFmtId="164" fontId="1" fillId="0" borderId="12" xfId="0" applyNumberFormat="1" applyFont="1" applyFill="1" applyBorder="1" applyAlignment="1" applyProtection="1">
      <alignment horizontal="center" vertical="center"/>
    </xf>
    <xf numFmtId="1" fontId="8" fillId="0" borderId="1" xfId="0" applyNumberFormat="1" applyFont="1" applyFill="1" applyBorder="1" applyAlignment="1" applyProtection="1">
      <alignment horizontal="center" vertical="center"/>
      <protection locked="0"/>
    </xf>
    <xf numFmtId="2" fontId="0" fillId="0" borderId="0" xfId="0" applyNumberFormat="1" applyFont="1" applyFill="1" applyBorder="1" applyAlignment="1" applyProtection="1"/>
    <xf numFmtId="164" fontId="5" fillId="0" borderId="0" xfId="0" applyNumberFormat="1" applyFont="1" applyFill="1" applyBorder="1" applyAlignment="1" applyProtection="1"/>
    <xf numFmtId="1" fontId="5" fillId="0" borderId="0" xfId="0" applyNumberFormat="1" applyFont="1" applyFill="1" applyBorder="1" applyAlignment="1" applyProtection="1"/>
    <xf numFmtId="0" fontId="1" fillId="0" borderId="0" xfId="0" applyFont="1" applyBorder="1" applyAlignment="1" applyProtection="1">
      <alignment horizontal="center" vertical="center"/>
    </xf>
    <xf numFmtId="164" fontId="12" fillId="0" borderId="7" xfId="0" applyNumberFormat="1" applyFont="1" applyFill="1" applyBorder="1" applyAlignment="1" applyProtection="1">
      <alignment horizontal="center" vertical="center"/>
    </xf>
    <xf numFmtId="166" fontId="12" fillId="0" borderId="7" xfId="0" applyNumberFormat="1" applyFont="1" applyFill="1" applyBorder="1" applyAlignment="1" applyProtection="1">
      <alignment horizontal="center" vertical="center"/>
    </xf>
    <xf numFmtId="164" fontId="12" fillId="3" borderId="7" xfId="0" applyNumberFormat="1" applyFont="1" applyFill="1" applyBorder="1" applyAlignment="1" applyProtection="1">
      <alignment horizontal="center" vertical="center"/>
    </xf>
    <xf numFmtId="2" fontId="1" fillId="0" borderId="1" xfId="0" applyNumberFormat="1" applyFont="1" applyFill="1" applyBorder="1" applyAlignment="1" applyProtection="1">
      <alignment horizontal="center" vertical="center"/>
    </xf>
    <xf numFmtId="2" fontId="1" fillId="0" borderId="9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ill="1" applyBorder="1" applyAlignment="1" applyProtection="1"/>
    <xf numFmtId="1" fontId="8" fillId="0" borderId="1" xfId="0" applyNumberFormat="1" applyFont="1" applyFill="1" applyBorder="1" applyAlignment="1" applyProtection="1">
      <alignment horizontal="center" vertical="center"/>
    </xf>
    <xf numFmtId="0" fontId="8" fillId="5" borderId="1" xfId="0" applyFont="1" applyFill="1" applyBorder="1" applyAlignment="1" applyProtection="1">
      <alignment horizontal="center" vertical="center"/>
    </xf>
    <xf numFmtId="0" fontId="8" fillId="6" borderId="1" xfId="0" applyFont="1" applyFill="1" applyBorder="1" applyAlignment="1" applyProtection="1">
      <alignment horizontal="center" vertical="center"/>
    </xf>
    <xf numFmtId="0" fontId="8" fillId="7" borderId="1" xfId="0" applyFont="1" applyFill="1" applyBorder="1" applyAlignment="1" applyProtection="1">
      <alignment horizontal="center" vertical="center"/>
    </xf>
    <xf numFmtId="0" fontId="8" fillId="8" borderId="1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 applyProtection="1">
      <alignment horizontal="center" vertical="center"/>
      <protection locked="0"/>
    </xf>
    <xf numFmtId="164" fontId="11" fillId="0" borderId="0" xfId="0" applyNumberFormat="1" applyFont="1" applyFill="1" applyBorder="1" applyAlignment="1" applyProtection="1">
      <alignment horizontal="center" vertical="center"/>
    </xf>
    <xf numFmtId="164" fontId="11" fillId="0" borderId="14" xfId="0" applyNumberFormat="1" applyFont="1" applyFill="1" applyBorder="1" applyAlignment="1" applyProtection="1">
      <alignment horizontal="center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1" fontId="11" fillId="0" borderId="14" xfId="0" applyNumberFormat="1" applyFont="1" applyFill="1" applyBorder="1" applyAlignment="1" applyProtection="1">
      <alignment horizontal="center" vertical="center"/>
    </xf>
    <xf numFmtId="164" fontId="11" fillId="3" borderId="0" xfId="0" applyNumberFormat="1" applyFont="1" applyFill="1" applyBorder="1" applyAlignment="1" applyProtection="1">
      <alignment horizontal="center" vertical="center"/>
    </xf>
    <xf numFmtId="164" fontId="11" fillId="3" borderId="14" xfId="0" applyNumberFormat="1" applyFont="1" applyFill="1" applyBorder="1" applyAlignment="1" applyProtection="1">
      <alignment horizontal="center" vertical="center"/>
    </xf>
    <xf numFmtId="164" fontId="12" fillId="0" borderId="15" xfId="0" applyNumberFormat="1" applyFont="1" applyFill="1" applyBorder="1" applyAlignment="1" applyProtection="1">
      <alignment horizontal="center" vertical="center"/>
    </xf>
    <xf numFmtId="166" fontId="12" fillId="0" borderId="14" xfId="0" applyNumberFormat="1" applyFont="1" applyFill="1" applyBorder="1" applyAlignment="1" applyProtection="1">
      <alignment horizontal="center" vertical="center"/>
    </xf>
    <xf numFmtId="164" fontId="12" fillId="0" borderId="14" xfId="0" applyNumberFormat="1" applyFont="1" applyFill="1" applyBorder="1" applyAlignment="1" applyProtection="1">
      <alignment horizontal="center" vertical="center"/>
    </xf>
    <xf numFmtId="164" fontId="12" fillId="3" borderId="16" xfId="0" applyNumberFormat="1" applyFont="1" applyFill="1" applyBorder="1" applyAlignment="1" applyProtection="1">
      <alignment horizontal="center" vertical="center"/>
    </xf>
    <xf numFmtId="164" fontId="12" fillId="0" borderId="17" xfId="0" applyNumberFormat="1" applyFont="1" applyFill="1" applyBorder="1" applyAlignment="1" applyProtection="1">
      <alignment horizontal="center" vertical="center"/>
    </xf>
    <xf numFmtId="164" fontId="12" fillId="3" borderId="18" xfId="0" applyNumberFormat="1" applyFont="1" applyFill="1" applyBorder="1" applyAlignment="1" applyProtection="1">
      <alignment horizontal="center" vertical="center"/>
    </xf>
    <xf numFmtId="164" fontId="12" fillId="3" borderId="19" xfId="0" applyNumberFormat="1" applyFont="1" applyFill="1" applyBorder="1" applyAlignment="1" applyProtection="1">
      <alignment horizontal="center" vertical="center"/>
    </xf>
    <xf numFmtId="164" fontId="0" fillId="0" borderId="12" xfId="0" applyNumberFormat="1" applyFont="1" applyFill="1" applyBorder="1" applyAlignment="1" applyProtection="1"/>
    <xf numFmtId="164" fontId="14" fillId="3" borderId="13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13" fillId="0" borderId="1" xfId="0" applyNumberFormat="1" applyFont="1" applyFill="1" applyBorder="1" applyAlignment="1" applyProtection="1">
      <alignment horizontal="center"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164" fontId="0" fillId="3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>
      <alignment horizontal="center"/>
    </xf>
    <xf numFmtId="2" fontId="6" fillId="0" borderId="0" xfId="0" applyNumberFormat="1" applyFont="1" applyFill="1" applyBorder="1" applyAlignment="1" applyProtection="1"/>
    <xf numFmtId="2" fontId="5" fillId="0" borderId="0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>
      <alignment horizontal="center"/>
    </xf>
    <xf numFmtId="2" fontId="6" fillId="0" borderId="20" xfId="0" applyNumberFormat="1" applyFont="1" applyFill="1" applyBorder="1" applyAlignment="1" applyProtection="1"/>
    <xf numFmtId="2" fontId="0" fillId="10" borderId="0" xfId="0" applyNumberFormat="1" applyFont="1" applyFill="1" applyBorder="1" applyAlignment="1" applyProtection="1"/>
    <xf numFmtId="2" fontId="0" fillId="11" borderId="0" xfId="0" applyNumberFormat="1" applyFont="1" applyFill="1" applyBorder="1" applyAlignment="1" applyProtection="1"/>
    <xf numFmtId="2" fontId="0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center"/>
    </xf>
    <xf numFmtId="2" fontId="6" fillId="0" borderId="20" xfId="0" applyNumberFormat="1" applyFont="1" applyFill="1" applyBorder="1" applyAlignment="1" applyProtection="1">
      <alignment horizontal="center"/>
    </xf>
    <xf numFmtId="2" fontId="6" fillId="0" borderId="18" xfId="0" applyNumberFormat="1" applyFont="1" applyFill="1" applyBorder="1" applyAlignment="1" applyProtection="1">
      <alignment horizontal="center"/>
    </xf>
    <xf numFmtId="2" fontId="16" fillId="0" borderId="0" xfId="0" applyNumberFormat="1" applyFont="1" applyFill="1" applyBorder="1" applyAlignment="1" applyProtection="1"/>
    <xf numFmtId="2" fontId="6" fillId="0" borderId="21" xfId="0" applyNumberFormat="1" applyFont="1" applyFill="1" applyBorder="1" applyAlignment="1" applyProtection="1"/>
    <xf numFmtId="2" fontId="6" fillId="0" borderId="0" xfId="0" applyNumberFormat="1" applyFont="1" applyFill="1" applyBorder="1" applyAlignment="1" applyProtection="1">
      <alignment horizontal="center"/>
    </xf>
    <xf numFmtId="0" fontId="6" fillId="10" borderId="0" xfId="0" applyNumberFormat="1" applyFont="1" applyFill="1" applyBorder="1" applyAlignment="1" applyProtection="1"/>
    <xf numFmtId="2" fontId="6" fillId="10" borderId="0" xfId="0" applyNumberFormat="1" applyFont="1" applyFill="1" applyBorder="1" applyAlignment="1" applyProtection="1"/>
    <xf numFmtId="2" fontId="6" fillId="10" borderId="0" xfId="0" applyNumberFormat="1" applyFont="1" applyFill="1" applyBorder="1" applyAlignment="1" applyProtection="1">
      <alignment horizontal="center"/>
    </xf>
    <xf numFmtId="2" fontId="6" fillId="0" borderId="22" xfId="0" applyNumberFormat="1" applyFont="1" applyFill="1" applyBorder="1" applyAlignment="1" applyProtection="1"/>
    <xf numFmtId="164" fontId="14" fillId="0" borderId="0" xfId="0" applyNumberFormat="1" applyFont="1" applyFill="1" applyBorder="1" applyAlignment="1" applyProtection="1"/>
    <xf numFmtId="1" fontId="14" fillId="0" borderId="0" xfId="0" applyNumberFormat="1" applyFont="1" applyFill="1" applyBorder="1" applyAlignment="1" applyProtection="1"/>
    <xf numFmtId="0" fontId="0" fillId="0" borderId="23" xfId="0" applyBorder="1" applyAlignment="1" applyProtection="1">
      <alignment horizontal="center" vertical="center"/>
    </xf>
    <xf numFmtId="164" fontId="11" fillId="0" borderId="0" xfId="0" applyNumberFormat="1" applyFont="1" applyFill="1" applyBorder="1" applyAlignment="1" applyProtection="1">
      <alignment horizontal="center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164" fontId="11" fillId="3" borderId="0" xfId="0" applyNumberFormat="1" applyFont="1" applyFill="1" applyBorder="1" applyAlignment="1" applyProtection="1">
      <alignment horizontal="center" vertical="center"/>
    </xf>
    <xf numFmtId="164" fontId="11" fillId="0" borderId="7" xfId="0" applyNumberFormat="1" applyFont="1" applyFill="1" applyBorder="1" applyAlignment="1" applyProtection="1">
      <alignment horizontal="center" vertical="center"/>
    </xf>
    <xf numFmtId="164" fontId="11" fillId="0" borderId="14" xfId="0" applyNumberFormat="1" applyFont="1" applyFill="1" applyBorder="1" applyAlignment="1" applyProtection="1">
      <alignment horizontal="center" vertical="center"/>
    </xf>
    <xf numFmtId="1" fontId="11" fillId="0" borderId="7" xfId="0" applyNumberFormat="1" applyFont="1" applyFill="1" applyBorder="1" applyAlignment="1" applyProtection="1">
      <alignment horizontal="center" vertical="center"/>
    </xf>
    <xf numFmtId="1" fontId="11" fillId="0" borderId="14" xfId="0" applyNumberFormat="1" applyFont="1" applyFill="1" applyBorder="1" applyAlignment="1" applyProtection="1">
      <alignment horizontal="center" vertical="center"/>
    </xf>
    <xf numFmtId="164" fontId="11" fillId="3" borderId="7" xfId="0" applyNumberFormat="1" applyFont="1" applyFill="1" applyBorder="1" applyAlignment="1" applyProtection="1">
      <alignment horizontal="center" vertical="center"/>
    </xf>
    <xf numFmtId="164" fontId="11" fillId="3" borderId="14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18"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3399"/>
      <color rgb="FFFF66FF"/>
      <color rgb="FF500000"/>
      <color rgb="FF8A0000"/>
      <color rgb="FFFFFFFF"/>
      <color rgb="FF6F0508"/>
      <color rgb="FF66FF33"/>
      <color rgb="FFFF5050"/>
      <color rgb="FF001642"/>
      <color rgb="FFFFFF97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90"/>
      <c:hPercent val="5"/>
      <c:rotY val="0"/>
      <c:depthPercent val="360"/>
      <c:perspective val="0"/>
    </c:view3D>
    <c:plotArea>
      <c:layout>
        <c:manualLayout>
          <c:layoutTarget val="inner"/>
          <c:xMode val="edge"/>
          <c:yMode val="edge"/>
          <c:x val="3.0283382386327787E-2"/>
          <c:y val="2.4642457247848179E-2"/>
          <c:w val="0.71134530368262305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>
                <c:ptCount val="1"/>
                <c:pt idx="0">
                  <c:v>59</c:v>
                </c:pt>
              </c:strCache>
            </c:strRef>
          </c:tx>
          <c:cat>
            <c:numRef>
              <c:f>'77'!$K$40:$CI$40</c:f>
              <c:numCache>
                <c:formatCode>0.00;[Red]0.00</c:formatCode>
                <c:ptCount val="77"/>
              </c:numCache>
            </c:numRef>
          </c:cat>
          <c:val>
            <c:numRef>
              <c:f>'39'!$K$40:$AV$40</c:f>
              <c:numCache>
                <c:formatCode>0.00</c:formatCode>
                <c:ptCount val="38"/>
                <c:pt idx="0">
                  <c:v>-2.9230769230769229</c:v>
                </c:pt>
                <c:pt idx="1">
                  <c:v>1.0769230769230771</c:v>
                </c:pt>
                <c:pt idx="2">
                  <c:v>7.6923076923077094E-2</c:v>
                </c:pt>
                <c:pt idx="3">
                  <c:v>-0.92307692307692291</c:v>
                </c:pt>
                <c:pt idx="4">
                  <c:v>-0.92307692307692291</c:v>
                </c:pt>
                <c:pt idx="5">
                  <c:v>7.692307692307665E-2</c:v>
                </c:pt>
                <c:pt idx="6">
                  <c:v>-0.92307692307692335</c:v>
                </c:pt>
                <c:pt idx="7">
                  <c:v>-0.92307692307692335</c:v>
                </c:pt>
                <c:pt idx="8">
                  <c:v>2.0769230769230766</c:v>
                </c:pt>
                <c:pt idx="9">
                  <c:v>7.692307692307665E-2</c:v>
                </c:pt>
                <c:pt idx="10">
                  <c:v>1.0769230769230766</c:v>
                </c:pt>
                <c:pt idx="11">
                  <c:v>2.0769230769230771</c:v>
                </c:pt>
                <c:pt idx="12">
                  <c:v>1.0769230769230769</c:v>
                </c:pt>
                <c:pt idx="13">
                  <c:v>2.0769230769230771</c:v>
                </c:pt>
                <c:pt idx="14">
                  <c:v>1.0769230769230769</c:v>
                </c:pt>
                <c:pt idx="15">
                  <c:v>1.0769230769230771</c:v>
                </c:pt>
                <c:pt idx="16">
                  <c:v>7.6923076923077094E-2</c:v>
                </c:pt>
                <c:pt idx="17">
                  <c:v>2.0769230769230771</c:v>
                </c:pt>
                <c:pt idx="18">
                  <c:v>7.692307692307665E-2</c:v>
                </c:pt>
                <c:pt idx="19">
                  <c:v>7.692307692307665E-2</c:v>
                </c:pt>
                <c:pt idx="20">
                  <c:v>2.0769230769230766</c:v>
                </c:pt>
                <c:pt idx="21">
                  <c:v>7.692307692307665E-2</c:v>
                </c:pt>
                <c:pt idx="22">
                  <c:v>7.692307692307665E-2</c:v>
                </c:pt>
                <c:pt idx="23">
                  <c:v>7.692307692307665E-2</c:v>
                </c:pt>
                <c:pt idx="24">
                  <c:v>-0.92307692307692335</c:v>
                </c:pt>
                <c:pt idx="25">
                  <c:v>7.692307692307665E-2</c:v>
                </c:pt>
                <c:pt idx="26">
                  <c:v>-0.92307692307692335</c:v>
                </c:pt>
                <c:pt idx="27">
                  <c:v>7.692307692307665E-2</c:v>
                </c:pt>
                <c:pt idx="28">
                  <c:v>-0.92307692307692335</c:v>
                </c:pt>
                <c:pt idx="29">
                  <c:v>-1.9230769230769234</c:v>
                </c:pt>
                <c:pt idx="30">
                  <c:v>-0.92307692307692291</c:v>
                </c:pt>
                <c:pt idx="31">
                  <c:v>7.6923076923076872E-2</c:v>
                </c:pt>
                <c:pt idx="32">
                  <c:v>-0.92307692307692313</c:v>
                </c:pt>
                <c:pt idx="33">
                  <c:v>7.6923076923076872E-2</c:v>
                </c:pt>
                <c:pt idx="34">
                  <c:v>7.6923076923076872E-2</c:v>
                </c:pt>
                <c:pt idx="35">
                  <c:v>7.6923076923076872E-2</c:v>
                </c:pt>
                <c:pt idx="36">
                  <c:v>7.6923076923076872E-2</c:v>
                </c:pt>
                <c:pt idx="37">
                  <c:v>-0.92307692307692313</c:v>
                </c:pt>
              </c:numCache>
            </c:numRef>
          </c:val>
        </c:ser>
        <c:ser>
          <c:idx val="18"/>
          <c:order val="1"/>
          <c:tx>
            <c:strRef>
              <c:f>'39'!$D$3</c:f>
              <c:strCache>
                <c:ptCount val="1"/>
                <c:pt idx="0">
                  <c:v>57</c:v>
                </c:pt>
              </c:strCache>
            </c:strRef>
          </c:tx>
          <c:val>
            <c:numRef>
              <c:f>'39'!$K$41:$AV$41</c:f>
              <c:numCache>
                <c:formatCode>0.00</c:formatCode>
                <c:ptCount val="38"/>
                <c:pt idx="0">
                  <c:v>-1.5641025641025641</c:v>
                </c:pt>
                <c:pt idx="1">
                  <c:v>-0.5641025641025641</c:v>
                </c:pt>
                <c:pt idx="2">
                  <c:v>0.4358974358974359</c:v>
                </c:pt>
                <c:pt idx="3">
                  <c:v>0.4358974358974359</c:v>
                </c:pt>
                <c:pt idx="4">
                  <c:v>0.4358974358974359</c:v>
                </c:pt>
                <c:pt idx="5">
                  <c:v>1.4358974358974361</c:v>
                </c:pt>
                <c:pt idx="6">
                  <c:v>0.43589743589743613</c:v>
                </c:pt>
                <c:pt idx="7">
                  <c:v>2.4358974358974361</c:v>
                </c:pt>
                <c:pt idx="8">
                  <c:v>4.4358974358974361</c:v>
                </c:pt>
                <c:pt idx="9">
                  <c:v>3.4358974358974361</c:v>
                </c:pt>
                <c:pt idx="10">
                  <c:v>1.4358974358974343</c:v>
                </c:pt>
                <c:pt idx="11">
                  <c:v>0.43589743589743435</c:v>
                </c:pt>
                <c:pt idx="12">
                  <c:v>1.4358974358974343</c:v>
                </c:pt>
                <c:pt idx="13">
                  <c:v>-1.5641025641025657</c:v>
                </c:pt>
                <c:pt idx="14">
                  <c:v>-1.5641025641025657</c:v>
                </c:pt>
                <c:pt idx="15">
                  <c:v>-1.5641025641025657</c:v>
                </c:pt>
                <c:pt idx="16">
                  <c:v>-0.56410256410256565</c:v>
                </c:pt>
                <c:pt idx="17">
                  <c:v>-1.5641025641025657</c:v>
                </c:pt>
                <c:pt idx="18">
                  <c:v>-1.5641025641025657</c:v>
                </c:pt>
                <c:pt idx="19">
                  <c:v>-1.5641025641025657</c:v>
                </c:pt>
                <c:pt idx="20">
                  <c:v>-0.56410256410256565</c:v>
                </c:pt>
                <c:pt idx="21">
                  <c:v>-1.5641025641025657</c:v>
                </c:pt>
                <c:pt idx="22">
                  <c:v>-0.56410256410256387</c:v>
                </c:pt>
                <c:pt idx="23">
                  <c:v>-0.56410256410256387</c:v>
                </c:pt>
                <c:pt idx="24">
                  <c:v>0.43589743589743613</c:v>
                </c:pt>
                <c:pt idx="25">
                  <c:v>0.43589743589743435</c:v>
                </c:pt>
                <c:pt idx="26">
                  <c:v>-3.5641025641025657</c:v>
                </c:pt>
                <c:pt idx="27">
                  <c:v>-1.5641025641025639</c:v>
                </c:pt>
                <c:pt idx="28">
                  <c:v>-1.5641025641025639</c:v>
                </c:pt>
                <c:pt idx="29">
                  <c:v>-4.5641025641025639</c:v>
                </c:pt>
                <c:pt idx="30">
                  <c:v>-4.5641025641025639</c:v>
                </c:pt>
                <c:pt idx="31">
                  <c:v>-2.5641025641025639</c:v>
                </c:pt>
                <c:pt idx="32">
                  <c:v>-2.5641025641025639</c:v>
                </c:pt>
                <c:pt idx="33">
                  <c:v>-0.5641025641025641</c:v>
                </c:pt>
                <c:pt idx="34">
                  <c:v>-0.5641025641025641</c:v>
                </c:pt>
                <c:pt idx="35">
                  <c:v>-0.5641025641025641</c:v>
                </c:pt>
                <c:pt idx="36">
                  <c:v>-0.5641025641025641</c:v>
                </c:pt>
                <c:pt idx="37">
                  <c:v>-0.5641025641025641</c:v>
                </c:pt>
              </c:numCache>
            </c:numRef>
          </c:val>
        </c:ser>
        <c:ser>
          <c:idx val="1"/>
          <c:order val="2"/>
          <c:tx>
            <c:strRef>
              <c:f>'39'!$D$4</c:f>
              <c:strCache>
                <c:ptCount val="1"/>
                <c:pt idx="0">
                  <c:v>55</c:v>
                </c:pt>
              </c:strCache>
            </c:strRef>
          </c:tx>
          <c:cat>
            <c:numRef>
              <c:f>'77'!$K$40:$CI$40</c:f>
              <c:numCache>
                <c:formatCode>0.00;[Red]0.00</c:formatCode>
                <c:ptCount val="77"/>
              </c:numCache>
            </c:numRef>
          </c:cat>
          <c:val>
            <c:numRef>
              <c:f>'39'!$K$42:$AV$42</c:f>
              <c:numCache>
                <c:formatCode>0.00</c:formatCode>
                <c:ptCount val="38"/>
                <c:pt idx="0">
                  <c:v>-1.5897435897435899</c:v>
                </c:pt>
                <c:pt idx="1">
                  <c:v>-1.5897435897435899</c:v>
                </c:pt>
                <c:pt idx="2">
                  <c:v>-1.5897435897435899</c:v>
                </c:pt>
                <c:pt idx="3">
                  <c:v>-2.5897435897435899</c:v>
                </c:pt>
                <c:pt idx="4">
                  <c:v>-2.5897435897435894</c:v>
                </c:pt>
                <c:pt idx="5">
                  <c:v>-0.58974358974358942</c:v>
                </c:pt>
                <c:pt idx="6">
                  <c:v>-2.5897435897435894</c:v>
                </c:pt>
                <c:pt idx="7">
                  <c:v>-1.5897435897435894</c:v>
                </c:pt>
                <c:pt idx="8">
                  <c:v>0.41025641025641058</c:v>
                </c:pt>
                <c:pt idx="9">
                  <c:v>-0.58974358974358942</c:v>
                </c:pt>
                <c:pt idx="10">
                  <c:v>0.41025641025641058</c:v>
                </c:pt>
                <c:pt idx="11">
                  <c:v>0.41025641025641058</c:v>
                </c:pt>
                <c:pt idx="12">
                  <c:v>0.41025641025641058</c:v>
                </c:pt>
                <c:pt idx="13">
                  <c:v>1.4102564102564106</c:v>
                </c:pt>
                <c:pt idx="14">
                  <c:v>0.41025641025641013</c:v>
                </c:pt>
                <c:pt idx="15">
                  <c:v>-0.58974358974358987</c:v>
                </c:pt>
                <c:pt idx="16">
                  <c:v>-0.58974358974358987</c:v>
                </c:pt>
                <c:pt idx="17">
                  <c:v>0.41025641025641013</c:v>
                </c:pt>
                <c:pt idx="18">
                  <c:v>-0.58974358974358987</c:v>
                </c:pt>
                <c:pt idx="19">
                  <c:v>-0.58974358974358987</c:v>
                </c:pt>
                <c:pt idx="20">
                  <c:v>0.41025641025641013</c:v>
                </c:pt>
                <c:pt idx="21">
                  <c:v>-0.58974358974358976</c:v>
                </c:pt>
                <c:pt idx="22">
                  <c:v>-0.58974358974358976</c:v>
                </c:pt>
                <c:pt idx="23">
                  <c:v>-1.5897435897435899</c:v>
                </c:pt>
                <c:pt idx="24">
                  <c:v>-0.58974358974358987</c:v>
                </c:pt>
                <c:pt idx="25">
                  <c:v>-0.58974358974358987</c:v>
                </c:pt>
                <c:pt idx="26">
                  <c:v>-1.5897435897435899</c:v>
                </c:pt>
                <c:pt idx="27">
                  <c:v>-0.58974358974358987</c:v>
                </c:pt>
                <c:pt idx="28">
                  <c:v>0.41025641025641013</c:v>
                </c:pt>
                <c:pt idx="29">
                  <c:v>-1.5897435897435899</c:v>
                </c:pt>
                <c:pt idx="30">
                  <c:v>-1.5897435897435899</c:v>
                </c:pt>
                <c:pt idx="31">
                  <c:v>0.41025641025641013</c:v>
                </c:pt>
                <c:pt idx="32">
                  <c:v>0.41025641025641013</c:v>
                </c:pt>
                <c:pt idx="33">
                  <c:v>-0.58974358974358987</c:v>
                </c:pt>
                <c:pt idx="34">
                  <c:v>1.4102564102564101</c:v>
                </c:pt>
                <c:pt idx="35">
                  <c:v>-0.58974358974358976</c:v>
                </c:pt>
                <c:pt idx="36">
                  <c:v>0.41025641025641024</c:v>
                </c:pt>
                <c:pt idx="37">
                  <c:v>-1.5897435897435899</c:v>
                </c:pt>
              </c:numCache>
            </c:numRef>
          </c:val>
        </c:ser>
        <c:ser>
          <c:idx val="2"/>
          <c:order val="3"/>
          <c:tx>
            <c:strRef>
              <c:f>'39'!$D$5</c:f>
              <c:strCache>
                <c:ptCount val="1"/>
                <c:pt idx="0">
                  <c:v>53</c:v>
                </c:pt>
              </c:strCache>
            </c:strRef>
          </c:tx>
          <c:cat>
            <c:numRef>
              <c:f>'77'!$K$40:$CI$40</c:f>
              <c:numCache>
                <c:formatCode>0.00;[Red]0.00</c:formatCode>
                <c:ptCount val="77"/>
              </c:numCache>
            </c:numRef>
          </c:cat>
          <c:val>
            <c:numRef>
              <c:f>'39'!$K$43:$AV$43</c:f>
              <c:numCache>
                <c:formatCode>0.00</c:formatCode>
                <c:ptCount val="38"/>
                <c:pt idx="0">
                  <c:v>-1.2307692307692308</c:v>
                </c:pt>
                <c:pt idx="1">
                  <c:v>-0.23076923076923084</c:v>
                </c:pt>
                <c:pt idx="2">
                  <c:v>-1.2307692307692308</c:v>
                </c:pt>
                <c:pt idx="3">
                  <c:v>-1.2307692307692308</c:v>
                </c:pt>
                <c:pt idx="4">
                  <c:v>-2.2307692307692308</c:v>
                </c:pt>
                <c:pt idx="5">
                  <c:v>-0.23076923076922995</c:v>
                </c:pt>
                <c:pt idx="6">
                  <c:v>-1.2307692307692299</c:v>
                </c:pt>
                <c:pt idx="7">
                  <c:v>-1.2307692307692299</c:v>
                </c:pt>
                <c:pt idx="8">
                  <c:v>0.76923076923077005</c:v>
                </c:pt>
                <c:pt idx="9">
                  <c:v>-2.2307692307692299</c:v>
                </c:pt>
                <c:pt idx="10">
                  <c:v>-1.2307692307692299</c:v>
                </c:pt>
                <c:pt idx="11">
                  <c:v>-1.2307692307692299</c:v>
                </c:pt>
                <c:pt idx="12">
                  <c:v>-1.2307692307692299</c:v>
                </c:pt>
                <c:pt idx="13">
                  <c:v>-1.2307692307692299</c:v>
                </c:pt>
                <c:pt idx="14">
                  <c:v>-1.2307692307692299</c:v>
                </c:pt>
                <c:pt idx="15">
                  <c:v>-1.2307692307692299</c:v>
                </c:pt>
                <c:pt idx="16">
                  <c:v>-3.2307692307692299</c:v>
                </c:pt>
                <c:pt idx="17">
                  <c:v>-3.2307692307692335</c:v>
                </c:pt>
                <c:pt idx="18">
                  <c:v>-3.2307692307692335</c:v>
                </c:pt>
                <c:pt idx="19">
                  <c:v>4.7692307692307665</c:v>
                </c:pt>
                <c:pt idx="20">
                  <c:v>3.7692307692307665</c:v>
                </c:pt>
                <c:pt idx="21">
                  <c:v>3.7692307692307665</c:v>
                </c:pt>
                <c:pt idx="22">
                  <c:v>3.7692307692307665</c:v>
                </c:pt>
                <c:pt idx="23">
                  <c:v>4.7692307692307701</c:v>
                </c:pt>
                <c:pt idx="24">
                  <c:v>4.7692307692307701</c:v>
                </c:pt>
                <c:pt idx="25">
                  <c:v>2.7692307692307701</c:v>
                </c:pt>
                <c:pt idx="26">
                  <c:v>4.7692307692307701</c:v>
                </c:pt>
                <c:pt idx="27">
                  <c:v>3.7692307692307701</c:v>
                </c:pt>
                <c:pt idx="28">
                  <c:v>1.7692307692307701</c:v>
                </c:pt>
                <c:pt idx="29">
                  <c:v>0.76923076923077005</c:v>
                </c:pt>
                <c:pt idx="30">
                  <c:v>0.76923076923077005</c:v>
                </c:pt>
                <c:pt idx="31">
                  <c:v>2.7692307692307701</c:v>
                </c:pt>
                <c:pt idx="32">
                  <c:v>0.76923076923077005</c:v>
                </c:pt>
                <c:pt idx="33">
                  <c:v>3.7692307692307701</c:v>
                </c:pt>
                <c:pt idx="34">
                  <c:v>2.7692307692307692</c:v>
                </c:pt>
                <c:pt idx="35">
                  <c:v>3.7692307692307692</c:v>
                </c:pt>
                <c:pt idx="36">
                  <c:v>1.7692307692307692</c:v>
                </c:pt>
                <c:pt idx="37">
                  <c:v>0.76923076923076916</c:v>
                </c:pt>
              </c:numCache>
            </c:numRef>
          </c:val>
        </c:ser>
        <c:ser>
          <c:idx val="19"/>
          <c:order val="4"/>
          <c:tx>
            <c:strRef>
              <c:f>'39'!$D$6</c:f>
              <c:strCache>
                <c:ptCount val="1"/>
                <c:pt idx="0">
                  <c:v>51</c:v>
                </c:pt>
              </c:strCache>
            </c:strRef>
          </c:tx>
          <c:val>
            <c:numRef>
              <c:f>'39'!$K$44:$AV$44</c:f>
              <c:numCache>
                <c:formatCode>0.00</c:formatCode>
                <c:ptCount val="38"/>
                <c:pt idx="0">
                  <c:v>-1.5641025641025641</c:v>
                </c:pt>
                <c:pt idx="1">
                  <c:v>3.4358974358974361</c:v>
                </c:pt>
                <c:pt idx="2">
                  <c:v>5.4358974358974361</c:v>
                </c:pt>
                <c:pt idx="3">
                  <c:v>7.4358974358974361</c:v>
                </c:pt>
                <c:pt idx="4">
                  <c:v>7.4358974358974343</c:v>
                </c:pt>
                <c:pt idx="5">
                  <c:v>4.4358974358974343</c:v>
                </c:pt>
                <c:pt idx="6">
                  <c:v>3.4358974358974343</c:v>
                </c:pt>
                <c:pt idx="7">
                  <c:v>2.4358974358974379</c:v>
                </c:pt>
                <c:pt idx="8">
                  <c:v>1.4358974358974379</c:v>
                </c:pt>
                <c:pt idx="9">
                  <c:v>2.4358974358974379</c:v>
                </c:pt>
                <c:pt idx="10">
                  <c:v>1.4358974358974379</c:v>
                </c:pt>
                <c:pt idx="11">
                  <c:v>4.4358974358974379</c:v>
                </c:pt>
                <c:pt idx="12">
                  <c:v>3.4358974358974379</c:v>
                </c:pt>
                <c:pt idx="13">
                  <c:v>4.4358974358974379</c:v>
                </c:pt>
                <c:pt idx="14">
                  <c:v>4.4358974358974379</c:v>
                </c:pt>
                <c:pt idx="15">
                  <c:v>4.4358974358974379</c:v>
                </c:pt>
                <c:pt idx="16">
                  <c:v>1.4358974358974308</c:v>
                </c:pt>
                <c:pt idx="17">
                  <c:v>1.4358974358974308</c:v>
                </c:pt>
                <c:pt idx="18">
                  <c:v>2.4358974358974308</c:v>
                </c:pt>
                <c:pt idx="19">
                  <c:v>-0.5641025641025692</c:v>
                </c:pt>
                <c:pt idx="20">
                  <c:v>-1.5641025641025692</c:v>
                </c:pt>
                <c:pt idx="21">
                  <c:v>-1.5641025641025692</c:v>
                </c:pt>
                <c:pt idx="22">
                  <c:v>-4.5641025641025692</c:v>
                </c:pt>
                <c:pt idx="23">
                  <c:v>-3.5641025641025692</c:v>
                </c:pt>
                <c:pt idx="24">
                  <c:v>-5.5641025641025692</c:v>
                </c:pt>
                <c:pt idx="25">
                  <c:v>-5.5641025641025621</c:v>
                </c:pt>
                <c:pt idx="26">
                  <c:v>-5.5641025641025621</c:v>
                </c:pt>
                <c:pt idx="27">
                  <c:v>-10.564102564102562</c:v>
                </c:pt>
                <c:pt idx="28">
                  <c:v>-6.5641025641025621</c:v>
                </c:pt>
                <c:pt idx="29">
                  <c:v>-9.5641025641025621</c:v>
                </c:pt>
                <c:pt idx="30">
                  <c:v>-11.564102564102566</c:v>
                </c:pt>
                <c:pt idx="31">
                  <c:v>-5.5641025641025639</c:v>
                </c:pt>
                <c:pt idx="32">
                  <c:v>-5.5641025641025639</c:v>
                </c:pt>
                <c:pt idx="33">
                  <c:v>-3.5641025641025639</c:v>
                </c:pt>
                <c:pt idx="34">
                  <c:v>-3.5641025641025639</c:v>
                </c:pt>
                <c:pt idx="35">
                  <c:v>-1.5641025641025641</c:v>
                </c:pt>
                <c:pt idx="36">
                  <c:v>-1.5641025641025641</c:v>
                </c:pt>
                <c:pt idx="37">
                  <c:v>2.4358974358974361</c:v>
                </c:pt>
              </c:numCache>
            </c:numRef>
          </c:val>
        </c:ser>
        <c:ser>
          <c:idx val="3"/>
          <c:order val="5"/>
          <c:tx>
            <c:strRef>
              <c:f>'39'!$D$7</c:f>
              <c:strCache>
                <c:ptCount val="1"/>
                <c:pt idx="0">
                  <c:v>49</c:v>
                </c:pt>
              </c:strCache>
            </c:strRef>
          </c:tx>
          <c:cat>
            <c:numRef>
              <c:f>'77'!$K$40:$CI$40</c:f>
              <c:numCache>
                <c:formatCode>0.00;[Red]0.00</c:formatCode>
                <c:ptCount val="77"/>
              </c:numCache>
            </c:numRef>
          </c:cat>
          <c:val>
            <c:numRef>
              <c:f>'39'!$K$45:$AV$45</c:f>
              <c:numCache>
                <c:formatCode>0.00</c:formatCode>
                <c:ptCount val="38"/>
                <c:pt idx="0">
                  <c:v>-2.0512820512820511</c:v>
                </c:pt>
                <c:pt idx="1">
                  <c:v>-5.1282051282051322E-2</c:v>
                </c:pt>
                <c:pt idx="2">
                  <c:v>-2.0512820512820511</c:v>
                </c:pt>
                <c:pt idx="3">
                  <c:v>-5.12820512820511E-2</c:v>
                </c:pt>
                <c:pt idx="4">
                  <c:v>-2.0512820512820511</c:v>
                </c:pt>
                <c:pt idx="5">
                  <c:v>-5.12820512820511E-2</c:v>
                </c:pt>
                <c:pt idx="6">
                  <c:v>-1.0512820512820511</c:v>
                </c:pt>
                <c:pt idx="7">
                  <c:v>-1.0512820512820511</c:v>
                </c:pt>
                <c:pt idx="8">
                  <c:v>0.9487179487179489</c:v>
                </c:pt>
                <c:pt idx="9">
                  <c:v>-1.0512820512820511</c:v>
                </c:pt>
                <c:pt idx="10">
                  <c:v>-5.12820512820511E-2</c:v>
                </c:pt>
                <c:pt idx="11">
                  <c:v>-5.12820512820511E-2</c:v>
                </c:pt>
                <c:pt idx="12">
                  <c:v>-5.12820512820511E-2</c:v>
                </c:pt>
                <c:pt idx="13">
                  <c:v>0.9487179487179489</c:v>
                </c:pt>
                <c:pt idx="14">
                  <c:v>0.9487179487179489</c:v>
                </c:pt>
                <c:pt idx="15">
                  <c:v>-1.0512820512820511</c:v>
                </c:pt>
                <c:pt idx="16">
                  <c:v>0.9487179487179489</c:v>
                </c:pt>
                <c:pt idx="17">
                  <c:v>0.9487179487179489</c:v>
                </c:pt>
                <c:pt idx="18">
                  <c:v>-1.0512820512820511</c:v>
                </c:pt>
                <c:pt idx="19">
                  <c:v>-5.12820512820511E-2</c:v>
                </c:pt>
                <c:pt idx="20">
                  <c:v>0.9487179487179489</c:v>
                </c:pt>
                <c:pt idx="21">
                  <c:v>-1.0512820512820511</c:v>
                </c:pt>
                <c:pt idx="22">
                  <c:v>-5.12820512820511E-2</c:v>
                </c:pt>
                <c:pt idx="23">
                  <c:v>-5.12820512820511E-2</c:v>
                </c:pt>
                <c:pt idx="24">
                  <c:v>-1.0512820512820511</c:v>
                </c:pt>
                <c:pt idx="25">
                  <c:v>-5.12820512820511E-2</c:v>
                </c:pt>
                <c:pt idx="26">
                  <c:v>-1.0512820512820511</c:v>
                </c:pt>
                <c:pt idx="27">
                  <c:v>-5.12820512820511E-2</c:v>
                </c:pt>
                <c:pt idx="28">
                  <c:v>0.9487179487179489</c:v>
                </c:pt>
                <c:pt idx="29">
                  <c:v>-1.0512820512820511</c:v>
                </c:pt>
                <c:pt idx="30">
                  <c:v>0.9487179487179489</c:v>
                </c:pt>
                <c:pt idx="31">
                  <c:v>0.9487179487179489</c:v>
                </c:pt>
                <c:pt idx="32">
                  <c:v>-5.12820512820511E-2</c:v>
                </c:pt>
                <c:pt idx="33">
                  <c:v>1.9487179487179489</c:v>
                </c:pt>
                <c:pt idx="34">
                  <c:v>1.9487179487179489</c:v>
                </c:pt>
                <c:pt idx="35">
                  <c:v>0.94871794871794868</c:v>
                </c:pt>
                <c:pt idx="36">
                  <c:v>0.94871794871794868</c:v>
                </c:pt>
                <c:pt idx="37">
                  <c:v>-5.128205128205128E-2</c:v>
                </c:pt>
              </c:numCache>
            </c:numRef>
          </c:val>
        </c:ser>
        <c:ser>
          <c:idx val="20"/>
          <c:order val="6"/>
          <c:tx>
            <c:strRef>
              <c:f>'39'!$D$8</c:f>
              <c:strCache>
                <c:ptCount val="1"/>
                <c:pt idx="0">
                  <c:v>47</c:v>
                </c:pt>
              </c:strCache>
            </c:strRef>
          </c:tx>
          <c:val>
            <c:numRef>
              <c:f>'39'!$K$46:$AV$46</c:f>
              <c:numCache>
                <c:formatCode>0.00</c:formatCode>
                <c:ptCount val="38"/>
                <c:pt idx="0">
                  <c:v>-3.5641025641025639</c:v>
                </c:pt>
                <c:pt idx="1">
                  <c:v>0.43589743589743613</c:v>
                </c:pt>
                <c:pt idx="2">
                  <c:v>-0.5641025641025641</c:v>
                </c:pt>
                <c:pt idx="3">
                  <c:v>-1.5641025641025641</c:v>
                </c:pt>
                <c:pt idx="4">
                  <c:v>-1.5641025641025639</c:v>
                </c:pt>
                <c:pt idx="5">
                  <c:v>-0.56410256410256387</c:v>
                </c:pt>
                <c:pt idx="6">
                  <c:v>-1.5641025641025639</c:v>
                </c:pt>
                <c:pt idx="7">
                  <c:v>-1.5641025641025639</c:v>
                </c:pt>
                <c:pt idx="8">
                  <c:v>1.4358974358974361</c:v>
                </c:pt>
                <c:pt idx="9">
                  <c:v>-0.56410256410256387</c:v>
                </c:pt>
                <c:pt idx="10">
                  <c:v>0.43589743589743613</c:v>
                </c:pt>
                <c:pt idx="11">
                  <c:v>1.4358974358974361</c:v>
                </c:pt>
                <c:pt idx="12">
                  <c:v>0.4358974358974359</c:v>
                </c:pt>
                <c:pt idx="13">
                  <c:v>1.4358974358974359</c:v>
                </c:pt>
                <c:pt idx="14">
                  <c:v>0.43589743589743613</c:v>
                </c:pt>
                <c:pt idx="15">
                  <c:v>0.43589743589743613</c:v>
                </c:pt>
                <c:pt idx="16">
                  <c:v>-0.56410256410256387</c:v>
                </c:pt>
                <c:pt idx="17">
                  <c:v>1.4358974358974361</c:v>
                </c:pt>
                <c:pt idx="18">
                  <c:v>-0.56410256410256387</c:v>
                </c:pt>
                <c:pt idx="19">
                  <c:v>-0.56410256410256387</c:v>
                </c:pt>
                <c:pt idx="20">
                  <c:v>1.4358974358974361</c:v>
                </c:pt>
                <c:pt idx="21">
                  <c:v>-0.56410256410256387</c:v>
                </c:pt>
                <c:pt idx="22">
                  <c:v>-0.56410256410256387</c:v>
                </c:pt>
                <c:pt idx="23">
                  <c:v>-0.56410256410256387</c:v>
                </c:pt>
                <c:pt idx="24">
                  <c:v>-1.5641025641025639</c:v>
                </c:pt>
                <c:pt idx="25">
                  <c:v>-0.56410256410256387</c:v>
                </c:pt>
                <c:pt idx="26">
                  <c:v>-1.5641025641025639</c:v>
                </c:pt>
                <c:pt idx="27">
                  <c:v>-0.56410256410256387</c:v>
                </c:pt>
                <c:pt idx="28">
                  <c:v>-1.5641025641025639</c:v>
                </c:pt>
                <c:pt idx="29">
                  <c:v>-2.5641025641025639</c:v>
                </c:pt>
                <c:pt idx="30">
                  <c:v>-1.5641025641025639</c:v>
                </c:pt>
                <c:pt idx="31">
                  <c:v>-0.56410256410256387</c:v>
                </c:pt>
                <c:pt idx="32">
                  <c:v>-1.5641025641025639</c:v>
                </c:pt>
                <c:pt idx="33">
                  <c:v>-0.5641025641025641</c:v>
                </c:pt>
                <c:pt idx="34">
                  <c:v>-0.5641025641025641</c:v>
                </c:pt>
                <c:pt idx="35">
                  <c:v>-0.5641025641025641</c:v>
                </c:pt>
                <c:pt idx="36">
                  <c:v>-0.5641025641025641</c:v>
                </c:pt>
                <c:pt idx="37">
                  <c:v>-1.5641025641025641</c:v>
                </c:pt>
              </c:numCache>
            </c:numRef>
          </c:val>
        </c:ser>
        <c:ser>
          <c:idx val="4"/>
          <c:order val="7"/>
          <c:tx>
            <c:strRef>
              <c:f>'39'!$D$9</c:f>
              <c:strCache>
                <c:ptCount val="1"/>
                <c:pt idx="0">
                  <c:v>45</c:v>
                </c:pt>
              </c:strCache>
            </c:strRef>
          </c:tx>
          <c:cat>
            <c:numRef>
              <c:f>'77'!$K$40:$CI$40</c:f>
              <c:numCache>
                <c:formatCode>0.00;[Red]0.00</c:formatCode>
                <c:ptCount val="77"/>
              </c:numCache>
            </c:numRef>
          </c:cat>
          <c:val>
            <c:numRef>
              <c:f>'39'!$K$47:$AV$47</c:f>
              <c:numCache>
                <c:formatCode>0.00</c:formatCode>
                <c:ptCount val="38"/>
                <c:pt idx="0">
                  <c:v>-0.84615384615384615</c:v>
                </c:pt>
                <c:pt idx="1">
                  <c:v>-0.84615384615384626</c:v>
                </c:pt>
                <c:pt idx="2">
                  <c:v>-1.8461538461538463</c:v>
                </c:pt>
                <c:pt idx="3">
                  <c:v>-1.8461538461538458</c:v>
                </c:pt>
                <c:pt idx="4">
                  <c:v>-1.8461538461538458</c:v>
                </c:pt>
                <c:pt idx="5">
                  <c:v>0.1538461538461533</c:v>
                </c:pt>
                <c:pt idx="6">
                  <c:v>-0.8461538461538467</c:v>
                </c:pt>
                <c:pt idx="7">
                  <c:v>-0.8461538461538467</c:v>
                </c:pt>
                <c:pt idx="8">
                  <c:v>1.1538461538461533</c:v>
                </c:pt>
                <c:pt idx="9">
                  <c:v>0.1538461538461533</c:v>
                </c:pt>
                <c:pt idx="10">
                  <c:v>1.1538461538461533</c:v>
                </c:pt>
                <c:pt idx="11">
                  <c:v>0.1538461538461533</c:v>
                </c:pt>
                <c:pt idx="12">
                  <c:v>1.1538461538461533</c:v>
                </c:pt>
                <c:pt idx="13">
                  <c:v>0.15384615384615419</c:v>
                </c:pt>
                <c:pt idx="14">
                  <c:v>1.1538461538461542</c:v>
                </c:pt>
                <c:pt idx="15">
                  <c:v>0.15384615384615419</c:v>
                </c:pt>
                <c:pt idx="16">
                  <c:v>0.15384615384615419</c:v>
                </c:pt>
                <c:pt idx="17">
                  <c:v>1.1538461538461542</c:v>
                </c:pt>
                <c:pt idx="18">
                  <c:v>-0.84615384615384581</c:v>
                </c:pt>
                <c:pt idx="19">
                  <c:v>1.1538461538461542</c:v>
                </c:pt>
                <c:pt idx="20">
                  <c:v>0.15384615384615419</c:v>
                </c:pt>
                <c:pt idx="21">
                  <c:v>0.15384615384615419</c:v>
                </c:pt>
                <c:pt idx="22">
                  <c:v>0.15384615384615419</c:v>
                </c:pt>
                <c:pt idx="23">
                  <c:v>0.15384615384615419</c:v>
                </c:pt>
                <c:pt idx="24">
                  <c:v>0.15384615384615419</c:v>
                </c:pt>
                <c:pt idx="25">
                  <c:v>0.15384615384615419</c:v>
                </c:pt>
                <c:pt idx="26">
                  <c:v>0.15384615384615419</c:v>
                </c:pt>
                <c:pt idx="27">
                  <c:v>0.15384615384615419</c:v>
                </c:pt>
                <c:pt idx="28">
                  <c:v>1.1538461538461542</c:v>
                </c:pt>
                <c:pt idx="29">
                  <c:v>-0.84615384615384581</c:v>
                </c:pt>
                <c:pt idx="30">
                  <c:v>0.15384615384615419</c:v>
                </c:pt>
                <c:pt idx="31">
                  <c:v>2.1538461538461542</c:v>
                </c:pt>
                <c:pt idx="32">
                  <c:v>0.15384615384615374</c:v>
                </c:pt>
                <c:pt idx="33">
                  <c:v>1.1538461538461537</c:v>
                </c:pt>
                <c:pt idx="34">
                  <c:v>1.1538461538461537</c:v>
                </c:pt>
                <c:pt idx="35">
                  <c:v>1.1538461538461537</c:v>
                </c:pt>
                <c:pt idx="36">
                  <c:v>1.1538461538461537</c:v>
                </c:pt>
                <c:pt idx="37">
                  <c:v>-0.84615384615384615</c:v>
                </c:pt>
              </c:numCache>
            </c:numRef>
          </c:val>
        </c:ser>
        <c:ser>
          <c:idx val="21"/>
          <c:order val="8"/>
          <c:tx>
            <c:strRef>
              <c:f>'39'!$D$10</c:f>
              <c:strCache>
                <c:ptCount val="1"/>
                <c:pt idx="0">
                  <c:v>43</c:v>
                </c:pt>
              </c:strCache>
            </c:strRef>
          </c:tx>
          <c:val>
            <c:numRef>
              <c:f>'39'!$K$48:$AV$48</c:f>
              <c:numCache>
                <c:formatCode>0.00</c:formatCode>
                <c:ptCount val="38"/>
                <c:pt idx="0">
                  <c:v>-0.5641025641025641</c:v>
                </c:pt>
                <c:pt idx="1">
                  <c:v>7.4358974358974361</c:v>
                </c:pt>
                <c:pt idx="2">
                  <c:v>15.435897435897436</c:v>
                </c:pt>
                <c:pt idx="3">
                  <c:v>10.435897435897434</c:v>
                </c:pt>
                <c:pt idx="4">
                  <c:v>12.435897435897438</c:v>
                </c:pt>
                <c:pt idx="5">
                  <c:v>7.4358974358974379</c:v>
                </c:pt>
                <c:pt idx="6">
                  <c:v>6.4358974358974379</c:v>
                </c:pt>
                <c:pt idx="7">
                  <c:v>5.4358974358974379</c:v>
                </c:pt>
                <c:pt idx="8">
                  <c:v>8.4358974358974308</c:v>
                </c:pt>
                <c:pt idx="9">
                  <c:v>2.4358974358974308</c:v>
                </c:pt>
                <c:pt idx="10">
                  <c:v>5.4358974358974308</c:v>
                </c:pt>
                <c:pt idx="11">
                  <c:v>5.4358974358974308</c:v>
                </c:pt>
                <c:pt idx="12">
                  <c:v>1.4358974358974308</c:v>
                </c:pt>
                <c:pt idx="13">
                  <c:v>3.4358974358974308</c:v>
                </c:pt>
                <c:pt idx="14">
                  <c:v>2.4358974358974308</c:v>
                </c:pt>
                <c:pt idx="15">
                  <c:v>-0.5641025641025692</c:v>
                </c:pt>
                <c:pt idx="16">
                  <c:v>1.4358974358974308</c:v>
                </c:pt>
                <c:pt idx="17">
                  <c:v>-0.5641025641025692</c:v>
                </c:pt>
                <c:pt idx="18">
                  <c:v>-1.5641025641025692</c:v>
                </c:pt>
                <c:pt idx="19">
                  <c:v>-2.5641025641025692</c:v>
                </c:pt>
                <c:pt idx="20">
                  <c:v>-2.5641025641025692</c:v>
                </c:pt>
                <c:pt idx="21">
                  <c:v>-5.5641025641025692</c:v>
                </c:pt>
                <c:pt idx="22">
                  <c:v>-4.5641025641025692</c:v>
                </c:pt>
                <c:pt idx="23">
                  <c:v>-4.5641025641025692</c:v>
                </c:pt>
                <c:pt idx="24">
                  <c:v>-4.5641025641025692</c:v>
                </c:pt>
                <c:pt idx="25">
                  <c:v>-4.5641025641025692</c:v>
                </c:pt>
                <c:pt idx="26">
                  <c:v>-4.5641025641025692</c:v>
                </c:pt>
                <c:pt idx="27">
                  <c:v>-5.5641025641025692</c:v>
                </c:pt>
                <c:pt idx="28">
                  <c:v>-9.5641025641025692</c:v>
                </c:pt>
                <c:pt idx="29">
                  <c:v>-12.564102564102562</c:v>
                </c:pt>
                <c:pt idx="30">
                  <c:v>-11.564102564102562</c:v>
                </c:pt>
                <c:pt idx="31">
                  <c:v>-8.5641025641025621</c:v>
                </c:pt>
                <c:pt idx="32">
                  <c:v>-10.564102564102566</c:v>
                </c:pt>
                <c:pt idx="33">
                  <c:v>-8.5641025641025657</c:v>
                </c:pt>
                <c:pt idx="34">
                  <c:v>-8.5641025641025639</c:v>
                </c:pt>
                <c:pt idx="35">
                  <c:v>-6.5641025641025639</c:v>
                </c:pt>
                <c:pt idx="36">
                  <c:v>-4.5641025641025639</c:v>
                </c:pt>
                <c:pt idx="37">
                  <c:v>6.4358974358974361</c:v>
                </c:pt>
              </c:numCache>
            </c:numRef>
          </c:val>
        </c:ser>
        <c:ser>
          <c:idx val="5"/>
          <c:order val="9"/>
          <c:tx>
            <c:strRef>
              <c:f>'39'!$D$11</c:f>
              <c:strCache>
                <c:ptCount val="1"/>
                <c:pt idx="0">
                  <c:v>41</c:v>
                </c:pt>
              </c:strCache>
            </c:strRef>
          </c:tx>
          <c:cat>
            <c:numRef>
              <c:f>'77'!$K$40:$CI$40</c:f>
              <c:numCache>
                <c:formatCode>0.00;[Red]0.00</c:formatCode>
                <c:ptCount val="77"/>
              </c:numCache>
            </c:numRef>
          </c:cat>
          <c:val>
            <c:numRef>
              <c:f>'39'!$K$49:$AV$49</c:f>
              <c:numCache>
                <c:formatCode>0.00</c:formatCode>
                <c:ptCount val="38"/>
                <c:pt idx="0">
                  <c:v>-1.9487179487179487</c:v>
                </c:pt>
                <c:pt idx="1">
                  <c:v>5.12820512820511E-2</c:v>
                </c:pt>
                <c:pt idx="2">
                  <c:v>-1.9487179487179489</c:v>
                </c:pt>
                <c:pt idx="3">
                  <c:v>-1.9487179487179489</c:v>
                </c:pt>
                <c:pt idx="4">
                  <c:v>-1.9487179487179489</c:v>
                </c:pt>
                <c:pt idx="5">
                  <c:v>1.0512820512820511</c:v>
                </c:pt>
                <c:pt idx="6">
                  <c:v>-0.9487179487179489</c:v>
                </c:pt>
                <c:pt idx="7">
                  <c:v>5.12820512820511E-2</c:v>
                </c:pt>
                <c:pt idx="8">
                  <c:v>2.0512820512820511</c:v>
                </c:pt>
                <c:pt idx="9">
                  <c:v>1.0512820512820511</c:v>
                </c:pt>
                <c:pt idx="10">
                  <c:v>1.0512820512820511</c:v>
                </c:pt>
                <c:pt idx="11">
                  <c:v>1.0512820512820511</c:v>
                </c:pt>
                <c:pt idx="12">
                  <c:v>5.12820512820511E-2</c:v>
                </c:pt>
                <c:pt idx="13">
                  <c:v>5.12820512820511E-2</c:v>
                </c:pt>
                <c:pt idx="14">
                  <c:v>5.12820512820511E-2</c:v>
                </c:pt>
                <c:pt idx="15">
                  <c:v>5.12820512820511E-2</c:v>
                </c:pt>
                <c:pt idx="16">
                  <c:v>5.12820512820511E-2</c:v>
                </c:pt>
                <c:pt idx="17">
                  <c:v>5.12820512820511E-2</c:v>
                </c:pt>
                <c:pt idx="18">
                  <c:v>5.12820512820511E-2</c:v>
                </c:pt>
                <c:pt idx="19">
                  <c:v>5.12820512820511E-2</c:v>
                </c:pt>
                <c:pt idx="20">
                  <c:v>1.0512820512820511</c:v>
                </c:pt>
                <c:pt idx="21">
                  <c:v>1.0512820512820511</c:v>
                </c:pt>
                <c:pt idx="22">
                  <c:v>5.1282051282051322E-2</c:v>
                </c:pt>
                <c:pt idx="23">
                  <c:v>5.1282051282051322E-2</c:v>
                </c:pt>
                <c:pt idx="24">
                  <c:v>1.0512820512820513</c:v>
                </c:pt>
                <c:pt idx="25">
                  <c:v>5.128205128205128E-2</c:v>
                </c:pt>
                <c:pt idx="26">
                  <c:v>-0.94871794871794868</c:v>
                </c:pt>
                <c:pt idx="27">
                  <c:v>5.1282051282051322E-2</c:v>
                </c:pt>
                <c:pt idx="28">
                  <c:v>1.0512820512820513</c:v>
                </c:pt>
                <c:pt idx="29">
                  <c:v>-0.94871794871794868</c:v>
                </c:pt>
                <c:pt idx="30">
                  <c:v>5.1282051282051322E-2</c:v>
                </c:pt>
                <c:pt idx="31">
                  <c:v>1.0512820512820513</c:v>
                </c:pt>
                <c:pt idx="32">
                  <c:v>5.128205128205128E-2</c:v>
                </c:pt>
                <c:pt idx="33">
                  <c:v>1.0512820512820513</c:v>
                </c:pt>
                <c:pt idx="34">
                  <c:v>1.0512820512820513</c:v>
                </c:pt>
                <c:pt idx="35">
                  <c:v>5.1282051282051322E-2</c:v>
                </c:pt>
                <c:pt idx="36">
                  <c:v>5.1282051282051322E-2</c:v>
                </c:pt>
                <c:pt idx="37">
                  <c:v>-1.9487179487179487</c:v>
                </c:pt>
              </c:numCache>
            </c:numRef>
          </c:val>
        </c:ser>
        <c:ser>
          <c:idx val="6"/>
          <c:order val="10"/>
          <c:tx>
            <c:strRef>
              <c:f>'39'!$D$12</c:f>
              <c:strCache>
                <c:ptCount val="1"/>
                <c:pt idx="0">
                  <c:v>39</c:v>
                </c:pt>
              </c:strCache>
            </c:strRef>
          </c:tx>
          <c:cat>
            <c:numRef>
              <c:f>'77'!$K$40:$CI$40</c:f>
              <c:numCache>
                <c:formatCode>0.00;[Red]0.00</c:formatCode>
                <c:ptCount val="77"/>
              </c:numCache>
            </c:numRef>
          </c:cat>
          <c:val>
            <c:numRef>
              <c:f>'39'!$K$50:$AV$50</c:f>
              <c:numCache>
                <c:formatCode>0.00</c:formatCode>
                <c:ptCount val="38"/>
                <c:pt idx="0">
                  <c:v>-2.0256410256410255</c:v>
                </c:pt>
                <c:pt idx="1">
                  <c:v>-1.0256410256410255</c:v>
                </c:pt>
                <c:pt idx="2">
                  <c:v>-2.564102564102555E-2</c:v>
                </c:pt>
                <c:pt idx="3">
                  <c:v>-2.564102564102555E-2</c:v>
                </c:pt>
                <c:pt idx="4">
                  <c:v>-2.0256410256410255</c:v>
                </c:pt>
                <c:pt idx="5">
                  <c:v>-2.564102564102555E-2</c:v>
                </c:pt>
                <c:pt idx="6">
                  <c:v>-2.564102564102555E-2</c:v>
                </c:pt>
                <c:pt idx="7">
                  <c:v>-1.0256410256410255</c:v>
                </c:pt>
                <c:pt idx="8">
                  <c:v>2.9743589743589745</c:v>
                </c:pt>
                <c:pt idx="9">
                  <c:v>1.9743589743589745</c:v>
                </c:pt>
                <c:pt idx="10">
                  <c:v>-2.5641025641025661E-2</c:v>
                </c:pt>
                <c:pt idx="11">
                  <c:v>-2.5641025641025661E-2</c:v>
                </c:pt>
                <c:pt idx="12">
                  <c:v>0.97435897435897434</c:v>
                </c:pt>
                <c:pt idx="13">
                  <c:v>-1.0256410256410255</c:v>
                </c:pt>
                <c:pt idx="14">
                  <c:v>-2.0256410256410255</c:v>
                </c:pt>
                <c:pt idx="15">
                  <c:v>-2.0256410256410255</c:v>
                </c:pt>
                <c:pt idx="16">
                  <c:v>-1.0256410256410255</c:v>
                </c:pt>
                <c:pt idx="17">
                  <c:v>-2.564102564102555E-2</c:v>
                </c:pt>
                <c:pt idx="18">
                  <c:v>-1.0256410256410255</c:v>
                </c:pt>
                <c:pt idx="19">
                  <c:v>0.97435897435897445</c:v>
                </c:pt>
                <c:pt idx="20">
                  <c:v>0.97435897435897445</c:v>
                </c:pt>
                <c:pt idx="21">
                  <c:v>0.97435897435897445</c:v>
                </c:pt>
                <c:pt idx="22">
                  <c:v>0.97435897435897445</c:v>
                </c:pt>
                <c:pt idx="23">
                  <c:v>-2.564102564102555E-2</c:v>
                </c:pt>
                <c:pt idx="24">
                  <c:v>-2.564102564102555E-2</c:v>
                </c:pt>
                <c:pt idx="25">
                  <c:v>-1.0256410256410255</c:v>
                </c:pt>
                <c:pt idx="26">
                  <c:v>0.97435897435897445</c:v>
                </c:pt>
                <c:pt idx="27">
                  <c:v>-2.0256410256410255</c:v>
                </c:pt>
                <c:pt idx="28">
                  <c:v>0.97435897435897445</c:v>
                </c:pt>
                <c:pt idx="29">
                  <c:v>-1.0256410256410255</c:v>
                </c:pt>
                <c:pt idx="30">
                  <c:v>-1.0256410256410255</c:v>
                </c:pt>
                <c:pt idx="31">
                  <c:v>0.97435897435897445</c:v>
                </c:pt>
                <c:pt idx="32">
                  <c:v>-2.564102564102555E-2</c:v>
                </c:pt>
                <c:pt idx="33">
                  <c:v>1.9743589743589745</c:v>
                </c:pt>
                <c:pt idx="34">
                  <c:v>0.97435897435897445</c:v>
                </c:pt>
                <c:pt idx="35">
                  <c:v>0.97435897435897445</c:v>
                </c:pt>
                <c:pt idx="36">
                  <c:v>0.97435897435897434</c:v>
                </c:pt>
                <c:pt idx="37">
                  <c:v>-2.564102564102564E-2</c:v>
                </c:pt>
              </c:numCache>
            </c:numRef>
          </c:val>
        </c:ser>
        <c:ser>
          <c:idx val="22"/>
          <c:order val="11"/>
          <c:tx>
            <c:strRef>
              <c:f>'39'!$D$13</c:f>
              <c:strCache>
                <c:ptCount val="1"/>
                <c:pt idx="0">
                  <c:v>37</c:v>
                </c:pt>
              </c:strCache>
            </c:strRef>
          </c:tx>
          <c:val>
            <c:numRef>
              <c:f>'39'!$K$51:$AV$51</c:f>
              <c:numCache>
                <c:formatCode>0.00</c:formatCode>
                <c:ptCount val="38"/>
                <c:pt idx="0">
                  <c:v>-3.5641025641025639</c:v>
                </c:pt>
                <c:pt idx="1">
                  <c:v>0.43589743589743613</c:v>
                </c:pt>
                <c:pt idx="2">
                  <c:v>-0.5641025641025641</c:v>
                </c:pt>
                <c:pt idx="3">
                  <c:v>-1.5641025641025641</c:v>
                </c:pt>
                <c:pt idx="4">
                  <c:v>-1.5641025641025639</c:v>
                </c:pt>
                <c:pt idx="5">
                  <c:v>-0.56410256410256387</c:v>
                </c:pt>
                <c:pt idx="6">
                  <c:v>-1.5641025641025639</c:v>
                </c:pt>
                <c:pt idx="7">
                  <c:v>-1.5641025641025639</c:v>
                </c:pt>
                <c:pt idx="8">
                  <c:v>1.4358974358974361</c:v>
                </c:pt>
                <c:pt idx="9">
                  <c:v>-0.56410256410256387</c:v>
                </c:pt>
                <c:pt idx="10">
                  <c:v>0.43589743589743613</c:v>
                </c:pt>
                <c:pt idx="11">
                  <c:v>1.4358974358974361</c:v>
                </c:pt>
                <c:pt idx="12">
                  <c:v>0.4358974358974359</c:v>
                </c:pt>
                <c:pt idx="13">
                  <c:v>1.4358974358974359</c:v>
                </c:pt>
                <c:pt idx="14">
                  <c:v>0.43589743589743613</c:v>
                </c:pt>
                <c:pt idx="15">
                  <c:v>0.43589743589743613</c:v>
                </c:pt>
                <c:pt idx="16">
                  <c:v>-0.56410256410256387</c:v>
                </c:pt>
                <c:pt idx="17">
                  <c:v>1.4358974358974361</c:v>
                </c:pt>
                <c:pt idx="18">
                  <c:v>-0.56410256410256387</c:v>
                </c:pt>
                <c:pt idx="19">
                  <c:v>-0.56410256410256387</c:v>
                </c:pt>
                <c:pt idx="20">
                  <c:v>1.4358974358974361</c:v>
                </c:pt>
                <c:pt idx="21">
                  <c:v>-0.56410256410256387</c:v>
                </c:pt>
                <c:pt idx="22">
                  <c:v>-0.56410256410256387</c:v>
                </c:pt>
                <c:pt idx="23">
                  <c:v>-0.56410256410256387</c:v>
                </c:pt>
                <c:pt idx="24">
                  <c:v>-1.5641025641025639</c:v>
                </c:pt>
                <c:pt idx="25">
                  <c:v>-0.56410256410256387</c:v>
                </c:pt>
                <c:pt idx="26">
                  <c:v>-1.5641025641025639</c:v>
                </c:pt>
                <c:pt idx="27">
                  <c:v>-0.56410256410256387</c:v>
                </c:pt>
                <c:pt idx="28">
                  <c:v>-1.5641025641025639</c:v>
                </c:pt>
                <c:pt idx="29">
                  <c:v>-2.5641025641025639</c:v>
                </c:pt>
                <c:pt idx="30">
                  <c:v>-1.5641025641025639</c:v>
                </c:pt>
                <c:pt idx="31">
                  <c:v>-0.56410256410256387</c:v>
                </c:pt>
                <c:pt idx="32">
                  <c:v>-1.5641025641025639</c:v>
                </c:pt>
                <c:pt idx="33">
                  <c:v>-0.5641025641025641</c:v>
                </c:pt>
                <c:pt idx="34">
                  <c:v>-0.5641025641025641</c:v>
                </c:pt>
                <c:pt idx="35">
                  <c:v>-0.5641025641025641</c:v>
                </c:pt>
                <c:pt idx="36">
                  <c:v>-0.5641025641025641</c:v>
                </c:pt>
                <c:pt idx="37">
                  <c:v>-1.5641025641025641</c:v>
                </c:pt>
              </c:numCache>
            </c:numRef>
          </c:val>
        </c:ser>
        <c:ser>
          <c:idx val="7"/>
          <c:order val="12"/>
          <c:tx>
            <c:strRef>
              <c:f>'39'!$D$14</c:f>
              <c:strCache>
                <c:ptCount val="1"/>
                <c:pt idx="0">
                  <c:v>35</c:v>
                </c:pt>
              </c:strCache>
            </c:strRef>
          </c:tx>
          <c:cat>
            <c:numRef>
              <c:f>'77'!$K$40:$CI$40</c:f>
              <c:numCache>
                <c:formatCode>0.00;[Red]0.00</c:formatCode>
                <c:ptCount val="77"/>
              </c:numCache>
            </c:numRef>
          </c:cat>
          <c:val>
            <c:numRef>
              <c:f>'39'!$K$52:$AV$52</c:f>
              <c:numCache>
                <c:formatCode>0.00</c:formatCode>
                <c:ptCount val="38"/>
                <c:pt idx="0">
                  <c:v>-0.25641025641025639</c:v>
                </c:pt>
                <c:pt idx="1">
                  <c:v>0.74358974358974361</c:v>
                </c:pt>
                <c:pt idx="2">
                  <c:v>0.74358974358974361</c:v>
                </c:pt>
                <c:pt idx="3">
                  <c:v>0.74358974358974361</c:v>
                </c:pt>
                <c:pt idx="4">
                  <c:v>-1.2564102564102564</c:v>
                </c:pt>
                <c:pt idx="5">
                  <c:v>1.7435897435897436</c:v>
                </c:pt>
                <c:pt idx="6">
                  <c:v>-1.2564102564102564</c:v>
                </c:pt>
                <c:pt idx="7">
                  <c:v>-0.25641025641025639</c:v>
                </c:pt>
                <c:pt idx="8">
                  <c:v>1.7435897435897436</c:v>
                </c:pt>
                <c:pt idx="9">
                  <c:v>-0.25641025641025639</c:v>
                </c:pt>
                <c:pt idx="10">
                  <c:v>1.7435897435897436</c:v>
                </c:pt>
                <c:pt idx="11">
                  <c:v>0.74358974358974361</c:v>
                </c:pt>
                <c:pt idx="12">
                  <c:v>1.7435897435897436</c:v>
                </c:pt>
                <c:pt idx="13">
                  <c:v>0.74358974358974361</c:v>
                </c:pt>
                <c:pt idx="14">
                  <c:v>1.7435897435897436</c:v>
                </c:pt>
                <c:pt idx="15">
                  <c:v>0.74358974358974361</c:v>
                </c:pt>
                <c:pt idx="16">
                  <c:v>1.7435897435897436</c:v>
                </c:pt>
                <c:pt idx="17">
                  <c:v>0.74358974358974361</c:v>
                </c:pt>
                <c:pt idx="18">
                  <c:v>0.74358974358974361</c:v>
                </c:pt>
                <c:pt idx="19">
                  <c:v>0.74358974358974361</c:v>
                </c:pt>
                <c:pt idx="20">
                  <c:v>1.7435897435897436</c:v>
                </c:pt>
                <c:pt idx="21">
                  <c:v>0.74358974358974361</c:v>
                </c:pt>
                <c:pt idx="22">
                  <c:v>1.7435897435897436</c:v>
                </c:pt>
                <c:pt idx="23">
                  <c:v>0.74358974358974361</c:v>
                </c:pt>
                <c:pt idx="24">
                  <c:v>-0.25641025641025639</c:v>
                </c:pt>
                <c:pt idx="25">
                  <c:v>0.74358974358974361</c:v>
                </c:pt>
                <c:pt idx="26">
                  <c:v>0.74358974358974361</c:v>
                </c:pt>
                <c:pt idx="27">
                  <c:v>0.74358974358974361</c:v>
                </c:pt>
                <c:pt idx="28">
                  <c:v>0.74358974358974361</c:v>
                </c:pt>
                <c:pt idx="29">
                  <c:v>-0.25641025641025639</c:v>
                </c:pt>
                <c:pt idx="30">
                  <c:v>0.74358974358974361</c:v>
                </c:pt>
                <c:pt idx="31">
                  <c:v>1.7435897435897436</c:v>
                </c:pt>
                <c:pt idx="32">
                  <c:v>-0.25641025641025639</c:v>
                </c:pt>
                <c:pt idx="33">
                  <c:v>1.7435897435897436</c:v>
                </c:pt>
                <c:pt idx="34">
                  <c:v>0.74358974358974361</c:v>
                </c:pt>
                <c:pt idx="35">
                  <c:v>0.74358974358974361</c:v>
                </c:pt>
                <c:pt idx="36">
                  <c:v>1.7435897435897436</c:v>
                </c:pt>
                <c:pt idx="37">
                  <c:v>-0.25641025641025639</c:v>
                </c:pt>
              </c:numCache>
            </c:numRef>
          </c:val>
        </c:ser>
        <c:ser>
          <c:idx val="23"/>
          <c:order val="13"/>
          <c:tx>
            <c:strRef>
              <c:f>'39'!$D$15</c:f>
              <c:strCache>
                <c:ptCount val="1"/>
                <c:pt idx="0">
                  <c:v>33</c:v>
                </c:pt>
              </c:strCache>
            </c:strRef>
          </c:tx>
          <c:val>
            <c:numRef>
              <c:f>'39'!$K$53:$AV$53</c:f>
              <c:numCache>
                <c:formatCode>0.00</c:formatCode>
                <c:ptCount val="38"/>
                <c:pt idx="0">
                  <c:v>-0.5641025641025641</c:v>
                </c:pt>
                <c:pt idx="1">
                  <c:v>7.4358974358974361</c:v>
                </c:pt>
                <c:pt idx="2">
                  <c:v>15.435897435897436</c:v>
                </c:pt>
                <c:pt idx="3">
                  <c:v>10.435897435897434</c:v>
                </c:pt>
                <c:pt idx="4">
                  <c:v>12.435897435897438</c:v>
                </c:pt>
                <c:pt idx="5">
                  <c:v>7.4358974358974379</c:v>
                </c:pt>
                <c:pt idx="6">
                  <c:v>6.4358974358974379</c:v>
                </c:pt>
                <c:pt idx="7">
                  <c:v>5.4358974358974379</c:v>
                </c:pt>
                <c:pt idx="8">
                  <c:v>8.4358974358974308</c:v>
                </c:pt>
                <c:pt idx="9">
                  <c:v>2.4358974358974308</c:v>
                </c:pt>
                <c:pt idx="10">
                  <c:v>5.4358974358974308</c:v>
                </c:pt>
                <c:pt idx="11">
                  <c:v>5.4358974358974308</c:v>
                </c:pt>
                <c:pt idx="12">
                  <c:v>1.4358974358974308</c:v>
                </c:pt>
                <c:pt idx="13">
                  <c:v>3.4358974358974308</c:v>
                </c:pt>
                <c:pt idx="14">
                  <c:v>2.4358974358974308</c:v>
                </c:pt>
                <c:pt idx="15">
                  <c:v>-0.5641025641025692</c:v>
                </c:pt>
                <c:pt idx="16">
                  <c:v>1.4358974358974308</c:v>
                </c:pt>
                <c:pt idx="17">
                  <c:v>-0.5641025641025692</c:v>
                </c:pt>
                <c:pt idx="18">
                  <c:v>-1.5641025641025692</c:v>
                </c:pt>
                <c:pt idx="19">
                  <c:v>-2.5641025641025692</c:v>
                </c:pt>
                <c:pt idx="20">
                  <c:v>-2.5641025641025692</c:v>
                </c:pt>
                <c:pt idx="21">
                  <c:v>-5.5641025641025692</c:v>
                </c:pt>
                <c:pt idx="22">
                  <c:v>-4.5641025641025692</c:v>
                </c:pt>
                <c:pt idx="23">
                  <c:v>-4.5641025641025692</c:v>
                </c:pt>
                <c:pt idx="24">
                  <c:v>-4.5641025641025692</c:v>
                </c:pt>
                <c:pt idx="25">
                  <c:v>-4.5641025641025692</c:v>
                </c:pt>
                <c:pt idx="26">
                  <c:v>-4.5641025641025692</c:v>
                </c:pt>
                <c:pt idx="27">
                  <c:v>-5.5641025641025692</c:v>
                </c:pt>
                <c:pt idx="28">
                  <c:v>-9.5641025641025692</c:v>
                </c:pt>
                <c:pt idx="29">
                  <c:v>-12.564102564102562</c:v>
                </c:pt>
                <c:pt idx="30">
                  <c:v>-11.564102564102562</c:v>
                </c:pt>
                <c:pt idx="31">
                  <c:v>-8.5641025641025621</c:v>
                </c:pt>
                <c:pt idx="32">
                  <c:v>-10.564102564102566</c:v>
                </c:pt>
                <c:pt idx="33">
                  <c:v>-8.5641025641025657</c:v>
                </c:pt>
                <c:pt idx="34">
                  <c:v>-8.5641025641025639</c:v>
                </c:pt>
                <c:pt idx="35">
                  <c:v>-6.5641025641025639</c:v>
                </c:pt>
                <c:pt idx="36">
                  <c:v>-4.5641025641025639</c:v>
                </c:pt>
                <c:pt idx="37">
                  <c:v>6.4358974358974361</c:v>
                </c:pt>
              </c:numCache>
            </c:numRef>
          </c:val>
        </c:ser>
        <c:ser>
          <c:idx val="8"/>
          <c:order val="14"/>
          <c:tx>
            <c:strRef>
              <c:f>'39'!$D$16</c:f>
              <c:strCache>
                <c:ptCount val="1"/>
                <c:pt idx="0">
                  <c:v>31</c:v>
                </c:pt>
              </c:strCache>
            </c:strRef>
          </c:tx>
          <c:cat>
            <c:numRef>
              <c:f>'77'!$K$40:$CI$40</c:f>
              <c:numCache>
                <c:formatCode>0.00;[Red]0.00</c:formatCode>
                <c:ptCount val="77"/>
              </c:numCache>
            </c:numRef>
          </c:cat>
          <c:val>
            <c:numRef>
              <c:f>'39'!$K$54:$AV$54</c:f>
              <c:numCache>
                <c:formatCode>0.00</c:formatCode>
                <c:ptCount val="38"/>
                <c:pt idx="0">
                  <c:v>-0.82051282051282048</c:v>
                </c:pt>
                <c:pt idx="1">
                  <c:v>-1.8205128205128205</c:v>
                </c:pt>
                <c:pt idx="2">
                  <c:v>0.17948717948717929</c:v>
                </c:pt>
                <c:pt idx="3">
                  <c:v>-0.82051282051282071</c:v>
                </c:pt>
                <c:pt idx="4">
                  <c:v>-1.8205128205128203</c:v>
                </c:pt>
                <c:pt idx="5">
                  <c:v>1.1794871794871797</c:v>
                </c:pt>
                <c:pt idx="6">
                  <c:v>0.17948717948717974</c:v>
                </c:pt>
                <c:pt idx="7">
                  <c:v>0.17948717948717974</c:v>
                </c:pt>
                <c:pt idx="8">
                  <c:v>2.1794871794871797</c:v>
                </c:pt>
                <c:pt idx="9">
                  <c:v>1.1794871794871793</c:v>
                </c:pt>
                <c:pt idx="10">
                  <c:v>2.1794871794871793</c:v>
                </c:pt>
                <c:pt idx="11">
                  <c:v>2.1794871794871793</c:v>
                </c:pt>
                <c:pt idx="12">
                  <c:v>1.1794871794871795</c:v>
                </c:pt>
                <c:pt idx="13">
                  <c:v>2.1794871794871793</c:v>
                </c:pt>
                <c:pt idx="14">
                  <c:v>1.1794871794871797</c:v>
                </c:pt>
                <c:pt idx="15">
                  <c:v>0.17948717948717974</c:v>
                </c:pt>
                <c:pt idx="16">
                  <c:v>0.17948717948717974</c:v>
                </c:pt>
                <c:pt idx="17">
                  <c:v>0.17948717948717974</c:v>
                </c:pt>
                <c:pt idx="18">
                  <c:v>-0.82051282051282026</c:v>
                </c:pt>
                <c:pt idx="19">
                  <c:v>0.17948717948717974</c:v>
                </c:pt>
                <c:pt idx="20">
                  <c:v>0.17948717948717974</c:v>
                </c:pt>
                <c:pt idx="21">
                  <c:v>0.17948717948717974</c:v>
                </c:pt>
                <c:pt idx="22">
                  <c:v>0.17948717948717974</c:v>
                </c:pt>
                <c:pt idx="23">
                  <c:v>0.17948717948717974</c:v>
                </c:pt>
                <c:pt idx="24">
                  <c:v>-0.82051282051282026</c:v>
                </c:pt>
                <c:pt idx="25">
                  <c:v>-0.82051282051282071</c:v>
                </c:pt>
                <c:pt idx="26">
                  <c:v>0.17948717948717929</c:v>
                </c:pt>
                <c:pt idx="27">
                  <c:v>-1.8205128205128207</c:v>
                </c:pt>
                <c:pt idx="28">
                  <c:v>0.17948717948717952</c:v>
                </c:pt>
                <c:pt idx="29">
                  <c:v>-2.8205128205128203</c:v>
                </c:pt>
                <c:pt idx="30">
                  <c:v>-1.8205128205128207</c:v>
                </c:pt>
                <c:pt idx="31">
                  <c:v>2.1794871794871797</c:v>
                </c:pt>
                <c:pt idx="32">
                  <c:v>-0.82051282051282071</c:v>
                </c:pt>
                <c:pt idx="33">
                  <c:v>1.1794871794871793</c:v>
                </c:pt>
                <c:pt idx="34">
                  <c:v>2.1794871794871793</c:v>
                </c:pt>
                <c:pt idx="35">
                  <c:v>0.17948717948717949</c:v>
                </c:pt>
                <c:pt idx="36">
                  <c:v>1.1794871794871795</c:v>
                </c:pt>
                <c:pt idx="37">
                  <c:v>-0.82051282051282048</c:v>
                </c:pt>
              </c:numCache>
            </c:numRef>
          </c:val>
        </c:ser>
        <c:ser>
          <c:idx val="9"/>
          <c:order val="15"/>
          <c:tx>
            <c:strRef>
              <c:f>'39'!$D$17</c:f>
              <c:strCache>
                <c:ptCount val="1"/>
                <c:pt idx="0">
                  <c:v>29</c:v>
                </c:pt>
              </c:strCache>
            </c:strRef>
          </c:tx>
          <c:cat>
            <c:numRef>
              <c:f>'77'!$K$40:$CI$40</c:f>
              <c:numCache>
                <c:formatCode>0.00;[Red]0.00</c:formatCode>
                <c:ptCount val="77"/>
              </c:numCache>
            </c:numRef>
          </c:cat>
          <c:val>
            <c:numRef>
              <c:f>'39'!$K$55:$AV$55</c:f>
              <c:numCache>
                <c:formatCode>0.00</c:formatCode>
                <c:ptCount val="38"/>
                <c:pt idx="0">
                  <c:v>-1.358974358974359</c:v>
                </c:pt>
                <c:pt idx="1">
                  <c:v>-0.35897435897435903</c:v>
                </c:pt>
                <c:pt idx="2">
                  <c:v>0.64102564102564097</c:v>
                </c:pt>
                <c:pt idx="3">
                  <c:v>0.64102564102564097</c:v>
                </c:pt>
                <c:pt idx="4">
                  <c:v>0.64102564102564097</c:v>
                </c:pt>
                <c:pt idx="5">
                  <c:v>1.641025641025641</c:v>
                </c:pt>
                <c:pt idx="6">
                  <c:v>0.64102564102564141</c:v>
                </c:pt>
                <c:pt idx="7">
                  <c:v>2.6410256410256414</c:v>
                </c:pt>
                <c:pt idx="8">
                  <c:v>4.6410256410256405</c:v>
                </c:pt>
                <c:pt idx="9">
                  <c:v>3.6410256410256405</c:v>
                </c:pt>
                <c:pt idx="10">
                  <c:v>1.6410256410256423</c:v>
                </c:pt>
                <c:pt idx="11">
                  <c:v>0.6410256410256423</c:v>
                </c:pt>
                <c:pt idx="12">
                  <c:v>1.6410256410256423</c:v>
                </c:pt>
                <c:pt idx="13">
                  <c:v>-1.3589743589743577</c:v>
                </c:pt>
                <c:pt idx="14">
                  <c:v>-1.3589743589743577</c:v>
                </c:pt>
                <c:pt idx="15">
                  <c:v>-1.3589743589743577</c:v>
                </c:pt>
                <c:pt idx="16">
                  <c:v>-0.3589743589743577</c:v>
                </c:pt>
                <c:pt idx="17">
                  <c:v>-1.3589743589743577</c:v>
                </c:pt>
                <c:pt idx="18">
                  <c:v>-1.3589743589743577</c:v>
                </c:pt>
                <c:pt idx="19">
                  <c:v>-1.3589743589743577</c:v>
                </c:pt>
                <c:pt idx="20">
                  <c:v>-0.3589743589743577</c:v>
                </c:pt>
                <c:pt idx="21">
                  <c:v>-1.3589743589743577</c:v>
                </c:pt>
                <c:pt idx="22">
                  <c:v>-0.35897435897435948</c:v>
                </c:pt>
                <c:pt idx="23">
                  <c:v>-0.35897435897435948</c:v>
                </c:pt>
                <c:pt idx="24">
                  <c:v>0.64102564102564052</c:v>
                </c:pt>
                <c:pt idx="25">
                  <c:v>0.6410256410256423</c:v>
                </c:pt>
                <c:pt idx="26">
                  <c:v>-3.3589743589743577</c:v>
                </c:pt>
                <c:pt idx="27">
                  <c:v>-1.3589743589743595</c:v>
                </c:pt>
                <c:pt idx="28">
                  <c:v>-1.3589743589743595</c:v>
                </c:pt>
                <c:pt idx="29">
                  <c:v>-4.3589743589743595</c:v>
                </c:pt>
                <c:pt idx="30">
                  <c:v>-4.3589743589743595</c:v>
                </c:pt>
                <c:pt idx="31">
                  <c:v>-2.3589743589743586</c:v>
                </c:pt>
                <c:pt idx="32">
                  <c:v>-2.358974358974359</c:v>
                </c:pt>
                <c:pt idx="33">
                  <c:v>-0.35897435897435898</c:v>
                </c:pt>
                <c:pt idx="34">
                  <c:v>-0.35897435897435898</c:v>
                </c:pt>
                <c:pt idx="35">
                  <c:v>-0.35897435897435898</c:v>
                </c:pt>
                <c:pt idx="36">
                  <c:v>-0.35897435897435898</c:v>
                </c:pt>
                <c:pt idx="37">
                  <c:v>-0.35897435897435898</c:v>
                </c:pt>
              </c:numCache>
            </c:numRef>
          </c:val>
        </c:ser>
        <c:ser>
          <c:idx val="24"/>
          <c:order val="16"/>
          <c:tx>
            <c:strRef>
              <c:f>'39'!$D$18</c:f>
              <c:strCache>
                <c:ptCount val="1"/>
                <c:pt idx="0">
                  <c:v>27</c:v>
                </c:pt>
              </c:strCache>
            </c:strRef>
          </c:tx>
          <c:val>
            <c:numRef>
              <c:f>'39'!$K$56:$AV$56</c:f>
              <c:numCache>
                <c:formatCode>0.00</c:formatCode>
                <c:ptCount val="38"/>
                <c:pt idx="0">
                  <c:v>-3.5641025641025639</c:v>
                </c:pt>
                <c:pt idx="1">
                  <c:v>0.43589743589743613</c:v>
                </c:pt>
                <c:pt idx="2">
                  <c:v>-0.5641025641025641</c:v>
                </c:pt>
                <c:pt idx="3">
                  <c:v>-1.5641025641025641</c:v>
                </c:pt>
                <c:pt idx="4">
                  <c:v>-1.5641025641025639</c:v>
                </c:pt>
                <c:pt idx="5">
                  <c:v>-0.56410256410256387</c:v>
                </c:pt>
                <c:pt idx="6">
                  <c:v>-1.5641025641025639</c:v>
                </c:pt>
                <c:pt idx="7">
                  <c:v>-1.5641025641025639</c:v>
                </c:pt>
                <c:pt idx="8">
                  <c:v>1.4358974358974361</c:v>
                </c:pt>
                <c:pt idx="9">
                  <c:v>-0.56410256410256387</c:v>
                </c:pt>
                <c:pt idx="10">
                  <c:v>0.43589743589743613</c:v>
                </c:pt>
                <c:pt idx="11">
                  <c:v>1.4358974358974361</c:v>
                </c:pt>
                <c:pt idx="12">
                  <c:v>0.4358974358974359</c:v>
                </c:pt>
                <c:pt idx="13">
                  <c:v>1.4358974358974359</c:v>
                </c:pt>
                <c:pt idx="14">
                  <c:v>0.43589743589743613</c:v>
                </c:pt>
                <c:pt idx="15">
                  <c:v>0.43589743589743613</c:v>
                </c:pt>
                <c:pt idx="16">
                  <c:v>-0.56410256410256387</c:v>
                </c:pt>
                <c:pt idx="17">
                  <c:v>1.4358974358974361</c:v>
                </c:pt>
                <c:pt idx="18">
                  <c:v>-0.56410256410256387</c:v>
                </c:pt>
                <c:pt idx="19">
                  <c:v>-0.56410256410256387</c:v>
                </c:pt>
                <c:pt idx="20">
                  <c:v>1.4358974358974361</c:v>
                </c:pt>
                <c:pt idx="21">
                  <c:v>-0.56410256410256387</c:v>
                </c:pt>
                <c:pt idx="22">
                  <c:v>-0.56410256410256387</c:v>
                </c:pt>
                <c:pt idx="23">
                  <c:v>-0.56410256410256387</c:v>
                </c:pt>
                <c:pt idx="24">
                  <c:v>-1.5641025641025639</c:v>
                </c:pt>
                <c:pt idx="25">
                  <c:v>-0.56410256410256387</c:v>
                </c:pt>
                <c:pt idx="26">
                  <c:v>-1.5641025641025639</c:v>
                </c:pt>
                <c:pt idx="27">
                  <c:v>-0.56410256410256387</c:v>
                </c:pt>
                <c:pt idx="28">
                  <c:v>-1.5641025641025639</c:v>
                </c:pt>
                <c:pt idx="29">
                  <c:v>-2.5641025641025639</c:v>
                </c:pt>
                <c:pt idx="30">
                  <c:v>-1.5641025641025639</c:v>
                </c:pt>
                <c:pt idx="31">
                  <c:v>-0.56410256410256387</c:v>
                </c:pt>
                <c:pt idx="32">
                  <c:v>-1.5641025641025639</c:v>
                </c:pt>
                <c:pt idx="33">
                  <c:v>-0.5641025641025641</c:v>
                </c:pt>
                <c:pt idx="34">
                  <c:v>-0.5641025641025641</c:v>
                </c:pt>
                <c:pt idx="35">
                  <c:v>-0.5641025641025641</c:v>
                </c:pt>
                <c:pt idx="36">
                  <c:v>-0.5641025641025641</c:v>
                </c:pt>
                <c:pt idx="37">
                  <c:v>-1.5641025641025641</c:v>
                </c:pt>
              </c:numCache>
            </c:numRef>
          </c:val>
        </c:ser>
        <c:ser>
          <c:idx val="10"/>
          <c:order val="17"/>
          <c:tx>
            <c:strRef>
              <c:f>'39'!$D$19</c:f>
              <c:strCache>
                <c:ptCount val="1"/>
                <c:pt idx="0">
                  <c:v>25</c:v>
                </c:pt>
              </c:strCache>
            </c:strRef>
          </c:tx>
          <c:cat>
            <c:numRef>
              <c:f>'77'!$K$40:$CI$40</c:f>
              <c:numCache>
                <c:formatCode>0.00;[Red]0.00</c:formatCode>
                <c:ptCount val="77"/>
              </c:numCache>
            </c:numRef>
          </c:cat>
          <c:val>
            <c:numRef>
              <c:f>'39'!$K$57:$AV$57</c:f>
              <c:numCache>
                <c:formatCode>0.00</c:formatCode>
                <c:ptCount val="38"/>
                <c:pt idx="0">
                  <c:v>-0.15384615384615385</c:v>
                </c:pt>
                <c:pt idx="1">
                  <c:v>0.84615384615384626</c:v>
                </c:pt>
                <c:pt idx="2">
                  <c:v>1.8461538461538463</c:v>
                </c:pt>
                <c:pt idx="3">
                  <c:v>1.8461538461538463</c:v>
                </c:pt>
                <c:pt idx="4">
                  <c:v>1.8461538461538463</c:v>
                </c:pt>
                <c:pt idx="5">
                  <c:v>2.8461538461538463</c:v>
                </c:pt>
                <c:pt idx="6">
                  <c:v>1.8461538461538463</c:v>
                </c:pt>
                <c:pt idx="7">
                  <c:v>3.8461538461538458</c:v>
                </c:pt>
                <c:pt idx="8">
                  <c:v>5.8461538461538458</c:v>
                </c:pt>
                <c:pt idx="9">
                  <c:v>4.8461538461538467</c:v>
                </c:pt>
                <c:pt idx="10">
                  <c:v>2.8461538461538467</c:v>
                </c:pt>
                <c:pt idx="11">
                  <c:v>1.8461538461538467</c:v>
                </c:pt>
                <c:pt idx="12">
                  <c:v>2.8461538461538467</c:v>
                </c:pt>
                <c:pt idx="13">
                  <c:v>-0.1538461538461533</c:v>
                </c:pt>
                <c:pt idx="14">
                  <c:v>-0.1538461538461533</c:v>
                </c:pt>
                <c:pt idx="15">
                  <c:v>-0.1538461538461533</c:v>
                </c:pt>
                <c:pt idx="16">
                  <c:v>0.8461538461538467</c:v>
                </c:pt>
                <c:pt idx="17">
                  <c:v>-0.1538461538461533</c:v>
                </c:pt>
                <c:pt idx="18">
                  <c:v>-0.1538461538461533</c:v>
                </c:pt>
                <c:pt idx="19">
                  <c:v>-0.1538461538461533</c:v>
                </c:pt>
                <c:pt idx="20">
                  <c:v>0.8461538461538467</c:v>
                </c:pt>
                <c:pt idx="21">
                  <c:v>-0.1538461538461533</c:v>
                </c:pt>
                <c:pt idx="22">
                  <c:v>0.8461538461538467</c:v>
                </c:pt>
                <c:pt idx="23">
                  <c:v>0.8461538461538467</c:v>
                </c:pt>
                <c:pt idx="24">
                  <c:v>1.8461538461538467</c:v>
                </c:pt>
                <c:pt idx="25">
                  <c:v>1.8461538461538467</c:v>
                </c:pt>
                <c:pt idx="26">
                  <c:v>-2.1538461538461533</c:v>
                </c:pt>
                <c:pt idx="27">
                  <c:v>-0.1538461538461533</c:v>
                </c:pt>
                <c:pt idx="28">
                  <c:v>-0.1538461538461533</c:v>
                </c:pt>
                <c:pt idx="29">
                  <c:v>-3.1538461538461533</c:v>
                </c:pt>
                <c:pt idx="30">
                  <c:v>-3.1538461538461542</c:v>
                </c:pt>
                <c:pt idx="31">
                  <c:v>-1.1538461538461537</c:v>
                </c:pt>
                <c:pt idx="32">
                  <c:v>-1.1538461538461537</c:v>
                </c:pt>
                <c:pt idx="33">
                  <c:v>0.84615384615384615</c:v>
                </c:pt>
                <c:pt idx="34">
                  <c:v>0.84615384615384615</c:v>
                </c:pt>
                <c:pt idx="35">
                  <c:v>0.84615384615384615</c:v>
                </c:pt>
                <c:pt idx="36">
                  <c:v>0.84615384615384615</c:v>
                </c:pt>
                <c:pt idx="37">
                  <c:v>0.84615384615384615</c:v>
                </c:pt>
              </c:numCache>
            </c:numRef>
          </c:val>
        </c:ser>
        <c:ser>
          <c:idx val="25"/>
          <c:order val="18"/>
          <c:tx>
            <c:strRef>
              <c:f>'39'!$D$20</c:f>
              <c:strCache>
                <c:ptCount val="1"/>
                <c:pt idx="0">
                  <c:v>23</c:v>
                </c:pt>
              </c:strCache>
            </c:strRef>
          </c:tx>
          <c:val>
            <c:numRef>
              <c:f>'39'!$K$58:$AV$58</c:f>
              <c:numCache>
                <c:formatCode>0.00</c:formatCode>
                <c:ptCount val="38"/>
                <c:pt idx="0">
                  <c:v>-3.5641025641025639</c:v>
                </c:pt>
                <c:pt idx="1">
                  <c:v>0.43589743589743613</c:v>
                </c:pt>
                <c:pt idx="2">
                  <c:v>-0.5641025641025641</c:v>
                </c:pt>
                <c:pt idx="3">
                  <c:v>-1.5641025641025641</c:v>
                </c:pt>
                <c:pt idx="4">
                  <c:v>-1.5641025641025639</c:v>
                </c:pt>
                <c:pt idx="5">
                  <c:v>-0.56410256410256387</c:v>
                </c:pt>
                <c:pt idx="6">
                  <c:v>-1.5641025641025639</c:v>
                </c:pt>
                <c:pt idx="7">
                  <c:v>-1.5641025641025639</c:v>
                </c:pt>
                <c:pt idx="8">
                  <c:v>1.4358974358974361</c:v>
                </c:pt>
                <c:pt idx="9">
                  <c:v>-0.56410256410256387</c:v>
                </c:pt>
                <c:pt idx="10">
                  <c:v>0.43589743589743613</c:v>
                </c:pt>
                <c:pt idx="11">
                  <c:v>1.4358974358974361</c:v>
                </c:pt>
                <c:pt idx="12">
                  <c:v>0.4358974358974359</c:v>
                </c:pt>
                <c:pt idx="13">
                  <c:v>1.4358974358974359</c:v>
                </c:pt>
                <c:pt idx="14">
                  <c:v>0.43589743589743613</c:v>
                </c:pt>
                <c:pt idx="15">
                  <c:v>0.43589743589743613</c:v>
                </c:pt>
                <c:pt idx="16">
                  <c:v>-0.56410256410256387</c:v>
                </c:pt>
                <c:pt idx="17">
                  <c:v>1.4358974358974361</c:v>
                </c:pt>
                <c:pt idx="18">
                  <c:v>-0.56410256410256387</c:v>
                </c:pt>
                <c:pt idx="19">
                  <c:v>-0.56410256410256387</c:v>
                </c:pt>
                <c:pt idx="20">
                  <c:v>1.4358974358974361</c:v>
                </c:pt>
                <c:pt idx="21">
                  <c:v>-0.56410256410256387</c:v>
                </c:pt>
                <c:pt idx="22">
                  <c:v>-0.56410256410256387</c:v>
                </c:pt>
                <c:pt idx="23">
                  <c:v>-0.56410256410256387</c:v>
                </c:pt>
                <c:pt idx="24">
                  <c:v>-1.5641025641025639</c:v>
                </c:pt>
                <c:pt idx="25">
                  <c:v>-0.56410256410256387</c:v>
                </c:pt>
                <c:pt idx="26">
                  <c:v>-1.5641025641025639</c:v>
                </c:pt>
                <c:pt idx="27">
                  <c:v>-0.56410256410256387</c:v>
                </c:pt>
                <c:pt idx="28">
                  <c:v>-1.5641025641025639</c:v>
                </c:pt>
                <c:pt idx="29">
                  <c:v>-2.5641025641025639</c:v>
                </c:pt>
                <c:pt idx="30">
                  <c:v>-1.5641025641025639</c:v>
                </c:pt>
                <c:pt idx="31">
                  <c:v>-0.56410256410256387</c:v>
                </c:pt>
                <c:pt idx="32">
                  <c:v>-1.5641025641025639</c:v>
                </c:pt>
                <c:pt idx="33">
                  <c:v>-0.5641025641025641</c:v>
                </c:pt>
                <c:pt idx="34">
                  <c:v>-0.5641025641025641</c:v>
                </c:pt>
                <c:pt idx="35">
                  <c:v>-0.5641025641025641</c:v>
                </c:pt>
                <c:pt idx="36">
                  <c:v>-0.5641025641025641</c:v>
                </c:pt>
                <c:pt idx="37">
                  <c:v>-1.5641025641025641</c:v>
                </c:pt>
              </c:numCache>
            </c:numRef>
          </c:val>
        </c:ser>
        <c:ser>
          <c:idx val="11"/>
          <c:order val="19"/>
          <c:tx>
            <c:strRef>
              <c:f>'39'!$D$21</c:f>
              <c:strCache>
                <c:ptCount val="1"/>
                <c:pt idx="0">
                  <c:v>21</c:v>
                </c:pt>
              </c:strCache>
            </c:strRef>
          </c:tx>
          <c:cat>
            <c:numRef>
              <c:f>'77'!$K$40:$CI$40</c:f>
              <c:numCache>
                <c:formatCode>0.00;[Red]0.00</c:formatCode>
                <c:ptCount val="77"/>
              </c:numCache>
            </c:numRef>
          </c:cat>
          <c:val>
            <c:numRef>
              <c:f>'39'!$K$59:$AV$59</c:f>
              <c:numCache>
                <c:formatCode>0.00</c:formatCode>
                <c:ptCount val="38"/>
                <c:pt idx="0">
                  <c:v>0.48717948717948723</c:v>
                </c:pt>
                <c:pt idx="1">
                  <c:v>1.4871794871794872</c:v>
                </c:pt>
                <c:pt idx="2">
                  <c:v>2.4871794871794872</c:v>
                </c:pt>
                <c:pt idx="3">
                  <c:v>2.4871794871794872</c:v>
                </c:pt>
                <c:pt idx="4">
                  <c:v>2.4871794871794872</c:v>
                </c:pt>
                <c:pt idx="5">
                  <c:v>3.4871794871794872</c:v>
                </c:pt>
                <c:pt idx="6">
                  <c:v>2.4871794871794872</c:v>
                </c:pt>
                <c:pt idx="7">
                  <c:v>4.4871794871794872</c:v>
                </c:pt>
                <c:pt idx="8">
                  <c:v>6.4871794871794872</c:v>
                </c:pt>
                <c:pt idx="9">
                  <c:v>5.4871794871794872</c:v>
                </c:pt>
                <c:pt idx="10">
                  <c:v>3.4871794871794872</c:v>
                </c:pt>
                <c:pt idx="11">
                  <c:v>2.487179487179489</c:v>
                </c:pt>
                <c:pt idx="12">
                  <c:v>3.487179487179489</c:v>
                </c:pt>
                <c:pt idx="13">
                  <c:v>0.487179487179489</c:v>
                </c:pt>
                <c:pt idx="14">
                  <c:v>0.487179487179489</c:v>
                </c:pt>
                <c:pt idx="15">
                  <c:v>0.487179487179489</c:v>
                </c:pt>
                <c:pt idx="16">
                  <c:v>1.487179487179489</c:v>
                </c:pt>
                <c:pt idx="17">
                  <c:v>0.487179487179489</c:v>
                </c:pt>
                <c:pt idx="18">
                  <c:v>0.487179487179489</c:v>
                </c:pt>
                <c:pt idx="19">
                  <c:v>0.48717948717948723</c:v>
                </c:pt>
                <c:pt idx="20">
                  <c:v>1.4871794871794872</c:v>
                </c:pt>
                <c:pt idx="21">
                  <c:v>0.48717948717948723</c:v>
                </c:pt>
                <c:pt idx="22">
                  <c:v>1.4871794871794872</c:v>
                </c:pt>
                <c:pt idx="23">
                  <c:v>1.4871794871794872</c:v>
                </c:pt>
                <c:pt idx="24">
                  <c:v>2.4871794871794872</c:v>
                </c:pt>
                <c:pt idx="25">
                  <c:v>2.4871794871794872</c:v>
                </c:pt>
                <c:pt idx="26">
                  <c:v>-1.5128205128205128</c:v>
                </c:pt>
                <c:pt idx="27">
                  <c:v>0.48717948717948723</c:v>
                </c:pt>
                <c:pt idx="28">
                  <c:v>0.48717948717948723</c:v>
                </c:pt>
                <c:pt idx="29">
                  <c:v>-2.5128205128205128</c:v>
                </c:pt>
                <c:pt idx="30">
                  <c:v>-2.5128205128205128</c:v>
                </c:pt>
                <c:pt idx="31">
                  <c:v>-0.51282051282051277</c:v>
                </c:pt>
                <c:pt idx="32">
                  <c:v>-0.51282051282051277</c:v>
                </c:pt>
                <c:pt idx="33">
                  <c:v>1.4871794871794872</c:v>
                </c:pt>
                <c:pt idx="34">
                  <c:v>1.4871794871794872</c:v>
                </c:pt>
                <c:pt idx="35">
                  <c:v>1.4871794871794872</c:v>
                </c:pt>
                <c:pt idx="36">
                  <c:v>1.4871794871794872</c:v>
                </c:pt>
                <c:pt idx="37">
                  <c:v>1.4871794871794872</c:v>
                </c:pt>
              </c:numCache>
            </c:numRef>
          </c:val>
        </c:ser>
        <c:ser>
          <c:idx val="26"/>
          <c:order val="20"/>
          <c:tx>
            <c:strRef>
              <c:f>'39'!$D$22</c:f>
              <c:strCache>
                <c:ptCount val="1"/>
                <c:pt idx="0">
                  <c:v>19</c:v>
                </c:pt>
              </c:strCache>
            </c:strRef>
          </c:tx>
          <c:val>
            <c:numRef>
              <c:f>'39'!$K$60:$AV$60</c:f>
              <c:numCache>
                <c:formatCode>0.00</c:formatCode>
                <c:ptCount val="38"/>
                <c:pt idx="0">
                  <c:v>-3.5641025641025639</c:v>
                </c:pt>
                <c:pt idx="1">
                  <c:v>0.43589743589743613</c:v>
                </c:pt>
                <c:pt idx="2">
                  <c:v>-0.5641025641025641</c:v>
                </c:pt>
                <c:pt idx="3">
                  <c:v>-1.5641025641025641</c:v>
                </c:pt>
                <c:pt idx="4">
                  <c:v>-1.5641025641025639</c:v>
                </c:pt>
                <c:pt idx="5">
                  <c:v>-0.56410256410256387</c:v>
                </c:pt>
                <c:pt idx="6">
                  <c:v>-1.5641025641025639</c:v>
                </c:pt>
                <c:pt idx="7">
                  <c:v>-1.5641025641025639</c:v>
                </c:pt>
                <c:pt idx="8">
                  <c:v>1.4358974358974361</c:v>
                </c:pt>
                <c:pt idx="9">
                  <c:v>-0.56410256410256387</c:v>
                </c:pt>
                <c:pt idx="10">
                  <c:v>0.43589743589743613</c:v>
                </c:pt>
                <c:pt idx="11">
                  <c:v>1.4358974358974361</c:v>
                </c:pt>
                <c:pt idx="12">
                  <c:v>0.4358974358974359</c:v>
                </c:pt>
                <c:pt idx="13">
                  <c:v>1.4358974358974359</c:v>
                </c:pt>
                <c:pt idx="14">
                  <c:v>0.43589743589743613</c:v>
                </c:pt>
                <c:pt idx="15">
                  <c:v>0.43589743589743613</c:v>
                </c:pt>
                <c:pt idx="16">
                  <c:v>-0.56410256410256387</c:v>
                </c:pt>
                <c:pt idx="17">
                  <c:v>1.4358974358974361</c:v>
                </c:pt>
                <c:pt idx="18">
                  <c:v>-0.56410256410256387</c:v>
                </c:pt>
                <c:pt idx="19">
                  <c:v>-0.56410256410256387</c:v>
                </c:pt>
                <c:pt idx="20">
                  <c:v>1.4358974358974361</c:v>
                </c:pt>
                <c:pt idx="21">
                  <c:v>-0.56410256410256387</c:v>
                </c:pt>
                <c:pt idx="22">
                  <c:v>-0.56410256410256387</c:v>
                </c:pt>
                <c:pt idx="23">
                  <c:v>-0.56410256410256387</c:v>
                </c:pt>
                <c:pt idx="24">
                  <c:v>-1.5641025641025639</c:v>
                </c:pt>
                <c:pt idx="25">
                  <c:v>-0.56410256410256387</c:v>
                </c:pt>
                <c:pt idx="26">
                  <c:v>-1.5641025641025639</c:v>
                </c:pt>
                <c:pt idx="27">
                  <c:v>-0.56410256410256387</c:v>
                </c:pt>
                <c:pt idx="28">
                  <c:v>-1.5641025641025639</c:v>
                </c:pt>
                <c:pt idx="29">
                  <c:v>-2.5641025641025639</c:v>
                </c:pt>
                <c:pt idx="30">
                  <c:v>-1.5641025641025639</c:v>
                </c:pt>
                <c:pt idx="31">
                  <c:v>-0.56410256410256387</c:v>
                </c:pt>
                <c:pt idx="32">
                  <c:v>-1.5641025641025639</c:v>
                </c:pt>
                <c:pt idx="33">
                  <c:v>-0.5641025641025641</c:v>
                </c:pt>
                <c:pt idx="34">
                  <c:v>-0.5641025641025641</c:v>
                </c:pt>
                <c:pt idx="35">
                  <c:v>-0.5641025641025641</c:v>
                </c:pt>
                <c:pt idx="36">
                  <c:v>-0.5641025641025641</c:v>
                </c:pt>
                <c:pt idx="37">
                  <c:v>-1.5641025641025641</c:v>
                </c:pt>
              </c:numCache>
            </c:numRef>
          </c:val>
        </c:ser>
        <c:ser>
          <c:idx val="12"/>
          <c:order val="21"/>
          <c:tx>
            <c:strRef>
              <c:f>'39'!$D$23</c:f>
              <c:strCache>
                <c:ptCount val="1"/>
                <c:pt idx="0">
                  <c:v>17</c:v>
                </c:pt>
              </c:strCache>
            </c:strRef>
          </c:tx>
          <c:cat>
            <c:numRef>
              <c:f>'77'!$K$40:$CI$40</c:f>
              <c:numCache>
                <c:formatCode>0.00;[Red]0.00</c:formatCode>
                <c:ptCount val="77"/>
              </c:numCache>
            </c:numRef>
          </c:cat>
          <c:val>
            <c:numRef>
              <c:f>'39'!$K$61:$AV$61</c:f>
              <c:numCache>
                <c:formatCode>0.00</c:formatCode>
                <c:ptCount val="38"/>
                <c:pt idx="0">
                  <c:v>0.74358974358974361</c:v>
                </c:pt>
                <c:pt idx="1">
                  <c:v>2.7435897435897436</c:v>
                </c:pt>
                <c:pt idx="2">
                  <c:v>2.7435897435897436</c:v>
                </c:pt>
                <c:pt idx="3">
                  <c:v>5.7435897435897436</c:v>
                </c:pt>
                <c:pt idx="4">
                  <c:v>3.7435897435897445</c:v>
                </c:pt>
                <c:pt idx="5">
                  <c:v>4.7435897435897445</c:v>
                </c:pt>
                <c:pt idx="6">
                  <c:v>4.7435897435897445</c:v>
                </c:pt>
                <c:pt idx="7">
                  <c:v>3.7435897435897445</c:v>
                </c:pt>
                <c:pt idx="8">
                  <c:v>5.7435897435897445</c:v>
                </c:pt>
                <c:pt idx="9">
                  <c:v>4.7435897435897445</c:v>
                </c:pt>
                <c:pt idx="10">
                  <c:v>3.7435897435897445</c:v>
                </c:pt>
                <c:pt idx="11">
                  <c:v>4.7435897435897445</c:v>
                </c:pt>
                <c:pt idx="12">
                  <c:v>3.7435897435897445</c:v>
                </c:pt>
                <c:pt idx="13">
                  <c:v>4.7435897435897445</c:v>
                </c:pt>
                <c:pt idx="14">
                  <c:v>5.7435897435897445</c:v>
                </c:pt>
                <c:pt idx="15">
                  <c:v>3.7435897435897374</c:v>
                </c:pt>
                <c:pt idx="16">
                  <c:v>3.7435897435897374</c:v>
                </c:pt>
                <c:pt idx="17">
                  <c:v>4.7435897435897374</c:v>
                </c:pt>
                <c:pt idx="18">
                  <c:v>3.7435897435897374</c:v>
                </c:pt>
                <c:pt idx="19">
                  <c:v>1.7435897435897374</c:v>
                </c:pt>
                <c:pt idx="20">
                  <c:v>3.7435897435897374</c:v>
                </c:pt>
                <c:pt idx="21">
                  <c:v>1.7435897435897374</c:v>
                </c:pt>
                <c:pt idx="22">
                  <c:v>-2.2564102564102626</c:v>
                </c:pt>
                <c:pt idx="23">
                  <c:v>-1.2564102564102626</c:v>
                </c:pt>
                <c:pt idx="24">
                  <c:v>-4.2564102564102626</c:v>
                </c:pt>
                <c:pt idx="25">
                  <c:v>-4.2564102564102626</c:v>
                </c:pt>
                <c:pt idx="26">
                  <c:v>-6.2564102564102626</c:v>
                </c:pt>
                <c:pt idx="27">
                  <c:v>-7.2564102564102626</c:v>
                </c:pt>
                <c:pt idx="28">
                  <c:v>-7.2564102564102626</c:v>
                </c:pt>
                <c:pt idx="29">
                  <c:v>-9.2564102564102555</c:v>
                </c:pt>
                <c:pt idx="30">
                  <c:v>-13.256410256410255</c:v>
                </c:pt>
                <c:pt idx="31">
                  <c:v>-8.2564102564102555</c:v>
                </c:pt>
                <c:pt idx="32">
                  <c:v>-8.2564102564102555</c:v>
                </c:pt>
                <c:pt idx="33">
                  <c:v>-5.2564102564102555</c:v>
                </c:pt>
                <c:pt idx="34">
                  <c:v>-8.2564102564102555</c:v>
                </c:pt>
                <c:pt idx="35">
                  <c:v>-4.2564102564102555</c:v>
                </c:pt>
                <c:pt idx="36">
                  <c:v>-2.2564102564102564</c:v>
                </c:pt>
                <c:pt idx="37">
                  <c:v>-3.2564102564102564</c:v>
                </c:pt>
              </c:numCache>
            </c:numRef>
          </c:val>
        </c:ser>
        <c:ser>
          <c:idx val="13"/>
          <c:order val="22"/>
          <c:tx>
            <c:strRef>
              <c:f>'39'!$D$24</c:f>
              <c:strCache>
                <c:ptCount val="1"/>
                <c:pt idx="0">
                  <c:v>15</c:v>
                </c:pt>
              </c:strCache>
            </c:strRef>
          </c:tx>
          <c:cat>
            <c:numRef>
              <c:f>'77'!$K$40:$CI$40</c:f>
              <c:numCache>
                <c:formatCode>0.00;[Red]0.00</c:formatCode>
                <c:ptCount val="77"/>
              </c:numCache>
            </c:numRef>
          </c:cat>
          <c:val>
            <c:numRef>
              <c:f>'39'!$K$62:$AV$62</c:f>
              <c:numCache>
                <c:formatCode>0.00</c:formatCode>
                <c:ptCount val="38"/>
                <c:pt idx="0">
                  <c:v>-1.7179487179487181</c:v>
                </c:pt>
                <c:pt idx="1">
                  <c:v>-2.7179487179487181</c:v>
                </c:pt>
                <c:pt idx="2">
                  <c:v>-4.7179487179487181</c:v>
                </c:pt>
                <c:pt idx="3">
                  <c:v>-3.7179487179487181</c:v>
                </c:pt>
                <c:pt idx="4">
                  <c:v>-2.7179487179487172</c:v>
                </c:pt>
                <c:pt idx="5">
                  <c:v>0.28205128205128283</c:v>
                </c:pt>
                <c:pt idx="6">
                  <c:v>-0.71794871794871717</c:v>
                </c:pt>
                <c:pt idx="7">
                  <c:v>0.28205128205128283</c:v>
                </c:pt>
                <c:pt idx="8">
                  <c:v>3.2820512820512828</c:v>
                </c:pt>
                <c:pt idx="9">
                  <c:v>2.2820512820512819</c:v>
                </c:pt>
                <c:pt idx="10">
                  <c:v>1.2820512820512819</c:v>
                </c:pt>
                <c:pt idx="11">
                  <c:v>5.2820512820512819</c:v>
                </c:pt>
                <c:pt idx="12">
                  <c:v>3.2820512820512819</c:v>
                </c:pt>
                <c:pt idx="13">
                  <c:v>5.2820512820512828</c:v>
                </c:pt>
                <c:pt idx="14">
                  <c:v>4.2820512820512828</c:v>
                </c:pt>
                <c:pt idx="15">
                  <c:v>3.282051282051281</c:v>
                </c:pt>
                <c:pt idx="16">
                  <c:v>2.282051282051281</c:v>
                </c:pt>
                <c:pt idx="17">
                  <c:v>3.282051282051281</c:v>
                </c:pt>
                <c:pt idx="18">
                  <c:v>-0.71794871794871895</c:v>
                </c:pt>
                <c:pt idx="19">
                  <c:v>-0.71794871794871895</c:v>
                </c:pt>
                <c:pt idx="20">
                  <c:v>-0.71794871794871895</c:v>
                </c:pt>
                <c:pt idx="21">
                  <c:v>-1.717948717948719</c:v>
                </c:pt>
                <c:pt idx="22">
                  <c:v>-2.717948717948719</c:v>
                </c:pt>
                <c:pt idx="23">
                  <c:v>-0.71794871794871895</c:v>
                </c:pt>
                <c:pt idx="24">
                  <c:v>-0.71794871794871895</c:v>
                </c:pt>
                <c:pt idx="25">
                  <c:v>-1.717948717948719</c:v>
                </c:pt>
                <c:pt idx="26">
                  <c:v>-0.71794871794871895</c:v>
                </c:pt>
                <c:pt idx="27">
                  <c:v>-2.717948717948719</c:v>
                </c:pt>
                <c:pt idx="28">
                  <c:v>-0.71794871794871895</c:v>
                </c:pt>
                <c:pt idx="29">
                  <c:v>-1.717948717948719</c:v>
                </c:pt>
                <c:pt idx="30">
                  <c:v>-4.717948717948719</c:v>
                </c:pt>
                <c:pt idx="31">
                  <c:v>-1.717948717948719</c:v>
                </c:pt>
                <c:pt idx="32">
                  <c:v>-2.717948717948719</c:v>
                </c:pt>
                <c:pt idx="33">
                  <c:v>-1.717948717948719</c:v>
                </c:pt>
                <c:pt idx="34">
                  <c:v>-1.717948717948719</c:v>
                </c:pt>
                <c:pt idx="35">
                  <c:v>-4.7179487179487172</c:v>
                </c:pt>
                <c:pt idx="36">
                  <c:v>-2.7179487179487172</c:v>
                </c:pt>
                <c:pt idx="37">
                  <c:v>-9.7179487179487172</c:v>
                </c:pt>
              </c:numCache>
            </c:numRef>
          </c:val>
        </c:ser>
        <c:ser>
          <c:idx val="27"/>
          <c:order val="23"/>
          <c:tx>
            <c:strRef>
              <c:f>'39'!$D$25</c:f>
              <c:strCache>
                <c:ptCount val="1"/>
                <c:pt idx="0">
                  <c:v>13</c:v>
                </c:pt>
              </c:strCache>
            </c:strRef>
          </c:tx>
          <c:val>
            <c:numRef>
              <c:f>'39'!$K$63:$AV$63</c:f>
              <c:numCache>
                <c:formatCode>0.00</c:formatCode>
                <c:ptCount val="38"/>
                <c:pt idx="0">
                  <c:v>-3.5641025641025639</c:v>
                </c:pt>
                <c:pt idx="1">
                  <c:v>0.43589743589743613</c:v>
                </c:pt>
                <c:pt idx="2">
                  <c:v>-0.5641025641025641</c:v>
                </c:pt>
                <c:pt idx="3">
                  <c:v>-1.5641025641025641</c:v>
                </c:pt>
                <c:pt idx="4">
                  <c:v>-1.5641025641025639</c:v>
                </c:pt>
                <c:pt idx="5">
                  <c:v>-0.56410256410256387</c:v>
                </c:pt>
                <c:pt idx="6">
                  <c:v>-1.5641025641025639</c:v>
                </c:pt>
                <c:pt idx="7">
                  <c:v>-1.5641025641025639</c:v>
                </c:pt>
                <c:pt idx="8">
                  <c:v>1.4358974358974361</c:v>
                </c:pt>
                <c:pt idx="9">
                  <c:v>-0.56410256410256387</c:v>
                </c:pt>
                <c:pt idx="10">
                  <c:v>0.43589743589743613</c:v>
                </c:pt>
                <c:pt idx="11">
                  <c:v>1.4358974358974361</c:v>
                </c:pt>
                <c:pt idx="12">
                  <c:v>0.4358974358974359</c:v>
                </c:pt>
                <c:pt idx="13">
                  <c:v>1.4358974358974359</c:v>
                </c:pt>
                <c:pt idx="14">
                  <c:v>0.43589743589743613</c:v>
                </c:pt>
                <c:pt idx="15">
                  <c:v>0.43589743589743613</c:v>
                </c:pt>
                <c:pt idx="16">
                  <c:v>-0.56410256410256387</c:v>
                </c:pt>
                <c:pt idx="17">
                  <c:v>1.4358974358974361</c:v>
                </c:pt>
                <c:pt idx="18">
                  <c:v>-0.56410256410256387</c:v>
                </c:pt>
                <c:pt idx="19">
                  <c:v>-0.56410256410256387</c:v>
                </c:pt>
                <c:pt idx="20">
                  <c:v>1.4358974358974361</c:v>
                </c:pt>
                <c:pt idx="21">
                  <c:v>-0.56410256410256387</c:v>
                </c:pt>
                <c:pt idx="22">
                  <c:v>-0.56410256410256387</c:v>
                </c:pt>
                <c:pt idx="23">
                  <c:v>-0.56410256410256387</c:v>
                </c:pt>
                <c:pt idx="24">
                  <c:v>-1.5641025641025639</c:v>
                </c:pt>
                <c:pt idx="25">
                  <c:v>-0.56410256410256387</c:v>
                </c:pt>
                <c:pt idx="26">
                  <c:v>-1.5641025641025639</c:v>
                </c:pt>
                <c:pt idx="27">
                  <c:v>-0.56410256410256387</c:v>
                </c:pt>
                <c:pt idx="28">
                  <c:v>-1.5641025641025639</c:v>
                </c:pt>
                <c:pt idx="29">
                  <c:v>-2.5641025641025639</c:v>
                </c:pt>
                <c:pt idx="30">
                  <c:v>-1.5641025641025639</c:v>
                </c:pt>
                <c:pt idx="31">
                  <c:v>-0.56410256410256387</c:v>
                </c:pt>
                <c:pt idx="32">
                  <c:v>-1.5641025641025639</c:v>
                </c:pt>
                <c:pt idx="33">
                  <c:v>-0.5641025641025641</c:v>
                </c:pt>
                <c:pt idx="34">
                  <c:v>-0.5641025641025641</c:v>
                </c:pt>
                <c:pt idx="35">
                  <c:v>-0.5641025641025641</c:v>
                </c:pt>
                <c:pt idx="36">
                  <c:v>-0.5641025641025641</c:v>
                </c:pt>
                <c:pt idx="37">
                  <c:v>-1.5641025641025641</c:v>
                </c:pt>
              </c:numCache>
            </c:numRef>
          </c:val>
        </c:ser>
        <c:ser>
          <c:idx val="14"/>
          <c:order val="24"/>
          <c:tx>
            <c:strRef>
              <c:f>'39'!$D$26</c:f>
              <c:strCache>
                <c:ptCount val="1"/>
                <c:pt idx="0">
                  <c:v>11</c:v>
                </c:pt>
              </c:strCache>
            </c:strRef>
          </c:tx>
          <c:cat>
            <c:numRef>
              <c:f>'77'!$K$40:$CI$40</c:f>
              <c:numCache>
                <c:formatCode>0.00;[Red]0.00</c:formatCode>
                <c:ptCount val="77"/>
              </c:numCache>
            </c:numRef>
          </c:cat>
          <c:val>
            <c:numRef>
              <c:f>'39'!$K$64:$AV$64</c:f>
              <c:numCache>
                <c:formatCode>0.00</c:formatCode>
                <c:ptCount val="38"/>
                <c:pt idx="0">
                  <c:v>-0.69230769230769229</c:v>
                </c:pt>
                <c:pt idx="1">
                  <c:v>-2.6923076923076925</c:v>
                </c:pt>
                <c:pt idx="2">
                  <c:v>-2.6923076923076925</c:v>
                </c:pt>
                <c:pt idx="3">
                  <c:v>-1.6923076923076925</c:v>
                </c:pt>
                <c:pt idx="4">
                  <c:v>-0.69230769230769251</c:v>
                </c:pt>
                <c:pt idx="5">
                  <c:v>1.3076923076923075</c:v>
                </c:pt>
                <c:pt idx="6">
                  <c:v>1.3076923076923075</c:v>
                </c:pt>
                <c:pt idx="7">
                  <c:v>2.3076923076923075</c:v>
                </c:pt>
                <c:pt idx="8">
                  <c:v>4.3076923076923075</c:v>
                </c:pt>
                <c:pt idx="9">
                  <c:v>6.3076923076923075</c:v>
                </c:pt>
                <c:pt idx="10">
                  <c:v>4.3076923076923084</c:v>
                </c:pt>
                <c:pt idx="11">
                  <c:v>3.3076923076923066</c:v>
                </c:pt>
                <c:pt idx="12">
                  <c:v>5.3076923076923066</c:v>
                </c:pt>
                <c:pt idx="13">
                  <c:v>4.3076923076923066</c:v>
                </c:pt>
                <c:pt idx="14">
                  <c:v>4.3076923076923066</c:v>
                </c:pt>
                <c:pt idx="15">
                  <c:v>0.3076923076923066</c:v>
                </c:pt>
                <c:pt idx="16">
                  <c:v>0.3076923076923066</c:v>
                </c:pt>
                <c:pt idx="17">
                  <c:v>1.3076923076923066</c:v>
                </c:pt>
                <c:pt idx="18">
                  <c:v>-0.6923076923076934</c:v>
                </c:pt>
                <c:pt idx="19">
                  <c:v>-0.6923076923076934</c:v>
                </c:pt>
                <c:pt idx="20">
                  <c:v>-0.6923076923076934</c:v>
                </c:pt>
                <c:pt idx="21">
                  <c:v>-0.6923076923076934</c:v>
                </c:pt>
                <c:pt idx="22">
                  <c:v>-1.6923076923076934</c:v>
                </c:pt>
                <c:pt idx="23">
                  <c:v>0.3076923076923066</c:v>
                </c:pt>
                <c:pt idx="24">
                  <c:v>0.3076923076923066</c:v>
                </c:pt>
                <c:pt idx="25">
                  <c:v>0.3076923076923066</c:v>
                </c:pt>
                <c:pt idx="26">
                  <c:v>0.3076923076923066</c:v>
                </c:pt>
                <c:pt idx="27">
                  <c:v>1.3076923076923066</c:v>
                </c:pt>
                <c:pt idx="28">
                  <c:v>1.3076923076923066</c:v>
                </c:pt>
                <c:pt idx="29">
                  <c:v>-1.6923076923076934</c:v>
                </c:pt>
                <c:pt idx="30">
                  <c:v>-3.6923076923076934</c:v>
                </c:pt>
                <c:pt idx="31">
                  <c:v>-4.6923076923076934</c:v>
                </c:pt>
                <c:pt idx="32">
                  <c:v>-6.6923076923076934</c:v>
                </c:pt>
                <c:pt idx="33">
                  <c:v>-6.6923076923076934</c:v>
                </c:pt>
                <c:pt idx="34">
                  <c:v>-11.692307692307693</c:v>
                </c:pt>
                <c:pt idx="35">
                  <c:v>-5.6923076923076934</c:v>
                </c:pt>
                <c:pt idx="36">
                  <c:v>-4.6923076923076916</c:v>
                </c:pt>
                <c:pt idx="37">
                  <c:v>-10.692307692307692</c:v>
                </c:pt>
              </c:numCache>
            </c:numRef>
          </c:val>
        </c:ser>
        <c:ser>
          <c:idx val="28"/>
          <c:order val="25"/>
          <c:tx>
            <c:strRef>
              <c:f>'39'!$D$27</c:f>
              <c:strCache>
                <c:ptCount val="1"/>
                <c:pt idx="0">
                  <c:v>9</c:v>
                </c:pt>
              </c:strCache>
            </c:strRef>
          </c:tx>
          <c:val>
            <c:numRef>
              <c:f>'39'!$K$65:$AV$65</c:f>
              <c:numCache>
                <c:formatCode>0.00</c:formatCode>
                <c:ptCount val="38"/>
                <c:pt idx="0">
                  <c:v>-3.5641025641025639</c:v>
                </c:pt>
                <c:pt idx="1">
                  <c:v>0.43589743589743613</c:v>
                </c:pt>
                <c:pt idx="2">
                  <c:v>-0.5641025641025641</c:v>
                </c:pt>
                <c:pt idx="3">
                  <c:v>-1.5641025641025641</c:v>
                </c:pt>
                <c:pt idx="4">
                  <c:v>-1.5641025641025639</c:v>
                </c:pt>
                <c:pt idx="5">
                  <c:v>-0.56410256410256387</c:v>
                </c:pt>
                <c:pt idx="6">
                  <c:v>-1.5641025641025639</c:v>
                </c:pt>
                <c:pt idx="7">
                  <c:v>-1.5641025641025639</c:v>
                </c:pt>
                <c:pt idx="8">
                  <c:v>1.4358974358974361</c:v>
                </c:pt>
                <c:pt idx="9">
                  <c:v>-0.56410256410256387</c:v>
                </c:pt>
                <c:pt idx="10">
                  <c:v>0.43589743589743613</c:v>
                </c:pt>
                <c:pt idx="11">
                  <c:v>1.4358974358974361</c:v>
                </c:pt>
                <c:pt idx="12">
                  <c:v>0.4358974358974359</c:v>
                </c:pt>
                <c:pt idx="13">
                  <c:v>1.4358974358974359</c:v>
                </c:pt>
                <c:pt idx="14">
                  <c:v>0.43589743589743613</c:v>
                </c:pt>
                <c:pt idx="15">
                  <c:v>0.43589743589743613</c:v>
                </c:pt>
                <c:pt idx="16">
                  <c:v>-0.56410256410256387</c:v>
                </c:pt>
                <c:pt idx="17">
                  <c:v>1.4358974358974361</c:v>
                </c:pt>
                <c:pt idx="18">
                  <c:v>-0.56410256410256387</c:v>
                </c:pt>
                <c:pt idx="19">
                  <c:v>-0.56410256410256387</c:v>
                </c:pt>
                <c:pt idx="20">
                  <c:v>1.4358974358974361</c:v>
                </c:pt>
                <c:pt idx="21">
                  <c:v>-0.56410256410256387</c:v>
                </c:pt>
                <c:pt idx="22">
                  <c:v>-0.56410256410256387</c:v>
                </c:pt>
                <c:pt idx="23">
                  <c:v>-0.56410256410256387</c:v>
                </c:pt>
                <c:pt idx="24">
                  <c:v>-1.5641025641025639</c:v>
                </c:pt>
                <c:pt idx="25">
                  <c:v>-0.56410256410256387</c:v>
                </c:pt>
                <c:pt idx="26">
                  <c:v>-1.5641025641025639</c:v>
                </c:pt>
                <c:pt idx="27">
                  <c:v>-0.56410256410256387</c:v>
                </c:pt>
                <c:pt idx="28">
                  <c:v>-1.5641025641025639</c:v>
                </c:pt>
                <c:pt idx="29">
                  <c:v>-2.5641025641025639</c:v>
                </c:pt>
                <c:pt idx="30">
                  <c:v>-1.5641025641025639</c:v>
                </c:pt>
                <c:pt idx="31">
                  <c:v>-0.56410256410256387</c:v>
                </c:pt>
                <c:pt idx="32">
                  <c:v>-1.5641025641025639</c:v>
                </c:pt>
                <c:pt idx="33">
                  <c:v>-0.5641025641025641</c:v>
                </c:pt>
                <c:pt idx="34">
                  <c:v>-0.5641025641025641</c:v>
                </c:pt>
                <c:pt idx="35">
                  <c:v>-0.5641025641025641</c:v>
                </c:pt>
                <c:pt idx="36">
                  <c:v>-0.5641025641025641</c:v>
                </c:pt>
                <c:pt idx="37">
                  <c:v>-1.5641025641025641</c:v>
                </c:pt>
              </c:numCache>
            </c:numRef>
          </c:val>
        </c:ser>
        <c:ser>
          <c:idx val="15"/>
          <c:order val="26"/>
          <c:tx>
            <c:strRef>
              <c:f>'39'!$D$28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'77'!$K$40:$CI$40</c:f>
              <c:numCache>
                <c:formatCode>0.00;[Red]0.00</c:formatCode>
                <c:ptCount val="77"/>
              </c:numCache>
            </c:numRef>
          </c:cat>
          <c:val>
            <c:numRef>
              <c:f>'39'!$K$66:$AV$66</c:f>
              <c:numCache>
                <c:formatCode>0.00</c:formatCode>
                <c:ptCount val="38"/>
                <c:pt idx="0">
                  <c:v>0.23076923076923075</c:v>
                </c:pt>
                <c:pt idx="1">
                  <c:v>1.2307692307692308</c:v>
                </c:pt>
                <c:pt idx="2">
                  <c:v>1.2307692307692308</c:v>
                </c:pt>
                <c:pt idx="3">
                  <c:v>2.2307692307692308</c:v>
                </c:pt>
                <c:pt idx="4">
                  <c:v>3.2307692307692308</c:v>
                </c:pt>
                <c:pt idx="5">
                  <c:v>3.2307692307692308</c:v>
                </c:pt>
                <c:pt idx="6">
                  <c:v>4.2307692307692299</c:v>
                </c:pt>
                <c:pt idx="7">
                  <c:v>5.2307692307692299</c:v>
                </c:pt>
                <c:pt idx="8">
                  <c:v>6.2307692307692299</c:v>
                </c:pt>
                <c:pt idx="9">
                  <c:v>6.2307692307692299</c:v>
                </c:pt>
                <c:pt idx="10">
                  <c:v>7.2307692307692299</c:v>
                </c:pt>
                <c:pt idx="11">
                  <c:v>6.2307692307692335</c:v>
                </c:pt>
                <c:pt idx="12">
                  <c:v>7.2307692307692335</c:v>
                </c:pt>
                <c:pt idx="13">
                  <c:v>6.2307692307692335</c:v>
                </c:pt>
                <c:pt idx="14">
                  <c:v>6.2307692307692335</c:v>
                </c:pt>
                <c:pt idx="15">
                  <c:v>2.2307692307692335</c:v>
                </c:pt>
                <c:pt idx="16">
                  <c:v>3.2307692307692264</c:v>
                </c:pt>
                <c:pt idx="17">
                  <c:v>3.2307692307692264</c:v>
                </c:pt>
                <c:pt idx="18">
                  <c:v>-0.7692307692307736</c:v>
                </c:pt>
                <c:pt idx="19">
                  <c:v>1.2307692307692264</c:v>
                </c:pt>
                <c:pt idx="20">
                  <c:v>1.2307692307692264</c:v>
                </c:pt>
                <c:pt idx="21">
                  <c:v>-0.7692307692307736</c:v>
                </c:pt>
                <c:pt idx="22">
                  <c:v>-1.7692307692307736</c:v>
                </c:pt>
                <c:pt idx="23">
                  <c:v>-1.7692307692307736</c:v>
                </c:pt>
                <c:pt idx="24">
                  <c:v>-1.7692307692307736</c:v>
                </c:pt>
                <c:pt idx="25">
                  <c:v>-1.7692307692307736</c:v>
                </c:pt>
                <c:pt idx="26">
                  <c:v>-0.7692307692307665</c:v>
                </c:pt>
                <c:pt idx="27">
                  <c:v>-0.7692307692307665</c:v>
                </c:pt>
                <c:pt idx="28">
                  <c:v>-1.7692307692307665</c:v>
                </c:pt>
                <c:pt idx="29">
                  <c:v>-2.7692307692307665</c:v>
                </c:pt>
                <c:pt idx="30">
                  <c:v>-5.7692307692307665</c:v>
                </c:pt>
                <c:pt idx="31">
                  <c:v>-5.7692307692307665</c:v>
                </c:pt>
                <c:pt idx="32">
                  <c:v>-7.7692307692307665</c:v>
                </c:pt>
                <c:pt idx="33">
                  <c:v>-7.7692307692307665</c:v>
                </c:pt>
                <c:pt idx="34">
                  <c:v>-8.7692307692307701</c:v>
                </c:pt>
                <c:pt idx="35">
                  <c:v>-5.7692307692307701</c:v>
                </c:pt>
                <c:pt idx="36">
                  <c:v>-5.7692307692307701</c:v>
                </c:pt>
                <c:pt idx="37">
                  <c:v>-6.7692307692307692</c:v>
                </c:pt>
              </c:numCache>
            </c:numRef>
          </c:val>
        </c:ser>
        <c:ser>
          <c:idx val="29"/>
          <c:order val="27"/>
          <c:tx>
            <c:strRef>
              <c:f>'39'!$D$29</c:f>
              <c:strCache>
                <c:ptCount val="1"/>
                <c:pt idx="0">
                  <c:v>5</c:v>
                </c:pt>
              </c:strCache>
            </c:strRef>
          </c:tx>
          <c:val>
            <c:numRef>
              <c:f>'39'!$K$67:$AV$67</c:f>
              <c:numCache>
                <c:formatCode>0.00</c:formatCode>
                <c:ptCount val="38"/>
                <c:pt idx="0">
                  <c:v>-3.5641025641025639</c:v>
                </c:pt>
                <c:pt idx="1">
                  <c:v>0.43589743589743613</c:v>
                </c:pt>
                <c:pt idx="2">
                  <c:v>-0.5641025641025641</c:v>
                </c:pt>
                <c:pt idx="3">
                  <c:v>-1.5641025641025641</c:v>
                </c:pt>
                <c:pt idx="4">
                  <c:v>-1.5641025641025639</c:v>
                </c:pt>
                <c:pt idx="5">
                  <c:v>-0.56410256410256387</c:v>
                </c:pt>
                <c:pt idx="6">
                  <c:v>-1.5641025641025639</c:v>
                </c:pt>
                <c:pt idx="7">
                  <c:v>-1.5641025641025639</c:v>
                </c:pt>
                <c:pt idx="8">
                  <c:v>1.4358974358974361</c:v>
                </c:pt>
                <c:pt idx="9">
                  <c:v>-0.56410256410256387</c:v>
                </c:pt>
                <c:pt idx="10">
                  <c:v>0.43589743589743613</c:v>
                </c:pt>
                <c:pt idx="11">
                  <c:v>1.4358974358974361</c:v>
                </c:pt>
                <c:pt idx="12">
                  <c:v>0.4358974358974359</c:v>
                </c:pt>
                <c:pt idx="13">
                  <c:v>1.4358974358974359</c:v>
                </c:pt>
                <c:pt idx="14">
                  <c:v>0.43589743589743613</c:v>
                </c:pt>
                <c:pt idx="15">
                  <c:v>0.43589743589743613</c:v>
                </c:pt>
                <c:pt idx="16">
                  <c:v>-0.56410256410256387</c:v>
                </c:pt>
                <c:pt idx="17">
                  <c:v>1.4358974358974361</c:v>
                </c:pt>
                <c:pt idx="18">
                  <c:v>-0.56410256410256387</c:v>
                </c:pt>
                <c:pt idx="19">
                  <c:v>-0.56410256410256387</c:v>
                </c:pt>
                <c:pt idx="20">
                  <c:v>1.4358974358974361</c:v>
                </c:pt>
                <c:pt idx="21">
                  <c:v>-0.56410256410256387</c:v>
                </c:pt>
                <c:pt idx="22">
                  <c:v>-0.56410256410256387</c:v>
                </c:pt>
                <c:pt idx="23">
                  <c:v>-0.56410256410256387</c:v>
                </c:pt>
                <c:pt idx="24">
                  <c:v>-1.5641025641025639</c:v>
                </c:pt>
                <c:pt idx="25">
                  <c:v>-0.56410256410256387</c:v>
                </c:pt>
                <c:pt idx="26">
                  <c:v>-1.5641025641025639</c:v>
                </c:pt>
                <c:pt idx="27">
                  <c:v>-0.56410256410256387</c:v>
                </c:pt>
                <c:pt idx="28">
                  <c:v>-1.5641025641025639</c:v>
                </c:pt>
                <c:pt idx="29">
                  <c:v>-2.5641025641025639</c:v>
                </c:pt>
                <c:pt idx="30">
                  <c:v>-1.5641025641025639</c:v>
                </c:pt>
                <c:pt idx="31">
                  <c:v>-0.56410256410256387</c:v>
                </c:pt>
                <c:pt idx="32">
                  <c:v>-1.5641025641025639</c:v>
                </c:pt>
                <c:pt idx="33">
                  <c:v>-0.5641025641025641</c:v>
                </c:pt>
                <c:pt idx="34">
                  <c:v>-0.5641025641025641</c:v>
                </c:pt>
                <c:pt idx="35">
                  <c:v>-0.5641025641025641</c:v>
                </c:pt>
                <c:pt idx="36">
                  <c:v>-0.5641025641025641</c:v>
                </c:pt>
                <c:pt idx="37">
                  <c:v>-1.5641025641025641</c:v>
                </c:pt>
              </c:numCache>
            </c:numRef>
          </c:val>
        </c:ser>
        <c:ser>
          <c:idx val="16"/>
          <c:order val="28"/>
          <c:tx>
            <c:strRef>
              <c:f>'39'!$D$30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'77'!$K$40:$CI$40</c:f>
              <c:numCache>
                <c:formatCode>0.00;[Red]0.00</c:formatCode>
                <c:ptCount val="77"/>
              </c:numCache>
            </c:numRef>
          </c:cat>
          <c:val>
            <c:numRef>
              <c:f>'39'!$K$68:$AV$68</c:f>
              <c:numCache>
                <c:formatCode>0.00</c:formatCode>
                <c:ptCount val="38"/>
                <c:pt idx="0">
                  <c:v>2.564102564102564E-2</c:v>
                </c:pt>
                <c:pt idx="1">
                  <c:v>2.564102564102564E-2</c:v>
                </c:pt>
                <c:pt idx="2">
                  <c:v>1.0256410256410255</c:v>
                </c:pt>
                <c:pt idx="3">
                  <c:v>1.0256410256410255</c:v>
                </c:pt>
                <c:pt idx="4">
                  <c:v>2.564102564102555E-2</c:v>
                </c:pt>
                <c:pt idx="5">
                  <c:v>3.0256410256410255</c:v>
                </c:pt>
                <c:pt idx="6">
                  <c:v>1.0256410256410255</c:v>
                </c:pt>
                <c:pt idx="7">
                  <c:v>2.0256410256410255</c:v>
                </c:pt>
                <c:pt idx="8">
                  <c:v>4.0256410256410255</c:v>
                </c:pt>
                <c:pt idx="9">
                  <c:v>2.0256410256410255</c:v>
                </c:pt>
                <c:pt idx="10">
                  <c:v>3.0256410256410255</c:v>
                </c:pt>
                <c:pt idx="11">
                  <c:v>3.0256410256410255</c:v>
                </c:pt>
                <c:pt idx="12">
                  <c:v>4.0256410256410255</c:v>
                </c:pt>
                <c:pt idx="13">
                  <c:v>4.0256410256410255</c:v>
                </c:pt>
                <c:pt idx="14">
                  <c:v>3.0256410256410255</c:v>
                </c:pt>
                <c:pt idx="15">
                  <c:v>3.0256410256410255</c:v>
                </c:pt>
                <c:pt idx="16">
                  <c:v>2.0256410256410291</c:v>
                </c:pt>
                <c:pt idx="17">
                  <c:v>2.0256410256410291</c:v>
                </c:pt>
                <c:pt idx="18">
                  <c:v>1.0256410256410291</c:v>
                </c:pt>
                <c:pt idx="19">
                  <c:v>1.0256410256410291</c:v>
                </c:pt>
                <c:pt idx="20">
                  <c:v>1.0256410256410291</c:v>
                </c:pt>
                <c:pt idx="21">
                  <c:v>-0.9743589743589709</c:v>
                </c:pt>
                <c:pt idx="22">
                  <c:v>-0.9743589743589709</c:v>
                </c:pt>
                <c:pt idx="23">
                  <c:v>-0.9743589743589709</c:v>
                </c:pt>
                <c:pt idx="24">
                  <c:v>-2.9743589743589709</c:v>
                </c:pt>
                <c:pt idx="25">
                  <c:v>-1.9743589743589709</c:v>
                </c:pt>
                <c:pt idx="26">
                  <c:v>-1.9743589743589709</c:v>
                </c:pt>
                <c:pt idx="27">
                  <c:v>-1.9743589743589745</c:v>
                </c:pt>
                <c:pt idx="28">
                  <c:v>-1.9743589743589745</c:v>
                </c:pt>
                <c:pt idx="29">
                  <c:v>-2.9743589743589745</c:v>
                </c:pt>
                <c:pt idx="30">
                  <c:v>-2.9743589743589745</c:v>
                </c:pt>
                <c:pt idx="31">
                  <c:v>-1.9743589743589745</c:v>
                </c:pt>
                <c:pt idx="32">
                  <c:v>-3.9743589743589745</c:v>
                </c:pt>
                <c:pt idx="33">
                  <c:v>-2.9743589743589745</c:v>
                </c:pt>
                <c:pt idx="34">
                  <c:v>-4.9743589743589745</c:v>
                </c:pt>
                <c:pt idx="35">
                  <c:v>-1.9743589743589745</c:v>
                </c:pt>
                <c:pt idx="36">
                  <c:v>-1.9743589743589745</c:v>
                </c:pt>
                <c:pt idx="37">
                  <c:v>-2.9743589743589745</c:v>
                </c:pt>
              </c:numCache>
            </c:numRef>
          </c:val>
        </c:ser>
        <c:ser>
          <c:idx val="17"/>
          <c:order val="29"/>
          <c:tx>
            <c:strRef>
              <c:f>'39'!$D$31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'77'!$K$40:$CI$40</c:f>
              <c:numCache>
                <c:formatCode>0.00;[Red]0.00</c:formatCode>
                <c:ptCount val="77"/>
              </c:numCache>
            </c:numRef>
          </c:cat>
          <c:val>
            <c:numRef>
              <c:f>'39'!$K$69:$AV$69</c:f>
              <c:numCache>
                <c:formatCode>0.00</c:formatCode>
                <c:ptCount val="38"/>
                <c:pt idx="0">
                  <c:v>-2.2307692307692308</c:v>
                </c:pt>
                <c:pt idx="1">
                  <c:v>-0.23076923076923084</c:v>
                </c:pt>
                <c:pt idx="2">
                  <c:v>-1.2307692307692308</c:v>
                </c:pt>
                <c:pt idx="3">
                  <c:v>-2.2307692307692308</c:v>
                </c:pt>
                <c:pt idx="4">
                  <c:v>-2.2307692307692299</c:v>
                </c:pt>
                <c:pt idx="5">
                  <c:v>0.76923076923077005</c:v>
                </c:pt>
                <c:pt idx="6">
                  <c:v>-0.23076923076922995</c:v>
                </c:pt>
                <c:pt idx="7">
                  <c:v>0.76923076923077005</c:v>
                </c:pt>
                <c:pt idx="8">
                  <c:v>2.7692307692307701</c:v>
                </c:pt>
                <c:pt idx="9">
                  <c:v>2.7692307692307701</c:v>
                </c:pt>
                <c:pt idx="10">
                  <c:v>4.7692307692307701</c:v>
                </c:pt>
                <c:pt idx="11">
                  <c:v>3.7692307692307692</c:v>
                </c:pt>
                <c:pt idx="12">
                  <c:v>5.7692307692307692</c:v>
                </c:pt>
                <c:pt idx="13">
                  <c:v>7.7692307692307692</c:v>
                </c:pt>
                <c:pt idx="14">
                  <c:v>6.7692307692307701</c:v>
                </c:pt>
                <c:pt idx="15">
                  <c:v>5.7692307692307701</c:v>
                </c:pt>
                <c:pt idx="16">
                  <c:v>7.7692307692307701</c:v>
                </c:pt>
                <c:pt idx="17">
                  <c:v>5.7692307692307701</c:v>
                </c:pt>
                <c:pt idx="18">
                  <c:v>2.7692307692307665</c:v>
                </c:pt>
                <c:pt idx="19">
                  <c:v>2.7692307692307665</c:v>
                </c:pt>
                <c:pt idx="20">
                  <c:v>1.7692307692307665</c:v>
                </c:pt>
                <c:pt idx="21">
                  <c:v>1.7692307692307665</c:v>
                </c:pt>
                <c:pt idx="22">
                  <c:v>-0.2307692307692335</c:v>
                </c:pt>
                <c:pt idx="23">
                  <c:v>-0.2307692307692335</c:v>
                </c:pt>
                <c:pt idx="24">
                  <c:v>0.7692307692307665</c:v>
                </c:pt>
                <c:pt idx="25">
                  <c:v>-2.2307692307692335</c:v>
                </c:pt>
                <c:pt idx="26">
                  <c:v>-0.2307692307692335</c:v>
                </c:pt>
                <c:pt idx="27">
                  <c:v>-3.2307692307692335</c:v>
                </c:pt>
                <c:pt idx="28">
                  <c:v>-1.2307692307692299</c:v>
                </c:pt>
                <c:pt idx="29">
                  <c:v>-1.2307692307692299</c:v>
                </c:pt>
                <c:pt idx="30">
                  <c:v>-3.2307692307692299</c:v>
                </c:pt>
                <c:pt idx="31">
                  <c:v>-1.2307692307692299</c:v>
                </c:pt>
                <c:pt idx="32">
                  <c:v>-1.2307692307692299</c:v>
                </c:pt>
                <c:pt idx="33">
                  <c:v>-2.2307692307692299</c:v>
                </c:pt>
                <c:pt idx="34">
                  <c:v>-3.2307692307692299</c:v>
                </c:pt>
                <c:pt idx="35">
                  <c:v>-1.2307692307692299</c:v>
                </c:pt>
                <c:pt idx="36">
                  <c:v>-0.23076923076923084</c:v>
                </c:pt>
                <c:pt idx="37">
                  <c:v>-6.2307692307692308</c:v>
                </c:pt>
              </c:numCache>
            </c:numRef>
          </c:val>
        </c:ser>
        <c:bandFmts>
          <c:bandFmt>
            <c:idx val="0"/>
            <c:spPr>
              <a:solidFill>
                <a:srgbClr val="6F0508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1"/>
            <c:spPr>
              <a:solidFill>
                <a:srgbClr val="6F0508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2"/>
            <c:spPr>
              <a:solidFill>
                <a:srgbClr val="6F0508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3"/>
            <c:spPr>
              <a:solidFill>
                <a:srgbClr val="6F0508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4"/>
            <c:spPr>
              <a:solidFill>
                <a:srgbClr val="6F0508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5"/>
            <c:spPr>
              <a:solidFill>
                <a:srgbClr val="6F0508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6"/>
            <c:spPr>
              <a:solidFill>
                <a:srgbClr val="6F0508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7"/>
            <c:spPr>
              <a:solidFill>
                <a:srgbClr val="6F0508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8"/>
            <c:spPr>
              <a:solidFill>
                <a:srgbClr val="6F0508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9"/>
            <c:spPr>
              <a:solidFill>
                <a:srgbClr val="6F0508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10"/>
            <c:spPr>
              <a:solidFill>
                <a:srgbClr val="500000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11"/>
            <c:spPr>
              <a:solidFill>
                <a:srgbClr val="8A0000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12"/>
            <c:spPr>
              <a:solidFill>
                <a:srgbClr val="FF0000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13"/>
            <c:spPr>
              <a:solidFill>
                <a:srgbClr val="FF0000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14"/>
            <c:spPr>
              <a:solidFill>
                <a:srgbClr val="FF0000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15"/>
            <c:spPr>
              <a:solidFill>
                <a:srgbClr val="FF0000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16"/>
            <c:spPr>
              <a:solidFill>
                <a:srgbClr val="FFC000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17"/>
            <c:spPr>
              <a:solidFill>
                <a:srgbClr val="FFC000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18"/>
            <c:spPr>
              <a:solidFill>
                <a:srgbClr val="FFC000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19"/>
            <c:spPr>
              <a:solidFill>
                <a:srgbClr val="00B050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20"/>
            <c:spPr>
              <a:solidFill>
                <a:srgbClr val="00B050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21"/>
            <c:spPr>
              <a:solidFill>
                <a:srgbClr val="00B0F0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22"/>
            <c:spPr>
              <a:solidFill>
                <a:srgbClr val="00B0F0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23"/>
            <c:spPr>
              <a:solidFill>
                <a:srgbClr val="00B0F0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24"/>
            <c:spPr>
              <a:solidFill>
                <a:srgbClr val="0070C0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25"/>
            <c:spPr>
              <a:solidFill>
                <a:srgbClr val="0070C0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26"/>
            <c:spPr>
              <a:solidFill>
                <a:srgbClr val="0070C0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27"/>
            <c:spPr>
              <a:solidFill>
                <a:srgbClr val="0070C0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28"/>
            <c:spPr>
              <a:solidFill>
                <a:srgbClr val="002060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29"/>
            <c:spPr>
              <a:solidFill>
                <a:srgbClr val="002060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30"/>
            <c:spPr>
              <a:solidFill>
                <a:srgbClr val="002060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31"/>
            <c:spPr>
              <a:solidFill>
                <a:srgbClr val="002060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32"/>
            <c:spPr>
              <a:solidFill>
                <a:srgbClr val="002060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33"/>
            <c:spPr>
              <a:solidFill>
                <a:srgbClr val="002060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34"/>
            <c:spPr>
              <a:solidFill>
                <a:srgbClr val="002060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35"/>
            <c:spPr>
              <a:solidFill>
                <a:srgbClr val="002060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36"/>
            <c:spPr>
              <a:solidFill>
                <a:srgbClr val="002060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37"/>
            <c:spPr>
              <a:solidFill>
                <a:srgbClr val="002060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38"/>
            <c:spPr>
              <a:solidFill>
                <a:srgbClr val="002060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  <c:bandFmt>
            <c:idx val="39"/>
            <c:spPr>
              <a:solidFill>
                <a:srgbClr val="002060"/>
              </a:solidFill>
              <a:scene3d>
                <a:camera prst="orthographicFront"/>
                <a:lightRig rig="threePt" dir="t"/>
              </a:scene3d>
              <a:sp3d prstMaterial="flat"/>
            </c:spPr>
          </c:bandFmt>
        </c:bandFmts>
        <c:axId val="134533888"/>
        <c:axId val="134535424"/>
        <c:axId val="134079360"/>
      </c:surfaceChart>
      <c:catAx>
        <c:axId val="134533888"/>
        <c:scaling>
          <c:orientation val="minMax"/>
        </c:scaling>
        <c:axPos val="b"/>
        <c:minorGridlines/>
        <c:numFmt formatCode="General" sourceLinked="0"/>
        <c:majorTickMark val="in"/>
        <c:tickLblPos val="low"/>
        <c:spPr>
          <a:ln>
            <a:solidFill>
              <a:schemeClr val="tx1"/>
            </a:solidFill>
          </a:ln>
        </c:spPr>
        <c:txPr>
          <a:bodyPr rot="2700000" vert="horz"/>
          <a:lstStyle/>
          <a:p>
            <a:pPr>
              <a:defRPr/>
            </a:pPr>
            <a:endParaRPr lang="en-US"/>
          </a:p>
        </c:txPr>
        <c:crossAx val="134535424"/>
        <c:crosses val="autoZero"/>
        <c:auto val="1"/>
        <c:lblAlgn val="ctr"/>
        <c:lblOffset val="100"/>
        <c:tickLblSkip val="2"/>
        <c:tickMarkSkip val="1"/>
      </c:catAx>
      <c:valAx>
        <c:axId val="134535424"/>
        <c:scaling>
          <c:orientation val="minMax"/>
          <c:max val="10"/>
          <c:min val="-10"/>
        </c:scaling>
        <c:axPos val="l"/>
        <c:majorGridlines/>
        <c:numFmt formatCode="0.00" sourceLinked="1"/>
        <c:tickLblPos val="none"/>
        <c:crossAx val="134533888"/>
        <c:crosses val="autoZero"/>
        <c:crossBetween val="midCat"/>
        <c:majorUnit val="0.5"/>
        <c:minorUnit val="0.5"/>
      </c:valAx>
      <c:serAx>
        <c:axId val="134079360"/>
        <c:scaling>
          <c:orientation val="maxMin"/>
        </c:scaling>
        <c:axPos val="b"/>
        <c:tickLblPos val="nextTo"/>
        <c:crossAx val="134535424"/>
        <c:crosses val="autoZero"/>
        <c:tickLblSkip val="1"/>
      </c:serAx>
      <c:spPr>
        <a:solidFill>
          <a:schemeClr val="bg1"/>
        </a:solidFill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 rtl="0">
              <a:defRPr/>
            </a:pPr>
            <a:endParaRPr lang="en-US"/>
          </a:p>
        </c:txPr>
      </c:legendEntry>
      <c:legendEntry>
        <c:idx val="1"/>
        <c:txPr>
          <a:bodyPr/>
          <a:lstStyle/>
          <a:p>
            <a:pPr rtl="0">
              <a:defRPr/>
            </a:pPr>
            <a:endParaRPr lang="en-US"/>
          </a:p>
        </c:txPr>
      </c:legendEntry>
      <c:legendEntry>
        <c:idx val="2"/>
        <c:txPr>
          <a:bodyPr/>
          <a:lstStyle/>
          <a:p>
            <a:pPr rtl="0">
              <a:defRPr/>
            </a:pPr>
            <a:endParaRPr lang="en-US"/>
          </a:p>
        </c:txPr>
      </c:legendEntry>
      <c:legendEntry>
        <c:idx val="3"/>
        <c:txPr>
          <a:bodyPr/>
          <a:lstStyle/>
          <a:p>
            <a:pPr rtl="0">
              <a:defRPr/>
            </a:pPr>
            <a:endParaRPr lang="en-US"/>
          </a:p>
        </c:txPr>
      </c:legendEntry>
      <c:legendEntry>
        <c:idx val="4"/>
        <c:txPr>
          <a:bodyPr/>
          <a:lstStyle/>
          <a:p>
            <a:pPr rtl="0">
              <a:defRPr/>
            </a:pPr>
            <a:endParaRPr lang="en-US"/>
          </a:p>
        </c:txPr>
      </c:legendEntry>
      <c:legendEntry>
        <c:idx val="5"/>
        <c:txPr>
          <a:bodyPr/>
          <a:lstStyle/>
          <a:p>
            <a:pPr rtl="0">
              <a:defRPr/>
            </a:pPr>
            <a:endParaRPr lang="en-US"/>
          </a:p>
        </c:txPr>
      </c:legendEntry>
      <c:legendEntry>
        <c:idx val="6"/>
        <c:txPr>
          <a:bodyPr/>
          <a:lstStyle/>
          <a:p>
            <a:pPr rtl="0">
              <a:defRPr/>
            </a:pPr>
            <a:endParaRPr lang="en-US"/>
          </a:p>
        </c:txPr>
      </c:legendEntry>
      <c:legendEntry>
        <c:idx val="7"/>
        <c:txPr>
          <a:bodyPr/>
          <a:lstStyle/>
          <a:p>
            <a:pPr rtl="0">
              <a:defRPr/>
            </a:pPr>
            <a:endParaRPr lang="en-US"/>
          </a:p>
        </c:txPr>
      </c:legendEntry>
      <c:legendEntry>
        <c:idx val="8"/>
        <c:txPr>
          <a:bodyPr/>
          <a:lstStyle/>
          <a:p>
            <a:pPr rtl="0">
              <a:defRPr/>
            </a:pPr>
            <a:endParaRPr lang="en-US"/>
          </a:p>
        </c:txPr>
      </c:legendEntry>
      <c:legendEntry>
        <c:idx val="9"/>
        <c:txPr>
          <a:bodyPr/>
          <a:lstStyle/>
          <a:p>
            <a:pPr rtl="0">
              <a:defRPr/>
            </a:pPr>
            <a:endParaRPr lang="en-US"/>
          </a:p>
        </c:txPr>
      </c:legendEntry>
      <c:legendEntry>
        <c:idx val="10"/>
        <c:txPr>
          <a:bodyPr/>
          <a:lstStyle/>
          <a:p>
            <a:pPr rtl="0">
              <a:defRPr/>
            </a:pPr>
            <a:endParaRPr lang="en-US"/>
          </a:p>
        </c:txPr>
      </c:legendEntry>
      <c:legendEntry>
        <c:idx val="11"/>
        <c:txPr>
          <a:bodyPr/>
          <a:lstStyle/>
          <a:p>
            <a:pPr rtl="0">
              <a:defRPr/>
            </a:pPr>
            <a:endParaRPr lang="en-US"/>
          </a:p>
        </c:txPr>
      </c:legendEntry>
      <c:legendEntry>
        <c:idx val="12"/>
        <c:txPr>
          <a:bodyPr/>
          <a:lstStyle/>
          <a:p>
            <a:pPr rtl="0">
              <a:defRPr/>
            </a:pPr>
            <a:endParaRPr lang="en-US"/>
          </a:p>
        </c:txPr>
      </c:legendEntry>
      <c:legendEntry>
        <c:idx val="13"/>
        <c:txPr>
          <a:bodyPr/>
          <a:lstStyle/>
          <a:p>
            <a:pPr rtl="0">
              <a:defRPr/>
            </a:pPr>
            <a:endParaRPr lang="en-US"/>
          </a:p>
        </c:txPr>
      </c:legendEntry>
      <c:legendEntry>
        <c:idx val="14"/>
        <c:txPr>
          <a:bodyPr/>
          <a:lstStyle/>
          <a:p>
            <a:pPr rtl="0">
              <a:defRPr/>
            </a:pPr>
            <a:endParaRPr lang="en-US"/>
          </a:p>
        </c:txPr>
      </c:legendEntry>
      <c:legendEntry>
        <c:idx val="15"/>
        <c:txPr>
          <a:bodyPr/>
          <a:lstStyle/>
          <a:p>
            <a:pPr rtl="0">
              <a:defRPr/>
            </a:pPr>
            <a:endParaRPr lang="en-US"/>
          </a:p>
        </c:txPr>
      </c:legendEntry>
      <c:legendEntry>
        <c:idx val="16"/>
        <c:txPr>
          <a:bodyPr/>
          <a:lstStyle/>
          <a:p>
            <a:pPr rtl="0">
              <a:defRPr/>
            </a:pPr>
            <a:endParaRPr lang="en-US"/>
          </a:p>
        </c:txPr>
      </c:legendEntry>
      <c:legendEntry>
        <c:idx val="17"/>
        <c:txPr>
          <a:bodyPr/>
          <a:lstStyle/>
          <a:p>
            <a:pPr rtl="0">
              <a:defRPr/>
            </a:pPr>
            <a:endParaRPr lang="en-US"/>
          </a:p>
        </c:txPr>
      </c:legendEntry>
      <c:legendEntry>
        <c:idx val="18"/>
        <c:txPr>
          <a:bodyPr/>
          <a:lstStyle/>
          <a:p>
            <a:pPr rtl="0">
              <a:defRPr/>
            </a:pPr>
            <a:endParaRPr lang="en-US"/>
          </a:p>
        </c:txPr>
      </c:legendEntry>
      <c:legendEntry>
        <c:idx val="19"/>
        <c:txPr>
          <a:bodyPr/>
          <a:lstStyle/>
          <a:p>
            <a:pPr rtl="0">
              <a:defRPr/>
            </a:pPr>
            <a:endParaRPr lang="en-US"/>
          </a:p>
        </c:txPr>
      </c:legendEntry>
      <c:legendEntry>
        <c:idx val="20"/>
        <c:txPr>
          <a:bodyPr/>
          <a:lstStyle/>
          <a:p>
            <a:pPr rtl="0">
              <a:defRPr/>
            </a:pPr>
            <a:endParaRPr lang="en-US"/>
          </a:p>
        </c:txPr>
      </c:legendEntry>
      <c:legendEntry>
        <c:idx val="21"/>
        <c:txPr>
          <a:bodyPr/>
          <a:lstStyle/>
          <a:p>
            <a:pPr rtl="0">
              <a:defRPr/>
            </a:pPr>
            <a:endParaRPr lang="en-US"/>
          </a:p>
        </c:txPr>
      </c:legendEntry>
      <c:legendEntry>
        <c:idx val="22"/>
        <c:txPr>
          <a:bodyPr/>
          <a:lstStyle/>
          <a:p>
            <a:pPr rtl="0">
              <a:defRPr/>
            </a:pPr>
            <a:endParaRPr lang="en-US"/>
          </a:p>
        </c:txPr>
      </c:legendEntry>
      <c:legendEntry>
        <c:idx val="23"/>
        <c:txPr>
          <a:bodyPr/>
          <a:lstStyle/>
          <a:p>
            <a:pPr rtl="0">
              <a:defRPr/>
            </a:pPr>
            <a:endParaRPr lang="en-US"/>
          </a:p>
        </c:txPr>
      </c:legendEntry>
      <c:legendEntry>
        <c:idx val="24"/>
        <c:txPr>
          <a:bodyPr/>
          <a:lstStyle/>
          <a:p>
            <a:pPr rtl="0">
              <a:defRPr/>
            </a:pPr>
            <a:endParaRPr lang="en-US"/>
          </a:p>
        </c:txPr>
      </c:legendEntry>
      <c:legendEntry>
        <c:idx val="25"/>
        <c:txPr>
          <a:bodyPr/>
          <a:lstStyle/>
          <a:p>
            <a:pPr rtl="0">
              <a:defRPr/>
            </a:pPr>
            <a:endParaRPr lang="en-US"/>
          </a:p>
        </c:txPr>
      </c:legendEntry>
      <c:legendEntry>
        <c:idx val="26"/>
        <c:txPr>
          <a:bodyPr/>
          <a:lstStyle/>
          <a:p>
            <a:pPr rtl="0">
              <a:defRPr/>
            </a:pPr>
            <a:endParaRPr lang="en-US"/>
          </a:p>
        </c:txPr>
      </c:legendEntry>
      <c:legendEntry>
        <c:idx val="27"/>
        <c:txPr>
          <a:bodyPr/>
          <a:lstStyle/>
          <a:p>
            <a:pPr rtl="0">
              <a:defRPr/>
            </a:pPr>
            <a:endParaRPr lang="en-US"/>
          </a:p>
        </c:txPr>
      </c:legendEntry>
      <c:legendEntry>
        <c:idx val="28"/>
        <c:txPr>
          <a:bodyPr/>
          <a:lstStyle/>
          <a:p>
            <a:pPr rtl="0">
              <a:defRPr/>
            </a:pPr>
            <a:endParaRPr lang="en-US"/>
          </a:p>
        </c:txPr>
      </c:legendEntry>
      <c:legendEntry>
        <c:idx val="29"/>
        <c:txPr>
          <a:bodyPr/>
          <a:lstStyle/>
          <a:p>
            <a:pPr rtl="0">
              <a:defRPr/>
            </a:pPr>
            <a:endParaRPr lang="en-US"/>
          </a:p>
        </c:txPr>
      </c:legendEntry>
      <c:legendEntry>
        <c:idx val="30"/>
        <c:txPr>
          <a:bodyPr/>
          <a:lstStyle/>
          <a:p>
            <a:pPr rtl="0">
              <a:defRPr/>
            </a:pPr>
            <a:endParaRPr lang="en-US"/>
          </a:p>
        </c:txPr>
      </c:legendEntry>
      <c:legendEntry>
        <c:idx val="31"/>
        <c:txPr>
          <a:bodyPr/>
          <a:lstStyle/>
          <a:p>
            <a:pPr rtl="0">
              <a:defRPr/>
            </a:pPr>
            <a:endParaRPr lang="en-US"/>
          </a:p>
        </c:txPr>
      </c:legendEntry>
      <c:legendEntry>
        <c:idx val="32"/>
        <c:txPr>
          <a:bodyPr/>
          <a:lstStyle/>
          <a:p>
            <a:pPr rtl="0">
              <a:defRPr/>
            </a:pPr>
            <a:endParaRPr lang="en-US"/>
          </a:p>
        </c:txPr>
      </c:legendEntry>
      <c:legendEntry>
        <c:idx val="33"/>
        <c:txPr>
          <a:bodyPr/>
          <a:lstStyle/>
          <a:p>
            <a:pPr rtl="0">
              <a:defRPr/>
            </a:pPr>
            <a:endParaRPr lang="en-US"/>
          </a:p>
        </c:txPr>
      </c:legendEntry>
      <c:legendEntry>
        <c:idx val="34"/>
        <c:txPr>
          <a:bodyPr/>
          <a:lstStyle/>
          <a:p>
            <a:pPr rtl="0">
              <a:defRPr/>
            </a:pPr>
            <a:endParaRPr lang="en-US"/>
          </a:p>
        </c:txPr>
      </c:legendEntry>
      <c:legendEntry>
        <c:idx val="35"/>
        <c:txPr>
          <a:bodyPr/>
          <a:lstStyle/>
          <a:p>
            <a:pPr rtl="0">
              <a:defRPr/>
            </a:pPr>
            <a:endParaRPr lang="en-US"/>
          </a:p>
        </c:txPr>
      </c:legendEntry>
      <c:legendEntry>
        <c:idx val="36"/>
        <c:txPr>
          <a:bodyPr/>
          <a:lstStyle/>
          <a:p>
            <a:pPr rtl="0">
              <a:defRPr/>
            </a:pPr>
            <a:endParaRPr lang="en-US"/>
          </a:p>
        </c:txPr>
      </c:legendEntry>
      <c:legendEntry>
        <c:idx val="37"/>
        <c:txPr>
          <a:bodyPr/>
          <a:lstStyle/>
          <a:p>
            <a:pPr rtl="0">
              <a:defRPr/>
            </a:pPr>
            <a:endParaRPr lang="en-US"/>
          </a:p>
        </c:txPr>
      </c:legendEntry>
      <c:legendEntry>
        <c:idx val="38"/>
        <c:txPr>
          <a:bodyPr/>
          <a:lstStyle/>
          <a:p>
            <a:pPr rtl="0">
              <a:defRPr/>
            </a:pPr>
            <a:endParaRPr lang="en-US"/>
          </a:p>
        </c:txPr>
      </c:legendEntry>
      <c:legendEntry>
        <c:idx val="39"/>
        <c:txPr>
          <a:bodyPr/>
          <a:lstStyle/>
          <a:p>
            <a:pPr rtl="0">
              <a:defRPr/>
            </a:pPr>
            <a:endParaRPr lang="en-US"/>
          </a:p>
        </c:txPr>
      </c:legendEntry>
      <c:layout>
        <c:manualLayout>
          <c:xMode val="edge"/>
          <c:yMode val="edge"/>
          <c:x val="0.87046443775906945"/>
          <c:y val="9.1719061516675627E-3"/>
          <c:w val="0.10768361510105506"/>
          <c:h val="0.89898223488241469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hPercent val="50"/>
      <c:rotY val="30"/>
      <c:depthPercent val="1000"/>
      <c:perspective val="30"/>
    </c:view3D>
    <c:plotArea>
      <c:layout>
        <c:manualLayout>
          <c:layoutTarget val="inner"/>
          <c:xMode val="edge"/>
          <c:yMode val="edge"/>
          <c:x val="3.0493840203677278E-2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>
                <c:ptCount val="1"/>
                <c:pt idx="0">
                  <c:v>59</c:v>
                </c:pt>
              </c:strCache>
            </c:strRef>
          </c:tx>
          <c:val>
            <c:numRef>
              <c:f>'3D Data'!$C$2:$AO$2</c:f>
              <c:numCache>
                <c:formatCode>General</c:formatCode>
                <c:ptCount val="39"/>
                <c:pt idx="0">
                  <c:v>1.5</c:v>
                </c:pt>
                <c:pt idx="1">
                  <c:v>4.4230769230769234</c:v>
                </c:pt>
                <c:pt idx="2">
                  <c:v>3.3461538461538463</c:v>
                </c:pt>
                <c:pt idx="3">
                  <c:v>3.2692307692307692</c:v>
                </c:pt>
                <c:pt idx="4">
                  <c:v>4.1923076923076925</c:v>
                </c:pt>
                <c:pt idx="5">
                  <c:v>5.115384615384615</c:v>
                </c:pt>
                <c:pt idx="6">
                  <c:v>5.0384615384615383</c:v>
                </c:pt>
                <c:pt idx="7">
                  <c:v>5.9615384615384617</c:v>
                </c:pt>
                <c:pt idx="8">
                  <c:v>6.884615384615385</c:v>
                </c:pt>
                <c:pt idx="9">
                  <c:v>4.8076923076923075</c:v>
                </c:pt>
                <c:pt idx="10">
                  <c:v>4.7307692307692308</c:v>
                </c:pt>
                <c:pt idx="11">
                  <c:v>3.6538461538461537</c:v>
                </c:pt>
                <c:pt idx="12">
                  <c:v>1.5769230769230769</c:v>
                </c:pt>
                <c:pt idx="13">
                  <c:v>0.5</c:v>
                </c:pt>
                <c:pt idx="14">
                  <c:v>-1.5769230769230771</c:v>
                </c:pt>
                <c:pt idx="15">
                  <c:v>-2.6538461538461542</c:v>
                </c:pt>
                <c:pt idx="16">
                  <c:v>-3.7307692307692308</c:v>
                </c:pt>
                <c:pt idx="17">
                  <c:v>-3.8076923076923075</c:v>
                </c:pt>
                <c:pt idx="18">
                  <c:v>-5.884615384615385</c:v>
                </c:pt>
                <c:pt idx="19">
                  <c:v>-5.9615384615384617</c:v>
                </c:pt>
                <c:pt idx="20">
                  <c:v>-6.0384615384615383</c:v>
                </c:pt>
                <c:pt idx="21">
                  <c:v>-8.115384615384615</c:v>
                </c:pt>
                <c:pt idx="22">
                  <c:v>-8.1923076923076934</c:v>
                </c:pt>
                <c:pt idx="23">
                  <c:v>-8.2692307692307701</c:v>
                </c:pt>
                <c:pt idx="24">
                  <c:v>-8.3461538461538467</c:v>
                </c:pt>
                <c:pt idx="25">
                  <c:v>-7.4230769230769234</c:v>
                </c:pt>
                <c:pt idx="26">
                  <c:v>-7.5</c:v>
                </c:pt>
                <c:pt idx="27">
                  <c:v>-6.5769230769230766</c:v>
                </c:pt>
                <c:pt idx="28">
                  <c:v>-6.6538461538461542</c:v>
                </c:pt>
                <c:pt idx="29">
                  <c:v>-5.7307692307692308</c:v>
                </c:pt>
                <c:pt idx="30">
                  <c:v>-3.8076923076923079</c:v>
                </c:pt>
                <c:pt idx="31">
                  <c:v>-2.8846153846153846</c:v>
                </c:pt>
                <c:pt idx="32">
                  <c:v>-2.9615384615384617</c:v>
                </c:pt>
                <c:pt idx="33">
                  <c:v>-2.0384615384615388</c:v>
                </c:pt>
                <c:pt idx="34">
                  <c:v>-2.1153846153846154</c:v>
                </c:pt>
                <c:pt idx="35">
                  <c:v>-2.1923076923076925</c:v>
                </c:pt>
                <c:pt idx="36">
                  <c:v>-2.2692307692307692</c:v>
                </c:pt>
                <c:pt idx="37">
                  <c:v>-2.3461538461538463</c:v>
                </c:pt>
                <c:pt idx="38">
                  <c:v>-1.5</c:v>
                </c:pt>
              </c:numCache>
            </c:numRef>
          </c:val>
        </c:ser>
        <c:ser>
          <c:idx val="18"/>
          <c:order val="1"/>
          <c:tx>
            <c:strRef>
              <c:f>'3D Data'!$A$3</c:f>
              <c:strCache>
                <c:ptCount val="1"/>
                <c:pt idx="0">
                  <c:v>57</c:v>
                </c:pt>
              </c:strCache>
            </c:strRef>
          </c:tx>
          <c:val>
            <c:numRef>
              <c:f>'3D Data'!$C$3:$AO$3</c:f>
              <c:numCache>
                <c:formatCode>General</c:formatCode>
                <c:ptCount val="39"/>
                <c:pt idx="0">
                  <c:v>-11</c:v>
                </c:pt>
                <c:pt idx="1">
                  <c:v>-9.4358974358974361</c:v>
                </c:pt>
                <c:pt idx="2">
                  <c:v>-8.8717948717948723</c:v>
                </c:pt>
                <c:pt idx="3">
                  <c:v>-9.3076923076923084</c:v>
                </c:pt>
                <c:pt idx="4">
                  <c:v>-9.7435897435897445</c:v>
                </c:pt>
                <c:pt idx="5">
                  <c:v>-10.179487179487179</c:v>
                </c:pt>
                <c:pt idx="6">
                  <c:v>-11.615384615384615</c:v>
                </c:pt>
                <c:pt idx="7">
                  <c:v>-12.051282051282051</c:v>
                </c:pt>
                <c:pt idx="8">
                  <c:v>-14.487179487179487</c:v>
                </c:pt>
                <c:pt idx="9">
                  <c:v>-18.923076923076923</c:v>
                </c:pt>
                <c:pt idx="10">
                  <c:v>-22.358974358974358</c:v>
                </c:pt>
                <c:pt idx="11">
                  <c:v>-23.794871794871796</c:v>
                </c:pt>
                <c:pt idx="12">
                  <c:v>-24.23076923076923</c:v>
                </c:pt>
                <c:pt idx="13">
                  <c:v>-25.666666666666668</c:v>
                </c:pt>
                <c:pt idx="14">
                  <c:v>-24.102564102564102</c:v>
                </c:pt>
                <c:pt idx="15">
                  <c:v>-22.53846153846154</c:v>
                </c:pt>
                <c:pt idx="16">
                  <c:v>-20.974358974358974</c:v>
                </c:pt>
                <c:pt idx="17">
                  <c:v>-20.410256410256409</c:v>
                </c:pt>
                <c:pt idx="18">
                  <c:v>-18.846153846153847</c:v>
                </c:pt>
                <c:pt idx="19">
                  <c:v>-17.282051282051285</c:v>
                </c:pt>
                <c:pt idx="20">
                  <c:v>-15.717948717948719</c:v>
                </c:pt>
                <c:pt idx="21">
                  <c:v>-15.153846153846153</c:v>
                </c:pt>
                <c:pt idx="22">
                  <c:v>-13.589743589743589</c:v>
                </c:pt>
                <c:pt idx="23">
                  <c:v>-13.025641025641026</c:v>
                </c:pt>
                <c:pt idx="24">
                  <c:v>-12.461538461538462</c:v>
                </c:pt>
                <c:pt idx="25">
                  <c:v>-12.897435897435898</c:v>
                </c:pt>
                <c:pt idx="26">
                  <c:v>-13.333333333333334</c:v>
                </c:pt>
                <c:pt idx="27">
                  <c:v>-9.7692307692307701</c:v>
                </c:pt>
                <c:pt idx="28">
                  <c:v>-8.2051282051282044</c:v>
                </c:pt>
                <c:pt idx="29">
                  <c:v>-6.6410256410256423</c:v>
                </c:pt>
                <c:pt idx="30">
                  <c:v>-2.0769230769230766</c:v>
                </c:pt>
                <c:pt idx="31">
                  <c:v>2.4871794871794854</c:v>
                </c:pt>
                <c:pt idx="32">
                  <c:v>5.0512820512820511</c:v>
                </c:pt>
                <c:pt idx="33">
                  <c:v>7.6153846153846168</c:v>
                </c:pt>
                <c:pt idx="34">
                  <c:v>8.1794871794871788</c:v>
                </c:pt>
                <c:pt idx="35">
                  <c:v>8.7435897435897445</c:v>
                </c:pt>
                <c:pt idx="36">
                  <c:v>9.3076923076923066</c:v>
                </c:pt>
                <c:pt idx="37">
                  <c:v>9.8717948717948723</c:v>
                </c:pt>
                <c:pt idx="38">
                  <c:v>11</c:v>
                </c:pt>
              </c:numCache>
            </c:numRef>
          </c:val>
        </c:ser>
        <c:ser>
          <c:idx val="1"/>
          <c:order val="2"/>
          <c:tx>
            <c:strRef>
              <c:f>'3D Data'!$A$4</c:f>
              <c:strCache>
                <c:ptCount val="1"/>
                <c:pt idx="0">
                  <c:v>55</c:v>
                </c:pt>
              </c:strCache>
            </c:strRef>
          </c:tx>
          <c:val>
            <c:numRef>
              <c:f>'3D Data'!$C$4:$AO$4</c:f>
              <c:numCache>
                <c:formatCode>General</c:formatCode>
                <c:ptCount val="39"/>
                <c:pt idx="0">
                  <c:v>-11.5</c:v>
                </c:pt>
                <c:pt idx="1">
                  <c:v>-9.9102564102564106</c:v>
                </c:pt>
                <c:pt idx="2">
                  <c:v>-8.3205128205128212</c:v>
                </c:pt>
                <c:pt idx="3">
                  <c:v>-6.7307692307692308</c:v>
                </c:pt>
                <c:pt idx="4">
                  <c:v>-4.1410256410256405</c:v>
                </c:pt>
                <c:pt idx="5">
                  <c:v>-1.5512820512820511</c:v>
                </c:pt>
                <c:pt idx="6">
                  <c:v>-0.96153846153846168</c:v>
                </c:pt>
                <c:pt idx="7">
                  <c:v>1.6282051282051286</c:v>
                </c:pt>
                <c:pt idx="8">
                  <c:v>3.2179487179487181</c:v>
                </c:pt>
                <c:pt idx="9">
                  <c:v>2.8076923076923075</c:v>
                </c:pt>
                <c:pt idx="10">
                  <c:v>3.3974358974358978</c:v>
                </c:pt>
                <c:pt idx="11">
                  <c:v>2.9871794871794872</c:v>
                </c:pt>
                <c:pt idx="12">
                  <c:v>2.5769230769230766</c:v>
                </c:pt>
                <c:pt idx="13">
                  <c:v>2.166666666666667</c:v>
                </c:pt>
                <c:pt idx="14">
                  <c:v>0.75641025641025728</c:v>
                </c:pt>
                <c:pt idx="15">
                  <c:v>0.3461538461538467</c:v>
                </c:pt>
                <c:pt idx="16">
                  <c:v>0.93589743589743613</c:v>
                </c:pt>
                <c:pt idx="17">
                  <c:v>1.5256410256410255</c:v>
                </c:pt>
                <c:pt idx="18">
                  <c:v>1.115384615384615</c:v>
                </c:pt>
                <c:pt idx="19">
                  <c:v>1.7051282051282062</c:v>
                </c:pt>
                <c:pt idx="20">
                  <c:v>2.2948717948717956</c:v>
                </c:pt>
                <c:pt idx="21">
                  <c:v>1.884615384615385</c:v>
                </c:pt>
                <c:pt idx="22">
                  <c:v>2.4743589743589745</c:v>
                </c:pt>
                <c:pt idx="23">
                  <c:v>3.0641025641025639</c:v>
                </c:pt>
                <c:pt idx="24">
                  <c:v>4.6538461538461533</c:v>
                </c:pt>
                <c:pt idx="25">
                  <c:v>5.2435897435897445</c:v>
                </c:pt>
                <c:pt idx="26">
                  <c:v>5.8333333333333339</c:v>
                </c:pt>
                <c:pt idx="27">
                  <c:v>7.4230769230769234</c:v>
                </c:pt>
                <c:pt idx="28">
                  <c:v>8.0128205128205146</c:v>
                </c:pt>
                <c:pt idx="29">
                  <c:v>7.6025641025641022</c:v>
                </c:pt>
                <c:pt idx="30">
                  <c:v>9.1923076923076934</c:v>
                </c:pt>
                <c:pt idx="31">
                  <c:v>10.782051282051281</c:v>
                </c:pt>
                <c:pt idx="32">
                  <c:v>10.371794871794872</c:v>
                </c:pt>
                <c:pt idx="33">
                  <c:v>9.9615384615384635</c:v>
                </c:pt>
                <c:pt idx="34">
                  <c:v>10.551282051282051</c:v>
                </c:pt>
                <c:pt idx="35">
                  <c:v>9.1410256410256423</c:v>
                </c:pt>
                <c:pt idx="36">
                  <c:v>9.7307692307692299</c:v>
                </c:pt>
                <c:pt idx="37">
                  <c:v>9.3205128205128212</c:v>
                </c:pt>
                <c:pt idx="38">
                  <c:v>11.5</c:v>
                </c:pt>
              </c:numCache>
            </c:numRef>
          </c:val>
        </c:ser>
        <c:ser>
          <c:idx val="2"/>
          <c:order val="3"/>
          <c:tx>
            <c:strRef>
              <c:f>'3D Data'!$A$5</c:f>
              <c:strCache>
                <c:ptCount val="1"/>
                <c:pt idx="0">
                  <c:v>53</c:v>
                </c:pt>
              </c:strCache>
            </c:strRef>
          </c:tx>
          <c:val>
            <c:numRef>
              <c:f>'3D Data'!$C$5:$AO$5</c:f>
              <c:numCache>
                <c:formatCode>General</c:formatCode>
                <c:ptCount val="39"/>
                <c:pt idx="0">
                  <c:v>15</c:v>
                </c:pt>
                <c:pt idx="1">
                  <c:v>16.23076923076923</c:v>
                </c:pt>
                <c:pt idx="2">
                  <c:v>16.46153846153846</c:v>
                </c:pt>
                <c:pt idx="3">
                  <c:v>17.692307692307693</c:v>
                </c:pt>
                <c:pt idx="4">
                  <c:v>18.923076923076923</c:v>
                </c:pt>
                <c:pt idx="5">
                  <c:v>21.153846153846153</c:v>
                </c:pt>
                <c:pt idx="6">
                  <c:v>21.384615384615383</c:v>
                </c:pt>
                <c:pt idx="7">
                  <c:v>22.615384615384613</c:v>
                </c:pt>
                <c:pt idx="8">
                  <c:v>23.846153846153847</c:v>
                </c:pt>
                <c:pt idx="9">
                  <c:v>23.076923076923077</c:v>
                </c:pt>
                <c:pt idx="10">
                  <c:v>25.307692307692307</c:v>
                </c:pt>
                <c:pt idx="11">
                  <c:v>26.53846153846154</c:v>
                </c:pt>
                <c:pt idx="12">
                  <c:v>27.769230769230766</c:v>
                </c:pt>
                <c:pt idx="13">
                  <c:v>29</c:v>
                </c:pt>
                <c:pt idx="14">
                  <c:v>30.23076923076923</c:v>
                </c:pt>
                <c:pt idx="15">
                  <c:v>31.46153846153846</c:v>
                </c:pt>
                <c:pt idx="16">
                  <c:v>32.692307692307693</c:v>
                </c:pt>
                <c:pt idx="17">
                  <c:v>35.92307692307692</c:v>
                </c:pt>
                <c:pt idx="18">
                  <c:v>39.153846153846153</c:v>
                </c:pt>
                <c:pt idx="19">
                  <c:v>42.384615384615387</c:v>
                </c:pt>
                <c:pt idx="20">
                  <c:v>37.615384615384613</c:v>
                </c:pt>
                <c:pt idx="21">
                  <c:v>33.846153846153847</c:v>
                </c:pt>
                <c:pt idx="22">
                  <c:v>30.076923076923077</c:v>
                </c:pt>
                <c:pt idx="23">
                  <c:v>26.307692307692307</c:v>
                </c:pt>
                <c:pt idx="24">
                  <c:v>21.538461538461537</c:v>
                </c:pt>
                <c:pt idx="25">
                  <c:v>16.769230769230766</c:v>
                </c:pt>
                <c:pt idx="26">
                  <c:v>14</c:v>
                </c:pt>
                <c:pt idx="27">
                  <c:v>9.2307692307692299</c:v>
                </c:pt>
                <c:pt idx="28">
                  <c:v>5.4615384615384599</c:v>
                </c:pt>
                <c:pt idx="29">
                  <c:v>3.6923076923076898</c:v>
                </c:pt>
                <c:pt idx="30">
                  <c:v>2.9230769230769234</c:v>
                </c:pt>
                <c:pt idx="31">
                  <c:v>2.1538461538461533</c:v>
                </c:pt>
                <c:pt idx="32">
                  <c:v>-0.61538461538461675</c:v>
                </c:pt>
                <c:pt idx="33">
                  <c:v>-1.3846153846153868</c:v>
                </c:pt>
                <c:pt idx="34">
                  <c:v>-5.1538461538461569</c:v>
                </c:pt>
                <c:pt idx="35">
                  <c:v>-7.9230769230769234</c:v>
                </c:pt>
                <c:pt idx="36">
                  <c:v>-11.692307692307693</c:v>
                </c:pt>
                <c:pt idx="37">
                  <c:v>-13.461538461538463</c:v>
                </c:pt>
                <c:pt idx="38">
                  <c:v>-15</c:v>
                </c:pt>
              </c:numCache>
            </c:numRef>
          </c:val>
        </c:ser>
        <c:ser>
          <c:idx val="19"/>
          <c:order val="4"/>
          <c:tx>
            <c:strRef>
              <c:f>'3D Data'!$A$6</c:f>
              <c:strCache>
                <c:ptCount val="1"/>
                <c:pt idx="0">
                  <c:v>51</c:v>
                </c:pt>
              </c:strCache>
            </c:strRef>
          </c:tx>
          <c:val>
            <c:numRef>
              <c:f>'3D Data'!$C$6:$AO$6</c:f>
              <c:numCache>
                <c:formatCode>General</c:formatCode>
                <c:ptCount val="39"/>
                <c:pt idx="0">
                  <c:v>-11</c:v>
                </c:pt>
                <c:pt idx="1">
                  <c:v>-9.4358974358974361</c:v>
                </c:pt>
                <c:pt idx="2">
                  <c:v>-12.871794871794872</c:v>
                </c:pt>
                <c:pt idx="3">
                  <c:v>-18.307692307692307</c:v>
                </c:pt>
                <c:pt idx="4">
                  <c:v>-25.743589743589745</c:v>
                </c:pt>
                <c:pt idx="5">
                  <c:v>-33.179487179487182</c:v>
                </c:pt>
                <c:pt idx="6">
                  <c:v>-37.615384615384613</c:v>
                </c:pt>
                <c:pt idx="7">
                  <c:v>-41.051282051282051</c:v>
                </c:pt>
                <c:pt idx="8">
                  <c:v>-43.487179487179489</c:v>
                </c:pt>
                <c:pt idx="9">
                  <c:v>-44.92307692307692</c:v>
                </c:pt>
                <c:pt idx="10">
                  <c:v>-47.358974358974358</c:v>
                </c:pt>
                <c:pt idx="11">
                  <c:v>-48.794871794871796</c:v>
                </c:pt>
                <c:pt idx="12">
                  <c:v>-53.230769230769234</c:v>
                </c:pt>
                <c:pt idx="13">
                  <c:v>-56.666666666666664</c:v>
                </c:pt>
                <c:pt idx="14">
                  <c:v>-61.102564102564102</c:v>
                </c:pt>
                <c:pt idx="15">
                  <c:v>-65.538461538461533</c:v>
                </c:pt>
                <c:pt idx="16">
                  <c:v>-69.974358974358978</c:v>
                </c:pt>
                <c:pt idx="17">
                  <c:v>-71.410256410256409</c:v>
                </c:pt>
                <c:pt idx="18">
                  <c:v>-72.84615384615384</c:v>
                </c:pt>
                <c:pt idx="19">
                  <c:v>-75.282051282051285</c:v>
                </c:pt>
                <c:pt idx="20">
                  <c:v>-74.717948717948715</c:v>
                </c:pt>
                <c:pt idx="21">
                  <c:v>-73.15384615384616</c:v>
                </c:pt>
                <c:pt idx="22">
                  <c:v>-71.589743589743591</c:v>
                </c:pt>
                <c:pt idx="23">
                  <c:v>-67.025641025641022</c:v>
                </c:pt>
                <c:pt idx="24">
                  <c:v>-63.46153846153846</c:v>
                </c:pt>
                <c:pt idx="25">
                  <c:v>-57.897435897435898</c:v>
                </c:pt>
                <c:pt idx="26">
                  <c:v>-52.333333333333336</c:v>
                </c:pt>
                <c:pt idx="27">
                  <c:v>-46.769230769230774</c:v>
                </c:pt>
                <c:pt idx="28">
                  <c:v>-36.205128205128204</c:v>
                </c:pt>
                <c:pt idx="29">
                  <c:v>-29.641025641025642</c:v>
                </c:pt>
                <c:pt idx="30">
                  <c:v>-20.076923076923077</c:v>
                </c:pt>
                <c:pt idx="31">
                  <c:v>-8.5128205128205146</c:v>
                </c:pt>
                <c:pt idx="32">
                  <c:v>-2.9487179487179489</c:v>
                </c:pt>
                <c:pt idx="33">
                  <c:v>2.6153846153846168</c:v>
                </c:pt>
                <c:pt idx="34">
                  <c:v>6.1794871794871788</c:v>
                </c:pt>
                <c:pt idx="35">
                  <c:v>9.7435897435897445</c:v>
                </c:pt>
                <c:pt idx="36">
                  <c:v>11.307692307692307</c:v>
                </c:pt>
                <c:pt idx="37">
                  <c:v>12.871794871794872</c:v>
                </c:pt>
                <c:pt idx="38">
                  <c:v>11</c:v>
                </c:pt>
              </c:numCache>
            </c:numRef>
          </c:val>
        </c:ser>
        <c:ser>
          <c:idx val="3"/>
          <c:order val="5"/>
          <c:tx>
            <c:strRef>
              <c:f>'3D Data'!$A$7</c:f>
              <c:strCache>
                <c:ptCount val="1"/>
                <c:pt idx="0">
                  <c:v>49</c:v>
                </c:pt>
              </c:strCache>
            </c:strRef>
          </c:tx>
          <c:val>
            <c:numRef>
              <c:f>'3D Data'!$C$7:$AO$7</c:f>
              <c:numCache>
                <c:formatCode>General</c:formatCode>
                <c:ptCount val="39"/>
                <c:pt idx="0">
                  <c:v>-1</c:v>
                </c:pt>
                <c:pt idx="1">
                  <c:v>1.0512820512820513</c:v>
                </c:pt>
                <c:pt idx="2">
                  <c:v>1.1025641025641026</c:v>
                </c:pt>
                <c:pt idx="3">
                  <c:v>3.1538461538461537</c:v>
                </c:pt>
                <c:pt idx="4">
                  <c:v>3.2051282051282053</c:v>
                </c:pt>
                <c:pt idx="5">
                  <c:v>5.2564102564102564</c:v>
                </c:pt>
                <c:pt idx="6">
                  <c:v>5.3076923076923075</c:v>
                </c:pt>
                <c:pt idx="7">
                  <c:v>6.3589743589743586</c:v>
                </c:pt>
                <c:pt idx="8">
                  <c:v>7.4102564102564106</c:v>
                </c:pt>
                <c:pt idx="9">
                  <c:v>6.4615384615384617</c:v>
                </c:pt>
                <c:pt idx="10">
                  <c:v>7.5128205128205128</c:v>
                </c:pt>
                <c:pt idx="11">
                  <c:v>7.5641025641025639</c:v>
                </c:pt>
                <c:pt idx="12">
                  <c:v>7.615384615384615</c:v>
                </c:pt>
                <c:pt idx="13">
                  <c:v>7.666666666666667</c:v>
                </c:pt>
                <c:pt idx="14">
                  <c:v>6.7179487179487181</c:v>
                </c:pt>
                <c:pt idx="15">
                  <c:v>5.7692307692307692</c:v>
                </c:pt>
                <c:pt idx="16">
                  <c:v>6.8205128205128203</c:v>
                </c:pt>
                <c:pt idx="17">
                  <c:v>5.8717948717948723</c:v>
                </c:pt>
                <c:pt idx="18">
                  <c:v>4.9230769230769234</c:v>
                </c:pt>
                <c:pt idx="19">
                  <c:v>5.9743589743589745</c:v>
                </c:pt>
                <c:pt idx="20">
                  <c:v>6.0256410256410255</c:v>
                </c:pt>
                <c:pt idx="21">
                  <c:v>5.0769230769230766</c:v>
                </c:pt>
                <c:pt idx="22">
                  <c:v>6.1282051282051277</c:v>
                </c:pt>
                <c:pt idx="23">
                  <c:v>6.1794871794871797</c:v>
                </c:pt>
                <c:pt idx="24">
                  <c:v>6.2307692307692308</c:v>
                </c:pt>
                <c:pt idx="25">
                  <c:v>7.2820512820512819</c:v>
                </c:pt>
                <c:pt idx="26">
                  <c:v>7.333333333333333</c:v>
                </c:pt>
                <c:pt idx="27">
                  <c:v>8.384615384615385</c:v>
                </c:pt>
                <c:pt idx="28">
                  <c:v>8.4358974358974361</c:v>
                </c:pt>
                <c:pt idx="29">
                  <c:v>7.4871794871794872</c:v>
                </c:pt>
                <c:pt idx="30">
                  <c:v>8.5384615384615383</c:v>
                </c:pt>
                <c:pt idx="31">
                  <c:v>7.5897435897435894</c:v>
                </c:pt>
                <c:pt idx="32">
                  <c:v>6.6410256410256405</c:v>
                </c:pt>
                <c:pt idx="33">
                  <c:v>6.6923076923076925</c:v>
                </c:pt>
                <c:pt idx="34">
                  <c:v>4.7435897435897436</c:v>
                </c:pt>
                <c:pt idx="35">
                  <c:v>2.7948717948717947</c:v>
                </c:pt>
                <c:pt idx="36">
                  <c:v>1.846153846153846</c:v>
                </c:pt>
                <c:pt idx="37">
                  <c:v>0.89743589743589736</c:v>
                </c:pt>
                <c:pt idx="38">
                  <c:v>1</c:v>
                </c:pt>
              </c:numCache>
            </c:numRef>
          </c:val>
        </c:ser>
        <c:ser>
          <c:idx val="20"/>
          <c:order val="6"/>
          <c:tx>
            <c:strRef>
              <c:f>'3D Data'!$A$8</c:f>
              <c:strCache>
                <c:ptCount val="1"/>
                <c:pt idx="0">
                  <c:v>47</c:v>
                </c:pt>
              </c:strCache>
            </c:strRef>
          </c:tx>
          <c:val>
            <c:numRef>
              <c:f>'3D Data'!$C$8:$AO$8</c:f>
              <c:numCache>
                <c:formatCode>General</c:formatCode>
                <c:ptCount val="39"/>
                <c:pt idx="0">
                  <c:v>-11</c:v>
                </c:pt>
                <c:pt idx="1">
                  <c:v>-7.4358974358974361</c:v>
                </c:pt>
                <c:pt idx="2">
                  <c:v>-7.8717948717948723</c:v>
                </c:pt>
                <c:pt idx="3">
                  <c:v>-7.3076923076923075</c:v>
                </c:pt>
                <c:pt idx="4">
                  <c:v>-5.7435897435897436</c:v>
                </c:pt>
                <c:pt idx="5">
                  <c:v>-4.1794871794871797</c:v>
                </c:pt>
                <c:pt idx="6">
                  <c:v>-3.6153846153846154</c:v>
                </c:pt>
                <c:pt idx="7">
                  <c:v>-2.0512820512820511</c:v>
                </c:pt>
                <c:pt idx="8">
                  <c:v>-0.48717948717948723</c:v>
                </c:pt>
                <c:pt idx="9">
                  <c:v>-1.9230769230769234</c:v>
                </c:pt>
                <c:pt idx="10">
                  <c:v>-1.3589743589743595</c:v>
                </c:pt>
                <c:pt idx="11">
                  <c:v>-1.7948717948717947</c:v>
                </c:pt>
                <c:pt idx="12">
                  <c:v>-3.2307692307692308</c:v>
                </c:pt>
                <c:pt idx="13">
                  <c:v>-3.666666666666667</c:v>
                </c:pt>
                <c:pt idx="14">
                  <c:v>-5.1025641025641022</c:v>
                </c:pt>
                <c:pt idx="15">
                  <c:v>-5.5384615384615383</c:v>
                </c:pt>
                <c:pt idx="16">
                  <c:v>-5.9743589743589745</c:v>
                </c:pt>
                <c:pt idx="17">
                  <c:v>-5.4102564102564106</c:v>
                </c:pt>
                <c:pt idx="18">
                  <c:v>-6.8461538461538467</c:v>
                </c:pt>
                <c:pt idx="19">
                  <c:v>-6.2820512820512828</c:v>
                </c:pt>
                <c:pt idx="20">
                  <c:v>-5.717948717948719</c:v>
                </c:pt>
                <c:pt idx="21">
                  <c:v>-7.1538461538461533</c:v>
                </c:pt>
                <c:pt idx="22">
                  <c:v>-6.5897435897435894</c:v>
                </c:pt>
                <c:pt idx="23">
                  <c:v>-6.0256410256410255</c:v>
                </c:pt>
                <c:pt idx="24">
                  <c:v>-5.4615384615384617</c:v>
                </c:pt>
                <c:pt idx="25">
                  <c:v>-3.8974358974358978</c:v>
                </c:pt>
                <c:pt idx="26">
                  <c:v>-3.3333333333333339</c:v>
                </c:pt>
                <c:pt idx="27">
                  <c:v>-1.7692307692307701</c:v>
                </c:pt>
                <c:pt idx="28">
                  <c:v>-1.2051282051282044</c:v>
                </c:pt>
                <c:pt idx="29">
                  <c:v>0.3589743589743577</c:v>
                </c:pt>
                <c:pt idx="30">
                  <c:v>2.9230769230769234</c:v>
                </c:pt>
                <c:pt idx="31">
                  <c:v>4.4871794871794854</c:v>
                </c:pt>
                <c:pt idx="32">
                  <c:v>5.0512820512820511</c:v>
                </c:pt>
                <c:pt idx="33">
                  <c:v>6.6153846153846168</c:v>
                </c:pt>
                <c:pt idx="34">
                  <c:v>7.1794871794871788</c:v>
                </c:pt>
                <c:pt idx="35">
                  <c:v>7.7435897435897445</c:v>
                </c:pt>
                <c:pt idx="36">
                  <c:v>8.3076923076923066</c:v>
                </c:pt>
                <c:pt idx="37">
                  <c:v>8.8717948717948723</c:v>
                </c:pt>
                <c:pt idx="38">
                  <c:v>11</c:v>
                </c:pt>
              </c:numCache>
            </c:numRef>
          </c:val>
        </c:ser>
        <c:ser>
          <c:idx val="4"/>
          <c:order val="7"/>
          <c:tx>
            <c:strRef>
              <c:f>'3D Data'!$A$9</c:f>
              <c:strCache>
                <c:ptCount val="1"/>
                <c:pt idx="0">
                  <c:v>45</c:v>
                </c:pt>
              </c:strCache>
            </c:strRef>
          </c:tx>
          <c:val>
            <c:numRef>
              <c:f>'3D Data'!$C$9:$AO$9</c:f>
              <c:numCache>
                <c:formatCode>General</c:formatCode>
                <c:ptCount val="39"/>
                <c:pt idx="0">
                  <c:v>3</c:v>
                </c:pt>
                <c:pt idx="1">
                  <c:v>3.8461538461538463</c:v>
                </c:pt>
                <c:pt idx="2">
                  <c:v>4.6923076923076925</c:v>
                </c:pt>
                <c:pt idx="3">
                  <c:v>6.5384615384615383</c:v>
                </c:pt>
                <c:pt idx="4">
                  <c:v>8.384615384615385</c:v>
                </c:pt>
                <c:pt idx="5">
                  <c:v>10.23076923076923</c:v>
                </c:pt>
                <c:pt idx="6">
                  <c:v>10.076923076923077</c:v>
                </c:pt>
                <c:pt idx="7">
                  <c:v>10.923076923076923</c:v>
                </c:pt>
                <c:pt idx="8">
                  <c:v>11.76923076923077</c:v>
                </c:pt>
                <c:pt idx="9">
                  <c:v>10.615384615384615</c:v>
                </c:pt>
                <c:pt idx="10">
                  <c:v>10.461538461538462</c:v>
                </c:pt>
                <c:pt idx="11">
                  <c:v>9.3076923076923066</c:v>
                </c:pt>
                <c:pt idx="12">
                  <c:v>9.1538461538461533</c:v>
                </c:pt>
                <c:pt idx="13">
                  <c:v>8</c:v>
                </c:pt>
                <c:pt idx="14">
                  <c:v>7.8461538461538458</c:v>
                </c:pt>
                <c:pt idx="15">
                  <c:v>6.6923076923076916</c:v>
                </c:pt>
                <c:pt idx="16">
                  <c:v>6.5384615384615383</c:v>
                </c:pt>
                <c:pt idx="17">
                  <c:v>6.384615384615385</c:v>
                </c:pt>
                <c:pt idx="18">
                  <c:v>5.2307692307692308</c:v>
                </c:pt>
                <c:pt idx="19">
                  <c:v>6.0769230769230766</c:v>
                </c:pt>
                <c:pt idx="20">
                  <c:v>4.9230769230769234</c:v>
                </c:pt>
                <c:pt idx="21">
                  <c:v>4.7692307692307692</c:v>
                </c:pt>
                <c:pt idx="22">
                  <c:v>4.615384615384615</c:v>
                </c:pt>
                <c:pt idx="23">
                  <c:v>4.4615384615384617</c:v>
                </c:pt>
                <c:pt idx="24">
                  <c:v>4.3076923076923075</c:v>
                </c:pt>
                <c:pt idx="25">
                  <c:v>4.1538461538461533</c:v>
                </c:pt>
                <c:pt idx="26">
                  <c:v>4</c:v>
                </c:pt>
                <c:pt idx="27">
                  <c:v>3.8461538461538458</c:v>
                </c:pt>
                <c:pt idx="28">
                  <c:v>3.6923076923076916</c:v>
                </c:pt>
                <c:pt idx="29">
                  <c:v>2.5384615384615383</c:v>
                </c:pt>
                <c:pt idx="30">
                  <c:v>3.3846153846153841</c:v>
                </c:pt>
                <c:pt idx="31">
                  <c:v>3.2307692307692308</c:v>
                </c:pt>
                <c:pt idx="32">
                  <c:v>1.0769230769230766</c:v>
                </c:pt>
                <c:pt idx="33">
                  <c:v>0.92307692307692246</c:v>
                </c:pt>
                <c:pt idx="34">
                  <c:v>-0.23076923076923084</c:v>
                </c:pt>
                <c:pt idx="35">
                  <c:v>-1.384615384615385</c:v>
                </c:pt>
                <c:pt idx="36">
                  <c:v>-2.5384615384615383</c:v>
                </c:pt>
                <c:pt idx="37">
                  <c:v>-3.6923076923076925</c:v>
                </c:pt>
                <c:pt idx="38">
                  <c:v>-3</c:v>
                </c:pt>
              </c:numCache>
            </c:numRef>
          </c:val>
        </c:ser>
        <c:ser>
          <c:idx val="21"/>
          <c:order val="8"/>
          <c:tx>
            <c:strRef>
              <c:f>'3D Data'!$A$10</c:f>
              <c:strCache>
                <c:ptCount val="1"/>
                <c:pt idx="0">
                  <c:v>43</c:v>
                </c:pt>
              </c:strCache>
            </c:strRef>
          </c:tx>
          <c:val>
            <c:numRef>
              <c:f>'3D Data'!$C$10:$AO$10</c:f>
              <c:numCache>
                <c:formatCode>General</c:formatCode>
                <c:ptCount val="39"/>
                <c:pt idx="0">
                  <c:v>-11</c:v>
                </c:pt>
                <c:pt idx="1">
                  <c:v>-10.435897435897436</c:v>
                </c:pt>
                <c:pt idx="2">
                  <c:v>-17.871794871794872</c:v>
                </c:pt>
                <c:pt idx="3">
                  <c:v>-33.307692307692307</c:v>
                </c:pt>
                <c:pt idx="4">
                  <c:v>-43.743589743589745</c:v>
                </c:pt>
                <c:pt idx="5">
                  <c:v>-56.179487179487182</c:v>
                </c:pt>
                <c:pt idx="6">
                  <c:v>-63.615384615384613</c:v>
                </c:pt>
                <c:pt idx="7">
                  <c:v>-70.051282051282044</c:v>
                </c:pt>
                <c:pt idx="8">
                  <c:v>-75.487179487179489</c:v>
                </c:pt>
                <c:pt idx="9">
                  <c:v>-83.92307692307692</c:v>
                </c:pt>
                <c:pt idx="10">
                  <c:v>-86.358974358974365</c:v>
                </c:pt>
                <c:pt idx="11">
                  <c:v>-91.794871794871796</c:v>
                </c:pt>
                <c:pt idx="12">
                  <c:v>-97.230769230769226</c:v>
                </c:pt>
                <c:pt idx="13">
                  <c:v>-98.666666666666671</c:v>
                </c:pt>
                <c:pt idx="14">
                  <c:v>-102.1025641025641</c:v>
                </c:pt>
                <c:pt idx="15">
                  <c:v>-104.53846153846153</c:v>
                </c:pt>
                <c:pt idx="16">
                  <c:v>-103.97435897435898</c:v>
                </c:pt>
                <c:pt idx="17">
                  <c:v>-105.41025641025641</c:v>
                </c:pt>
                <c:pt idx="18">
                  <c:v>-104.84615384615384</c:v>
                </c:pt>
                <c:pt idx="19">
                  <c:v>-103.28205128205128</c:v>
                </c:pt>
                <c:pt idx="20">
                  <c:v>-100.71794871794872</c:v>
                </c:pt>
                <c:pt idx="21">
                  <c:v>-98.15384615384616</c:v>
                </c:pt>
                <c:pt idx="22">
                  <c:v>-92.589743589743591</c:v>
                </c:pt>
                <c:pt idx="23">
                  <c:v>-88.025641025641022</c:v>
                </c:pt>
                <c:pt idx="24">
                  <c:v>-83.461538461538467</c:v>
                </c:pt>
                <c:pt idx="25">
                  <c:v>-78.897435897435898</c:v>
                </c:pt>
                <c:pt idx="26">
                  <c:v>-74.333333333333329</c:v>
                </c:pt>
                <c:pt idx="27">
                  <c:v>-69.769230769230774</c:v>
                </c:pt>
                <c:pt idx="28">
                  <c:v>-64.205128205128204</c:v>
                </c:pt>
                <c:pt idx="29">
                  <c:v>-54.641025641025642</c:v>
                </c:pt>
                <c:pt idx="30">
                  <c:v>-42.07692307692308</c:v>
                </c:pt>
                <c:pt idx="31">
                  <c:v>-30.512820512820515</c:v>
                </c:pt>
                <c:pt idx="32">
                  <c:v>-21.948717948717949</c:v>
                </c:pt>
                <c:pt idx="33">
                  <c:v>-11.384615384615383</c:v>
                </c:pt>
                <c:pt idx="34">
                  <c:v>-2.8205128205128212</c:v>
                </c:pt>
                <c:pt idx="35">
                  <c:v>5.7435897435897445</c:v>
                </c:pt>
                <c:pt idx="36">
                  <c:v>12.307692307692307</c:v>
                </c:pt>
                <c:pt idx="37">
                  <c:v>16.871794871794872</c:v>
                </c:pt>
                <c:pt idx="38">
                  <c:v>11</c:v>
                </c:pt>
              </c:numCache>
            </c:numRef>
          </c:val>
        </c:ser>
        <c:ser>
          <c:idx val="5"/>
          <c:order val="9"/>
          <c:tx>
            <c:strRef>
              <c:f>'3D Data'!$A$11</c:f>
              <c:strCache>
                <c:ptCount val="1"/>
                <c:pt idx="0">
                  <c:v>41</c:v>
                </c:pt>
              </c:strCache>
            </c:strRef>
          </c:tx>
          <c:val>
            <c:numRef>
              <c:f>'3D Data'!$C$11:$AO$11</c:f>
              <c:numCache>
                <c:formatCode>General</c:formatCode>
                <c:ptCount val="39"/>
                <c:pt idx="0">
                  <c:v>1</c:v>
                </c:pt>
                <c:pt idx="1">
                  <c:v>2.9487179487179489</c:v>
                </c:pt>
                <c:pt idx="2">
                  <c:v>2.8974358974358974</c:v>
                </c:pt>
                <c:pt idx="3">
                  <c:v>4.8461538461538458</c:v>
                </c:pt>
                <c:pt idx="4">
                  <c:v>6.7948717948717947</c:v>
                </c:pt>
                <c:pt idx="5">
                  <c:v>8.7435897435897445</c:v>
                </c:pt>
                <c:pt idx="6">
                  <c:v>7.6923076923076925</c:v>
                </c:pt>
                <c:pt idx="7">
                  <c:v>8.6410256410256405</c:v>
                </c:pt>
                <c:pt idx="8">
                  <c:v>8.5897435897435894</c:v>
                </c:pt>
                <c:pt idx="9">
                  <c:v>6.5384615384615383</c:v>
                </c:pt>
                <c:pt idx="10">
                  <c:v>5.4871794871794872</c:v>
                </c:pt>
                <c:pt idx="11">
                  <c:v>4.4358974358974361</c:v>
                </c:pt>
                <c:pt idx="12">
                  <c:v>3.3846153846153846</c:v>
                </c:pt>
                <c:pt idx="13">
                  <c:v>3.3333333333333335</c:v>
                </c:pt>
                <c:pt idx="14">
                  <c:v>3.2820512820512819</c:v>
                </c:pt>
                <c:pt idx="15">
                  <c:v>3.2307692307692308</c:v>
                </c:pt>
                <c:pt idx="16">
                  <c:v>3.1794871794871797</c:v>
                </c:pt>
                <c:pt idx="17">
                  <c:v>3.1282051282051282</c:v>
                </c:pt>
                <c:pt idx="18">
                  <c:v>3.0769230769230771</c:v>
                </c:pt>
                <c:pt idx="19">
                  <c:v>3.0256410256410255</c:v>
                </c:pt>
                <c:pt idx="20">
                  <c:v>2.9743589743589745</c:v>
                </c:pt>
                <c:pt idx="21">
                  <c:v>1.9230769230769231</c:v>
                </c:pt>
                <c:pt idx="22">
                  <c:v>0.87179487179487181</c:v>
                </c:pt>
                <c:pt idx="23">
                  <c:v>0.82051282051282048</c:v>
                </c:pt>
                <c:pt idx="24">
                  <c:v>0.76923076923076916</c:v>
                </c:pt>
                <c:pt idx="25">
                  <c:v>-0.28205128205128194</c:v>
                </c:pt>
                <c:pt idx="26">
                  <c:v>-0.33333333333333326</c:v>
                </c:pt>
                <c:pt idx="27">
                  <c:v>0.61538461538461542</c:v>
                </c:pt>
                <c:pt idx="28">
                  <c:v>0.5641025641025641</c:v>
                </c:pt>
                <c:pt idx="29">
                  <c:v>-0.48717948717948723</c:v>
                </c:pt>
                <c:pt idx="30">
                  <c:v>0.46153846153846168</c:v>
                </c:pt>
                <c:pt idx="31">
                  <c:v>0.41025641025641035</c:v>
                </c:pt>
                <c:pt idx="32">
                  <c:v>-0.64102564102564097</c:v>
                </c:pt>
                <c:pt idx="33">
                  <c:v>-0.69230769230769229</c:v>
                </c:pt>
                <c:pt idx="34">
                  <c:v>-1.7435897435897436</c:v>
                </c:pt>
                <c:pt idx="35">
                  <c:v>-2.7948717948717947</c:v>
                </c:pt>
                <c:pt idx="36">
                  <c:v>-2.8461538461538458</c:v>
                </c:pt>
                <c:pt idx="37">
                  <c:v>-2.8974358974358974</c:v>
                </c:pt>
                <c:pt idx="38">
                  <c:v>-1</c:v>
                </c:pt>
              </c:numCache>
            </c:numRef>
          </c:val>
        </c:ser>
        <c:ser>
          <c:idx val="6"/>
          <c:order val="10"/>
          <c:tx>
            <c:strRef>
              <c:f>'3D Data'!$A$12</c:f>
              <c:strCache>
                <c:ptCount val="1"/>
                <c:pt idx="0">
                  <c:v>39</c:v>
                </c:pt>
              </c:strCache>
            </c:strRef>
          </c:tx>
          <c:val>
            <c:numRef>
              <c:f>'3D Data'!$C$12:$AO$12</c:f>
              <c:numCache>
                <c:formatCode>General</c:formatCode>
                <c:ptCount val="39"/>
                <c:pt idx="0">
                  <c:v>-0.5</c:v>
                </c:pt>
                <c:pt idx="1">
                  <c:v>1.5256410256410255</c:v>
                </c:pt>
                <c:pt idx="2">
                  <c:v>2.5512820512820511</c:v>
                </c:pt>
                <c:pt idx="3">
                  <c:v>2.5769230769230771</c:v>
                </c:pt>
                <c:pt idx="4">
                  <c:v>2.6025641025641026</c:v>
                </c:pt>
                <c:pt idx="5">
                  <c:v>4.6282051282051277</c:v>
                </c:pt>
                <c:pt idx="6">
                  <c:v>4.6538461538461542</c:v>
                </c:pt>
                <c:pt idx="7">
                  <c:v>4.6794871794871797</c:v>
                </c:pt>
                <c:pt idx="8">
                  <c:v>5.7051282051282053</c:v>
                </c:pt>
                <c:pt idx="9">
                  <c:v>2.7307692307692308</c:v>
                </c:pt>
                <c:pt idx="10">
                  <c:v>0.75641025641025639</c:v>
                </c:pt>
                <c:pt idx="11">
                  <c:v>0.78205128205128205</c:v>
                </c:pt>
                <c:pt idx="12">
                  <c:v>0.80769230769230771</c:v>
                </c:pt>
                <c:pt idx="13">
                  <c:v>-0.16666666666666669</c:v>
                </c:pt>
                <c:pt idx="14">
                  <c:v>0.85897435897435903</c:v>
                </c:pt>
                <c:pt idx="15">
                  <c:v>2.8846153846153846</c:v>
                </c:pt>
                <c:pt idx="16">
                  <c:v>4.9102564102564106</c:v>
                </c:pt>
                <c:pt idx="17">
                  <c:v>5.9358974358974361</c:v>
                </c:pt>
                <c:pt idx="18">
                  <c:v>5.9615384615384617</c:v>
                </c:pt>
                <c:pt idx="19">
                  <c:v>6.9871794871794872</c:v>
                </c:pt>
                <c:pt idx="20">
                  <c:v>6.0128205128205128</c:v>
                </c:pt>
                <c:pt idx="21">
                  <c:v>5.0384615384615383</c:v>
                </c:pt>
                <c:pt idx="22">
                  <c:v>4.0641025641025639</c:v>
                </c:pt>
                <c:pt idx="23">
                  <c:v>3.0897435897435899</c:v>
                </c:pt>
                <c:pt idx="24">
                  <c:v>3.1153846153846154</c:v>
                </c:pt>
                <c:pt idx="25">
                  <c:v>3.141025641025641</c:v>
                </c:pt>
                <c:pt idx="26">
                  <c:v>4.166666666666667</c:v>
                </c:pt>
                <c:pt idx="27">
                  <c:v>3.1923076923076925</c:v>
                </c:pt>
                <c:pt idx="28">
                  <c:v>5.2179487179487181</c:v>
                </c:pt>
                <c:pt idx="29">
                  <c:v>4.2435897435897436</c:v>
                </c:pt>
                <c:pt idx="30">
                  <c:v>5.2692307692307692</c:v>
                </c:pt>
                <c:pt idx="31">
                  <c:v>6.2948717948717947</c:v>
                </c:pt>
                <c:pt idx="32">
                  <c:v>5.3205128205128203</c:v>
                </c:pt>
                <c:pt idx="33">
                  <c:v>5.3461538461538458</c:v>
                </c:pt>
                <c:pt idx="34">
                  <c:v>3.3717948717948718</c:v>
                </c:pt>
                <c:pt idx="35">
                  <c:v>2.3974358974358974</c:v>
                </c:pt>
                <c:pt idx="36">
                  <c:v>1.4230769230769229</c:v>
                </c:pt>
                <c:pt idx="37">
                  <c:v>0.44871794871794868</c:v>
                </c:pt>
                <c:pt idx="38">
                  <c:v>0.5</c:v>
                </c:pt>
              </c:numCache>
            </c:numRef>
          </c:val>
        </c:ser>
        <c:ser>
          <c:idx val="22"/>
          <c:order val="11"/>
          <c:tx>
            <c:strRef>
              <c:f>'3D Data'!$A$13</c:f>
              <c:strCache>
                <c:ptCount val="1"/>
                <c:pt idx="0">
                  <c:v>37</c:v>
                </c:pt>
              </c:strCache>
            </c:strRef>
          </c:tx>
          <c:val>
            <c:numRef>
              <c:f>'3D Data'!$C$13:$AO$13</c:f>
              <c:numCache>
                <c:formatCode>General</c:formatCode>
                <c:ptCount val="39"/>
                <c:pt idx="0">
                  <c:v>-11</c:v>
                </c:pt>
                <c:pt idx="1">
                  <c:v>-7.4358974358974361</c:v>
                </c:pt>
                <c:pt idx="2">
                  <c:v>-7.8717948717948723</c:v>
                </c:pt>
                <c:pt idx="3">
                  <c:v>-7.3076923076923075</c:v>
                </c:pt>
                <c:pt idx="4">
                  <c:v>-5.7435897435897436</c:v>
                </c:pt>
                <c:pt idx="5">
                  <c:v>-4.1794871794871797</c:v>
                </c:pt>
                <c:pt idx="6">
                  <c:v>-3.6153846153846154</c:v>
                </c:pt>
                <c:pt idx="7">
                  <c:v>-2.0512820512820511</c:v>
                </c:pt>
                <c:pt idx="8">
                  <c:v>-0.48717948717948723</c:v>
                </c:pt>
                <c:pt idx="9">
                  <c:v>-1.9230769230769234</c:v>
                </c:pt>
                <c:pt idx="10">
                  <c:v>-1.3589743589743595</c:v>
                </c:pt>
                <c:pt idx="11">
                  <c:v>-1.7948717948717947</c:v>
                </c:pt>
                <c:pt idx="12">
                  <c:v>-3.2307692307692308</c:v>
                </c:pt>
                <c:pt idx="13">
                  <c:v>-3.666666666666667</c:v>
                </c:pt>
                <c:pt idx="14">
                  <c:v>-5.1025641025641022</c:v>
                </c:pt>
                <c:pt idx="15">
                  <c:v>-5.5384615384615383</c:v>
                </c:pt>
                <c:pt idx="16">
                  <c:v>-5.9743589743589745</c:v>
                </c:pt>
                <c:pt idx="17">
                  <c:v>-5.4102564102564106</c:v>
                </c:pt>
                <c:pt idx="18">
                  <c:v>-6.8461538461538467</c:v>
                </c:pt>
                <c:pt idx="19">
                  <c:v>-6.2820512820512828</c:v>
                </c:pt>
                <c:pt idx="20">
                  <c:v>-5.717948717948719</c:v>
                </c:pt>
                <c:pt idx="21">
                  <c:v>-7.1538461538461533</c:v>
                </c:pt>
                <c:pt idx="22">
                  <c:v>-6.5897435897435894</c:v>
                </c:pt>
                <c:pt idx="23">
                  <c:v>-6.0256410256410255</c:v>
                </c:pt>
                <c:pt idx="24">
                  <c:v>-5.4615384615384617</c:v>
                </c:pt>
                <c:pt idx="25">
                  <c:v>-3.8974358974358978</c:v>
                </c:pt>
                <c:pt idx="26">
                  <c:v>-3.3333333333333339</c:v>
                </c:pt>
                <c:pt idx="27">
                  <c:v>-1.7692307692307701</c:v>
                </c:pt>
                <c:pt idx="28">
                  <c:v>-1.2051282051282044</c:v>
                </c:pt>
                <c:pt idx="29">
                  <c:v>0.3589743589743577</c:v>
                </c:pt>
                <c:pt idx="30">
                  <c:v>2.9230769230769234</c:v>
                </c:pt>
                <c:pt idx="31">
                  <c:v>4.4871794871794854</c:v>
                </c:pt>
                <c:pt idx="32">
                  <c:v>5.0512820512820511</c:v>
                </c:pt>
                <c:pt idx="33">
                  <c:v>6.6153846153846168</c:v>
                </c:pt>
                <c:pt idx="34">
                  <c:v>7.1794871794871788</c:v>
                </c:pt>
                <c:pt idx="35">
                  <c:v>7.7435897435897445</c:v>
                </c:pt>
                <c:pt idx="36">
                  <c:v>8.3076923076923066</c:v>
                </c:pt>
                <c:pt idx="37">
                  <c:v>8.8717948717948723</c:v>
                </c:pt>
                <c:pt idx="38">
                  <c:v>11</c:v>
                </c:pt>
              </c:numCache>
            </c:numRef>
          </c:val>
        </c:ser>
        <c:ser>
          <c:idx val="7"/>
          <c:order val="12"/>
          <c:tx>
            <c:strRef>
              <c:f>'3D Data'!$A$14</c:f>
              <c:strCache>
                <c:ptCount val="1"/>
                <c:pt idx="0">
                  <c:v>35</c:v>
                </c:pt>
              </c:strCache>
            </c:strRef>
          </c:tx>
          <c:val>
            <c:numRef>
              <c:f>'3D Data'!$C$14:$AO$14</c:f>
              <c:numCache>
                <c:formatCode>General</c:formatCode>
                <c:ptCount val="39"/>
                <c:pt idx="0">
                  <c:v>14.5</c:v>
                </c:pt>
                <c:pt idx="1">
                  <c:v>14.756410256410255</c:v>
                </c:pt>
                <c:pt idx="2">
                  <c:v>14.012820512820513</c:v>
                </c:pt>
                <c:pt idx="3">
                  <c:v>13.26923076923077</c:v>
                </c:pt>
                <c:pt idx="4">
                  <c:v>12.525641025641026</c:v>
                </c:pt>
                <c:pt idx="5">
                  <c:v>13.782051282051281</c:v>
                </c:pt>
                <c:pt idx="6">
                  <c:v>12.038461538461538</c:v>
                </c:pt>
                <c:pt idx="7">
                  <c:v>13.294871794871796</c:v>
                </c:pt>
                <c:pt idx="8">
                  <c:v>13.551282051282051</c:v>
                </c:pt>
                <c:pt idx="9">
                  <c:v>11.807692307692307</c:v>
                </c:pt>
                <c:pt idx="10">
                  <c:v>12.064102564102564</c:v>
                </c:pt>
                <c:pt idx="11">
                  <c:v>10.320512820512821</c:v>
                </c:pt>
                <c:pt idx="12">
                  <c:v>9.5769230769230766</c:v>
                </c:pt>
                <c:pt idx="13">
                  <c:v>7.8333333333333321</c:v>
                </c:pt>
                <c:pt idx="14">
                  <c:v>7.0897435897435894</c:v>
                </c:pt>
                <c:pt idx="15">
                  <c:v>5.3461538461538467</c:v>
                </c:pt>
                <c:pt idx="16">
                  <c:v>4.6025641025641022</c:v>
                </c:pt>
                <c:pt idx="17">
                  <c:v>2.8589743589743577</c:v>
                </c:pt>
                <c:pt idx="18">
                  <c:v>2.115384615384615</c:v>
                </c:pt>
                <c:pt idx="19">
                  <c:v>1.3717948717948723</c:v>
                </c:pt>
                <c:pt idx="20">
                  <c:v>0.62820512820512775</c:v>
                </c:pt>
                <c:pt idx="21">
                  <c:v>-1.1153846153846168</c:v>
                </c:pt>
                <c:pt idx="22">
                  <c:v>-1.8589743589743577</c:v>
                </c:pt>
                <c:pt idx="23">
                  <c:v>-3.6025641025641022</c:v>
                </c:pt>
                <c:pt idx="24">
                  <c:v>-4.3461538461538467</c:v>
                </c:pt>
                <c:pt idx="25">
                  <c:v>-4.0897435897435912</c:v>
                </c:pt>
                <c:pt idx="26">
                  <c:v>-4.8333333333333357</c:v>
                </c:pt>
                <c:pt idx="27">
                  <c:v>-5.5769230769230766</c:v>
                </c:pt>
                <c:pt idx="28">
                  <c:v>-6.3205128205128212</c:v>
                </c:pt>
                <c:pt idx="29">
                  <c:v>-7.0641025641025657</c:v>
                </c:pt>
                <c:pt idx="30">
                  <c:v>-6.8076923076923066</c:v>
                </c:pt>
                <c:pt idx="31">
                  <c:v>-7.5512820512820511</c:v>
                </c:pt>
                <c:pt idx="32">
                  <c:v>-9.2948717948717956</c:v>
                </c:pt>
                <c:pt idx="33">
                  <c:v>-9.0384615384615401</c:v>
                </c:pt>
                <c:pt idx="34">
                  <c:v>-10.782051282051285</c:v>
                </c:pt>
                <c:pt idx="35">
                  <c:v>-11.525641025641026</c:v>
                </c:pt>
                <c:pt idx="36">
                  <c:v>-12.26923076923077</c:v>
                </c:pt>
                <c:pt idx="37">
                  <c:v>-14.012820512820515</c:v>
                </c:pt>
                <c:pt idx="38">
                  <c:v>-14.5</c:v>
                </c:pt>
              </c:numCache>
            </c:numRef>
          </c:val>
        </c:ser>
        <c:ser>
          <c:idx val="23"/>
          <c:order val="13"/>
          <c:tx>
            <c:strRef>
              <c:f>'3D Data'!$A$15</c:f>
              <c:strCache>
                <c:ptCount val="1"/>
                <c:pt idx="0">
                  <c:v>33</c:v>
                </c:pt>
              </c:strCache>
            </c:strRef>
          </c:tx>
          <c:val>
            <c:numRef>
              <c:f>'3D Data'!$C$15:$AO$15</c:f>
              <c:numCache>
                <c:formatCode>General</c:formatCode>
                <c:ptCount val="39"/>
                <c:pt idx="0">
                  <c:v>-11</c:v>
                </c:pt>
                <c:pt idx="1">
                  <c:v>-10.435897435897436</c:v>
                </c:pt>
                <c:pt idx="2">
                  <c:v>-17.871794871794872</c:v>
                </c:pt>
                <c:pt idx="3">
                  <c:v>-33.307692307692307</c:v>
                </c:pt>
                <c:pt idx="4">
                  <c:v>-43.743589743589745</c:v>
                </c:pt>
                <c:pt idx="5">
                  <c:v>-56.179487179487182</c:v>
                </c:pt>
                <c:pt idx="6">
                  <c:v>-63.615384615384613</c:v>
                </c:pt>
                <c:pt idx="7">
                  <c:v>-70.051282051282044</c:v>
                </c:pt>
                <c:pt idx="8">
                  <c:v>-75.487179487179489</c:v>
                </c:pt>
                <c:pt idx="9">
                  <c:v>-83.92307692307692</c:v>
                </c:pt>
                <c:pt idx="10">
                  <c:v>-86.358974358974365</c:v>
                </c:pt>
                <c:pt idx="11">
                  <c:v>-91.794871794871796</c:v>
                </c:pt>
                <c:pt idx="12">
                  <c:v>-97.230769230769226</c:v>
                </c:pt>
                <c:pt idx="13">
                  <c:v>-98.666666666666671</c:v>
                </c:pt>
                <c:pt idx="14">
                  <c:v>-102.1025641025641</c:v>
                </c:pt>
                <c:pt idx="15">
                  <c:v>-104.53846153846153</c:v>
                </c:pt>
                <c:pt idx="16">
                  <c:v>-103.97435897435898</c:v>
                </c:pt>
                <c:pt idx="17">
                  <c:v>-105.41025641025641</c:v>
                </c:pt>
                <c:pt idx="18">
                  <c:v>-104.84615384615384</c:v>
                </c:pt>
                <c:pt idx="19">
                  <c:v>-103.28205128205128</c:v>
                </c:pt>
                <c:pt idx="20">
                  <c:v>-100.71794871794872</c:v>
                </c:pt>
                <c:pt idx="21">
                  <c:v>-98.15384615384616</c:v>
                </c:pt>
                <c:pt idx="22">
                  <c:v>-92.589743589743591</c:v>
                </c:pt>
                <c:pt idx="23">
                  <c:v>-88.025641025641022</c:v>
                </c:pt>
                <c:pt idx="24">
                  <c:v>-83.461538461538467</c:v>
                </c:pt>
                <c:pt idx="25">
                  <c:v>-78.897435897435898</c:v>
                </c:pt>
                <c:pt idx="26">
                  <c:v>-74.333333333333329</c:v>
                </c:pt>
                <c:pt idx="27">
                  <c:v>-69.769230769230774</c:v>
                </c:pt>
                <c:pt idx="28">
                  <c:v>-64.205128205128204</c:v>
                </c:pt>
                <c:pt idx="29">
                  <c:v>-54.641025641025642</c:v>
                </c:pt>
                <c:pt idx="30">
                  <c:v>-42.07692307692308</c:v>
                </c:pt>
                <c:pt idx="31">
                  <c:v>-30.512820512820515</c:v>
                </c:pt>
                <c:pt idx="32">
                  <c:v>-21.948717948717949</c:v>
                </c:pt>
                <c:pt idx="33">
                  <c:v>-11.384615384615383</c:v>
                </c:pt>
                <c:pt idx="34">
                  <c:v>-2.8205128205128212</c:v>
                </c:pt>
                <c:pt idx="35">
                  <c:v>5.7435897435897445</c:v>
                </c:pt>
                <c:pt idx="36">
                  <c:v>12.307692307692307</c:v>
                </c:pt>
                <c:pt idx="37">
                  <c:v>16.871794871794872</c:v>
                </c:pt>
                <c:pt idx="38">
                  <c:v>11</c:v>
                </c:pt>
              </c:numCache>
            </c:numRef>
          </c:val>
        </c:ser>
        <c:ser>
          <c:idx val="8"/>
          <c:order val="14"/>
          <c:tx>
            <c:strRef>
              <c:f>'3D Data'!$A$16</c:f>
              <c:strCache>
                <c:ptCount val="1"/>
                <c:pt idx="0">
                  <c:v>31</c:v>
                </c:pt>
              </c:strCache>
            </c:strRef>
          </c:tx>
          <c:val>
            <c:numRef>
              <c:f>'3D Data'!$C$16:$AO$16</c:f>
              <c:numCache>
                <c:formatCode>General</c:formatCode>
                <c:ptCount val="39"/>
                <c:pt idx="0">
                  <c:v>3.5</c:v>
                </c:pt>
                <c:pt idx="1">
                  <c:v>4.3205128205128203</c:v>
                </c:pt>
                <c:pt idx="2">
                  <c:v>6.1410256410256414</c:v>
                </c:pt>
                <c:pt idx="3">
                  <c:v>5.9615384615384617</c:v>
                </c:pt>
                <c:pt idx="4">
                  <c:v>6.7820512820512819</c:v>
                </c:pt>
                <c:pt idx="5">
                  <c:v>8.6025641025641022</c:v>
                </c:pt>
                <c:pt idx="6">
                  <c:v>7.4230769230769234</c:v>
                </c:pt>
                <c:pt idx="7">
                  <c:v>7.2435897435897436</c:v>
                </c:pt>
                <c:pt idx="8">
                  <c:v>7.0641025641025639</c:v>
                </c:pt>
                <c:pt idx="9">
                  <c:v>4.884615384615385</c:v>
                </c:pt>
                <c:pt idx="10">
                  <c:v>3.7051282051282053</c:v>
                </c:pt>
                <c:pt idx="11">
                  <c:v>1.5256410256410255</c:v>
                </c:pt>
                <c:pt idx="12">
                  <c:v>-0.65384615384615374</c:v>
                </c:pt>
                <c:pt idx="13">
                  <c:v>-1.8333333333333335</c:v>
                </c:pt>
                <c:pt idx="14">
                  <c:v>-4.0128205128205128</c:v>
                </c:pt>
                <c:pt idx="15">
                  <c:v>-5.1923076923076925</c:v>
                </c:pt>
                <c:pt idx="16">
                  <c:v>-5.3717948717948723</c:v>
                </c:pt>
                <c:pt idx="17">
                  <c:v>-5.5512820512820511</c:v>
                </c:pt>
                <c:pt idx="18">
                  <c:v>-5.7307692307692308</c:v>
                </c:pt>
                <c:pt idx="19">
                  <c:v>-4.9102564102564106</c:v>
                </c:pt>
                <c:pt idx="20">
                  <c:v>-5.0897435897435894</c:v>
                </c:pt>
                <c:pt idx="21">
                  <c:v>-5.2692307692307692</c:v>
                </c:pt>
                <c:pt idx="22">
                  <c:v>-5.4487179487179489</c:v>
                </c:pt>
                <c:pt idx="23">
                  <c:v>-5.6282051282051286</c:v>
                </c:pt>
                <c:pt idx="24">
                  <c:v>-5.8076923076923075</c:v>
                </c:pt>
                <c:pt idx="25">
                  <c:v>-4.9871794871794872</c:v>
                </c:pt>
                <c:pt idx="26">
                  <c:v>-4.166666666666667</c:v>
                </c:pt>
                <c:pt idx="27">
                  <c:v>-4.3461538461538458</c:v>
                </c:pt>
                <c:pt idx="28">
                  <c:v>-2.5256410256410255</c:v>
                </c:pt>
                <c:pt idx="29">
                  <c:v>-2.7051282051282053</c:v>
                </c:pt>
                <c:pt idx="30">
                  <c:v>0.11538461538461497</c:v>
                </c:pt>
                <c:pt idx="31">
                  <c:v>1.9358974358974361</c:v>
                </c:pt>
                <c:pt idx="32">
                  <c:v>-0.24358974358974361</c:v>
                </c:pt>
                <c:pt idx="33">
                  <c:v>0.57692307692307665</c:v>
                </c:pt>
                <c:pt idx="34">
                  <c:v>-0.6025641025641022</c:v>
                </c:pt>
                <c:pt idx="35">
                  <c:v>-2.7820512820512819</c:v>
                </c:pt>
                <c:pt idx="36">
                  <c:v>-2.9615384615384617</c:v>
                </c:pt>
                <c:pt idx="37">
                  <c:v>-4.1410256410256414</c:v>
                </c:pt>
                <c:pt idx="38">
                  <c:v>-3.5</c:v>
                </c:pt>
              </c:numCache>
            </c:numRef>
          </c:val>
        </c:ser>
        <c:ser>
          <c:idx val="9"/>
          <c:order val="15"/>
          <c:tx>
            <c:strRef>
              <c:f>'3D Data'!$A$17</c:f>
              <c:strCache>
                <c:ptCount val="1"/>
                <c:pt idx="0">
                  <c:v>29</c:v>
                </c:pt>
              </c:strCache>
            </c:strRef>
          </c:tx>
          <c:val>
            <c:numRef>
              <c:f>'3D Data'!$C$17:$AO$17</c:f>
              <c:numCache>
                <c:formatCode>General</c:formatCode>
                <c:ptCount val="39"/>
                <c:pt idx="0">
                  <c:v>-7</c:v>
                </c:pt>
                <c:pt idx="1">
                  <c:v>-5.6410256410256414</c:v>
                </c:pt>
                <c:pt idx="2">
                  <c:v>-5.2820512820512819</c:v>
                </c:pt>
                <c:pt idx="3">
                  <c:v>-5.9230769230769234</c:v>
                </c:pt>
                <c:pt idx="4">
                  <c:v>-6.5641025641025639</c:v>
                </c:pt>
                <c:pt idx="5">
                  <c:v>-7.2051282051282053</c:v>
                </c:pt>
                <c:pt idx="6">
                  <c:v>-8.8461538461538467</c:v>
                </c:pt>
                <c:pt idx="7">
                  <c:v>-9.4871794871794872</c:v>
                </c:pt>
                <c:pt idx="8">
                  <c:v>-12.128205128205128</c:v>
                </c:pt>
                <c:pt idx="9">
                  <c:v>-16.76923076923077</c:v>
                </c:pt>
                <c:pt idx="10">
                  <c:v>-20.410256410256409</c:v>
                </c:pt>
                <c:pt idx="11">
                  <c:v>-22.051282051282051</c:v>
                </c:pt>
                <c:pt idx="12">
                  <c:v>-22.692307692307693</c:v>
                </c:pt>
                <c:pt idx="13">
                  <c:v>-24.333333333333332</c:v>
                </c:pt>
                <c:pt idx="14">
                  <c:v>-22.974358974358974</c:v>
                </c:pt>
                <c:pt idx="15">
                  <c:v>-21.615384615384613</c:v>
                </c:pt>
                <c:pt idx="16">
                  <c:v>-20.256410256410255</c:v>
                </c:pt>
                <c:pt idx="17">
                  <c:v>-19.897435897435898</c:v>
                </c:pt>
                <c:pt idx="18">
                  <c:v>-18.53846153846154</c:v>
                </c:pt>
                <c:pt idx="19">
                  <c:v>-17.179487179487179</c:v>
                </c:pt>
                <c:pt idx="20">
                  <c:v>-15.820512820512821</c:v>
                </c:pt>
                <c:pt idx="21">
                  <c:v>-15.461538461538462</c:v>
                </c:pt>
                <c:pt idx="22">
                  <c:v>-14.102564102564102</c:v>
                </c:pt>
                <c:pt idx="23">
                  <c:v>-13.743589743589743</c:v>
                </c:pt>
                <c:pt idx="24">
                  <c:v>-13.384615384615385</c:v>
                </c:pt>
                <c:pt idx="25">
                  <c:v>-14.025641025641026</c:v>
                </c:pt>
                <c:pt idx="26">
                  <c:v>-14.666666666666666</c:v>
                </c:pt>
                <c:pt idx="27">
                  <c:v>-11.307692307692308</c:v>
                </c:pt>
                <c:pt idx="28">
                  <c:v>-9.9487179487179489</c:v>
                </c:pt>
                <c:pt idx="29">
                  <c:v>-8.5897435897435894</c:v>
                </c:pt>
                <c:pt idx="30">
                  <c:v>-4.2307692307692299</c:v>
                </c:pt>
                <c:pt idx="31">
                  <c:v>0.12820512820512775</c:v>
                </c:pt>
                <c:pt idx="32">
                  <c:v>2.4871794871794872</c:v>
                </c:pt>
                <c:pt idx="33">
                  <c:v>4.8461538461538467</c:v>
                </c:pt>
                <c:pt idx="34">
                  <c:v>5.2051282051282044</c:v>
                </c:pt>
                <c:pt idx="35">
                  <c:v>5.5641025641025639</c:v>
                </c:pt>
                <c:pt idx="36">
                  <c:v>5.9230769230769234</c:v>
                </c:pt>
                <c:pt idx="37">
                  <c:v>6.2820512820512828</c:v>
                </c:pt>
                <c:pt idx="38">
                  <c:v>7</c:v>
                </c:pt>
              </c:numCache>
            </c:numRef>
          </c:val>
        </c:ser>
        <c:ser>
          <c:idx val="24"/>
          <c:order val="16"/>
          <c:tx>
            <c:strRef>
              <c:f>'3D Data'!$A$18</c:f>
              <c:strCache>
                <c:ptCount val="1"/>
                <c:pt idx="0">
                  <c:v>27</c:v>
                </c:pt>
              </c:strCache>
            </c:strRef>
          </c:tx>
          <c:val>
            <c:numRef>
              <c:f>'3D Data'!$C$18:$AO$18</c:f>
              <c:numCache>
                <c:formatCode>General</c:formatCode>
                <c:ptCount val="39"/>
                <c:pt idx="0">
                  <c:v>-11</c:v>
                </c:pt>
                <c:pt idx="1">
                  <c:v>-7.4358974358974361</c:v>
                </c:pt>
                <c:pt idx="2">
                  <c:v>-7.8717948717948723</c:v>
                </c:pt>
                <c:pt idx="3">
                  <c:v>-7.3076923076923075</c:v>
                </c:pt>
                <c:pt idx="4">
                  <c:v>-5.7435897435897436</c:v>
                </c:pt>
                <c:pt idx="5">
                  <c:v>-4.1794871794871797</c:v>
                </c:pt>
                <c:pt idx="6">
                  <c:v>-3.6153846153846154</c:v>
                </c:pt>
                <c:pt idx="7">
                  <c:v>-2.0512820512820511</c:v>
                </c:pt>
                <c:pt idx="8">
                  <c:v>-0.48717948717948723</c:v>
                </c:pt>
                <c:pt idx="9">
                  <c:v>-1.9230769230769234</c:v>
                </c:pt>
                <c:pt idx="10">
                  <c:v>-1.3589743589743595</c:v>
                </c:pt>
                <c:pt idx="11">
                  <c:v>-1.7948717948717947</c:v>
                </c:pt>
                <c:pt idx="12">
                  <c:v>-3.2307692307692308</c:v>
                </c:pt>
                <c:pt idx="13">
                  <c:v>-3.666666666666667</c:v>
                </c:pt>
                <c:pt idx="14">
                  <c:v>-5.1025641025641022</c:v>
                </c:pt>
                <c:pt idx="15">
                  <c:v>-5.5384615384615383</c:v>
                </c:pt>
                <c:pt idx="16">
                  <c:v>-5.9743589743589745</c:v>
                </c:pt>
                <c:pt idx="17">
                  <c:v>-5.4102564102564106</c:v>
                </c:pt>
                <c:pt idx="18">
                  <c:v>-6.8461538461538467</c:v>
                </c:pt>
                <c:pt idx="19">
                  <c:v>-6.2820512820512828</c:v>
                </c:pt>
                <c:pt idx="20">
                  <c:v>-5.717948717948719</c:v>
                </c:pt>
                <c:pt idx="21">
                  <c:v>-7.1538461538461533</c:v>
                </c:pt>
                <c:pt idx="22">
                  <c:v>-6.5897435897435894</c:v>
                </c:pt>
                <c:pt idx="23">
                  <c:v>-6.0256410256410255</c:v>
                </c:pt>
                <c:pt idx="24">
                  <c:v>-5.4615384615384617</c:v>
                </c:pt>
                <c:pt idx="25">
                  <c:v>-3.8974358974358978</c:v>
                </c:pt>
                <c:pt idx="26">
                  <c:v>-3.3333333333333339</c:v>
                </c:pt>
                <c:pt idx="27">
                  <c:v>-1.7692307692307701</c:v>
                </c:pt>
                <c:pt idx="28">
                  <c:v>-1.2051282051282044</c:v>
                </c:pt>
                <c:pt idx="29">
                  <c:v>0.3589743589743577</c:v>
                </c:pt>
                <c:pt idx="30">
                  <c:v>2.9230769230769234</c:v>
                </c:pt>
                <c:pt idx="31">
                  <c:v>4.4871794871794854</c:v>
                </c:pt>
                <c:pt idx="32">
                  <c:v>5.0512820512820511</c:v>
                </c:pt>
                <c:pt idx="33">
                  <c:v>6.6153846153846168</c:v>
                </c:pt>
                <c:pt idx="34">
                  <c:v>7.1794871794871788</c:v>
                </c:pt>
                <c:pt idx="35">
                  <c:v>7.7435897435897445</c:v>
                </c:pt>
                <c:pt idx="36">
                  <c:v>8.3076923076923066</c:v>
                </c:pt>
                <c:pt idx="37">
                  <c:v>8.8717948717948723</c:v>
                </c:pt>
                <c:pt idx="38">
                  <c:v>11</c:v>
                </c:pt>
              </c:numCache>
            </c:numRef>
          </c:val>
        </c:ser>
        <c:ser>
          <c:idx val="10"/>
          <c:order val="17"/>
          <c:tx>
            <c:strRef>
              <c:f>'3D Data'!$A$19</c:f>
              <c:strCache>
                <c:ptCount val="1"/>
                <c:pt idx="0">
                  <c:v>25</c:v>
                </c:pt>
              </c:strCache>
            </c:strRef>
          </c:tx>
          <c:val>
            <c:numRef>
              <c:f>'3D Data'!$C$19:$AO$19</c:f>
              <c:numCache>
                <c:formatCode>General</c:formatCode>
                <c:ptCount val="39"/>
                <c:pt idx="0">
                  <c:v>16.5</c:v>
                </c:pt>
                <c:pt idx="1">
                  <c:v>16.653846153846153</c:v>
                </c:pt>
                <c:pt idx="2">
                  <c:v>15.807692307692308</c:v>
                </c:pt>
                <c:pt idx="3">
                  <c:v>13.961538461538462</c:v>
                </c:pt>
                <c:pt idx="4">
                  <c:v>12.115384615384615</c:v>
                </c:pt>
                <c:pt idx="5">
                  <c:v>10.26923076923077</c:v>
                </c:pt>
                <c:pt idx="6">
                  <c:v>7.4230769230769234</c:v>
                </c:pt>
                <c:pt idx="7">
                  <c:v>5.5769230769230766</c:v>
                </c:pt>
                <c:pt idx="8">
                  <c:v>1.7307692307692308</c:v>
                </c:pt>
                <c:pt idx="9">
                  <c:v>-4.115384615384615</c:v>
                </c:pt>
                <c:pt idx="10">
                  <c:v>-8.9615384615384617</c:v>
                </c:pt>
                <c:pt idx="11">
                  <c:v>-11.807692307692308</c:v>
                </c:pt>
                <c:pt idx="12">
                  <c:v>-13.653846153846153</c:v>
                </c:pt>
                <c:pt idx="13">
                  <c:v>-16.5</c:v>
                </c:pt>
                <c:pt idx="14">
                  <c:v>-16.346153846153847</c:v>
                </c:pt>
                <c:pt idx="15">
                  <c:v>-16.192307692307693</c:v>
                </c:pt>
                <c:pt idx="16">
                  <c:v>-16.03846153846154</c:v>
                </c:pt>
                <c:pt idx="17">
                  <c:v>-16.884615384615387</c:v>
                </c:pt>
                <c:pt idx="18">
                  <c:v>-16.73076923076923</c:v>
                </c:pt>
                <c:pt idx="19">
                  <c:v>-16.576923076923077</c:v>
                </c:pt>
                <c:pt idx="20">
                  <c:v>-16.423076923076923</c:v>
                </c:pt>
                <c:pt idx="21">
                  <c:v>-17.26923076923077</c:v>
                </c:pt>
                <c:pt idx="22">
                  <c:v>-17.115384615384617</c:v>
                </c:pt>
                <c:pt idx="23">
                  <c:v>-17.96153846153846</c:v>
                </c:pt>
                <c:pt idx="24">
                  <c:v>-18.807692307692307</c:v>
                </c:pt>
                <c:pt idx="25">
                  <c:v>-20.653846153846153</c:v>
                </c:pt>
                <c:pt idx="26">
                  <c:v>-22.5</c:v>
                </c:pt>
                <c:pt idx="27">
                  <c:v>-20.346153846153847</c:v>
                </c:pt>
                <c:pt idx="28">
                  <c:v>-20.192307692307693</c:v>
                </c:pt>
                <c:pt idx="29">
                  <c:v>-20.038461538461537</c:v>
                </c:pt>
                <c:pt idx="30">
                  <c:v>-16.884615384615383</c:v>
                </c:pt>
                <c:pt idx="31">
                  <c:v>-13.73076923076923</c:v>
                </c:pt>
                <c:pt idx="32">
                  <c:v>-12.576923076923077</c:v>
                </c:pt>
                <c:pt idx="33">
                  <c:v>-11.423076923076923</c:v>
                </c:pt>
                <c:pt idx="34">
                  <c:v>-12.26923076923077</c:v>
                </c:pt>
                <c:pt idx="35">
                  <c:v>-13.115384615384617</c:v>
                </c:pt>
                <c:pt idx="36">
                  <c:v>-13.96153846153846</c:v>
                </c:pt>
                <c:pt idx="37">
                  <c:v>-14.807692307692307</c:v>
                </c:pt>
                <c:pt idx="38">
                  <c:v>-16.5</c:v>
                </c:pt>
              </c:numCache>
            </c:numRef>
          </c:val>
        </c:ser>
        <c:ser>
          <c:idx val="25"/>
          <c:order val="18"/>
          <c:tx>
            <c:strRef>
              <c:f>'3D Data'!$A$20</c:f>
              <c:strCache>
                <c:ptCount val="1"/>
                <c:pt idx="0">
                  <c:v>23</c:v>
                </c:pt>
              </c:strCache>
            </c:strRef>
          </c:tx>
          <c:val>
            <c:numRef>
              <c:f>'3D Data'!$C$20:$AO$20</c:f>
              <c:numCache>
                <c:formatCode>General</c:formatCode>
                <c:ptCount val="39"/>
                <c:pt idx="0">
                  <c:v>-11</c:v>
                </c:pt>
                <c:pt idx="1">
                  <c:v>-7.4358974358974361</c:v>
                </c:pt>
                <c:pt idx="2">
                  <c:v>-7.8717948717948723</c:v>
                </c:pt>
                <c:pt idx="3">
                  <c:v>-7.3076923076923075</c:v>
                </c:pt>
                <c:pt idx="4">
                  <c:v>-5.7435897435897436</c:v>
                </c:pt>
                <c:pt idx="5">
                  <c:v>-4.1794871794871797</c:v>
                </c:pt>
                <c:pt idx="6">
                  <c:v>-3.6153846153846154</c:v>
                </c:pt>
                <c:pt idx="7">
                  <c:v>-2.0512820512820511</c:v>
                </c:pt>
                <c:pt idx="8">
                  <c:v>-0.48717948717948723</c:v>
                </c:pt>
                <c:pt idx="9">
                  <c:v>-1.9230769230769234</c:v>
                </c:pt>
                <c:pt idx="10">
                  <c:v>-1.3589743589743595</c:v>
                </c:pt>
                <c:pt idx="11">
                  <c:v>-1.7948717948717947</c:v>
                </c:pt>
                <c:pt idx="12">
                  <c:v>-3.2307692307692308</c:v>
                </c:pt>
                <c:pt idx="13">
                  <c:v>-3.666666666666667</c:v>
                </c:pt>
                <c:pt idx="14">
                  <c:v>-5.1025641025641022</c:v>
                </c:pt>
                <c:pt idx="15">
                  <c:v>-5.5384615384615383</c:v>
                </c:pt>
                <c:pt idx="16">
                  <c:v>-5.9743589743589745</c:v>
                </c:pt>
                <c:pt idx="17">
                  <c:v>-5.4102564102564106</c:v>
                </c:pt>
                <c:pt idx="18">
                  <c:v>-6.8461538461538467</c:v>
                </c:pt>
                <c:pt idx="19">
                  <c:v>-6.2820512820512828</c:v>
                </c:pt>
                <c:pt idx="20">
                  <c:v>-5.717948717948719</c:v>
                </c:pt>
                <c:pt idx="21">
                  <c:v>-7.1538461538461533</c:v>
                </c:pt>
                <c:pt idx="22">
                  <c:v>-6.5897435897435894</c:v>
                </c:pt>
                <c:pt idx="23">
                  <c:v>-6.0256410256410255</c:v>
                </c:pt>
                <c:pt idx="24">
                  <c:v>-5.4615384615384617</c:v>
                </c:pt>
                <c:pt idx="25">
                  <c:v>-3.8974358974358978</c:v>
                </c:pt>
                <c:pt idx="26">
                  <c:v>-3.3333333333333339</c:v>
                </c:pt>
                <c:pt idx="27">
                  <c:v>-1.7692307692307701</c:v>
                </c:pt>
                <c:pt idx="28">
                  <c:v>-1.2051282051282044</c:v>
                </c:pt>
                <c:pt idx="29">
                  <c:v>0.3589743589743577</c:v>
                </c:pt>
                <c:pt idx="30">
                  <c:v>2.9230769230769234</c:v>
                </c:pt>
                <c:pt idx="31">
                  <c:v>4.4871794871794854</c:v>
                </c:pt>
                <c:pt idx="32">
                  <c:v>5.0512820512820511</c:v>
                </c:pt>
                <c:pt idx="33">
                  <c:v>6.6153846153846168</c:v>
                </c:pt>
                <c:pt idx="34">
                  <c:v>7.1794871794871788</c:v>
                </c:pt>
                <c:pt idx="35">
                  <c:v>7.7435897435897445</c:v>
                </c:pt>
                <c:pt idx="36">
                  <c:v>8.3076923076923066</c:v>
                </c:pt>
                <c:pt idx="37">
                  <c:v>8.8717948717948723</c:v>
                </c:pt>
                <c:pt idx="38">
                  <c:v>11</c:v>
                </c:pt>
              </c:numCache>
            </c:numRef>
          </c:val>
        </c:ser>
        <c:ser>
          <c:idx val="11"/>
          <c:order val="19"/>
          <c:tx>
            <c:strRef>
              <c:f>'3D Data'!$A$21</c:f>
              <c:strCache>
                <c:ptCount val="1"/>
                <c:pt idx="0">
                  <c:v>21</c:v>
                </c:pt>
              </c:strCache>
            </c:strRef>
          </c:tx>
          <c:val>
            <c:numRef>
              <c:f>'3D Data'!$C$21:$AO$21</c:f>
              <c:numCache>
                <c:formatCode>General</c:formatCode>
                <c:ptCount val="39"/>
                <c:pt idx="0">
                  <c:v>29</c:v>
                </c:pt>
                <c:pt idx="1">
                  <c:v>28.512820512820511</c:v>
                </c:pt>
                <c:pt idx="2">
                  <c:v>27.025641025641026</c:v>
                </c:pt>
                <c:pt idx="3">
                  <c:v>24.53846153846154</c:v>
                </c:pt>
                <c:pt idx="4">
                  <c:v>22.051282051282051</c:v>
                </c:pt>
                <c:pt idx="5">
                  <c:v>19.564102564102562</c:v>
                </c:pt>
                <c:pt idx="6">
                  <c:v>16.076923076923077</c:v>
                </c:pt>
                <c:pt idx="7">
                  <c:v>13.589743589743589</c:v>
                </c:pt>
                <c:pt idx="8">
                  <c:v>9.1025641025641022</c:v>
                </c:pt>
                <c:pt idx="9">
                  <c:v>2.615384615384615</c:v>
                </c:pt>
                <c:pt idx="10">
                  <c:v>-2.8717948717948723</c:v>
                </c:pt>
                <c:pt idx="11">
                  <c:v>-6.3589743589743577</c:v>
                </c:pt>
                <c:pt idx="12">
                  <c:v>-8.8461538461538467</c:v>
                </c:pt>
                <c:pt idx="13">
                  <c:v>-12.333333333333336</c:v>
                </c:pt>
                <c:pt idx="14">
                  <c:v>-12.820512820512821</c:v>
                </c:pt>
                <c:pt idx="15">
                  <c:v>-13.307692307692307</c:v>
                </c:pt>
                <c:pt idx="16">
                  <c:v>-13.794871794871796</c:v>
                </c:pt>
                <c:pt idx="17">
                  <c:v>-15.282051282051285</c:v>
                </c:pt>
                <c:pt idx="18">
                  <c:v>-15.76923076923077</c:v>
                </c:pt>
                <c:pt idx="19">
                  <c:v>-16.256410256410255</c:v>
                </c:pt>
                <c:pt idx="20">
                  <c:v>-16.743589743589745</c:v>
                </c:pt>
                <c:pt idx="21">
                  <c:v>-18.230769230769234</c:v>
                </c:pt>
                <c:pt idx="22">
                  <c:v>-18.717948717948715</c:v>
                </c:pt>
                <c:pt idx="23">
                  <c:v>-20.205128205128204</c:v>
                </c:pt>
                <c:pt idx="24">
                  <c:v>-21.692307692307693</c:v>
                </c:pt>
                <c:pt idx="25">
                  <c:v>-24.179487179487182</c:v>
                </c:pt>
                <c:pt idx="26">
                  <c:v>-26.666666666666671</c:v>
                </c:pt>
                <c:pt idx="27">
                  <c:v>-25.153846153846153</c:v>
                </c:pt>
                <c:pt idx="28">
                  <c:v>-25.641025641025642</c:v>
                </c:pt>
                <c:pt idx="29">
                  <c:v>-26.128205128205131</c:v>
                </c:pt>
                <c:pt idx="30">
                  <c:v>-23.615384615384613</c:v>
                </c:pt>
                <c:pt idx="31">
                  <c:v>-21.102564102564102</c:v>
                </c:pt>
                <c:pt idx="32">
                  <c:v>-20.589743589743591</c:v>
                </c:pt>
                <c:pt idx="33">
                  <c:v>-20.07692307692308</c:v>
                </c:pt>
                <c:pt idx="34">
                  <c:v>-21.564102564102569</c:v>
                </c:pt>
                <c:pt idx="35">
                  <c:v>-23.051282051282051</c:v>
                </c:pt>
                <c:pt idx="36">
                  <c:v>-24.53846153846154</c:v>
                </c:pt>
                <c:pt idx="37">
                  <c:v>-26.025641025641029</c:v>
                </c:pt>
                <c:pt idx="38">
                  <c:v>-29</c:v>
                </c:pt>
              </c:numCache>
            </c:numRef>
          </c:val>
        </c:ser>
        <c:ser>
          <c:idx val="26"/>
          <c:order val="20"/>
          <c:tx>
            <c:strRef>
              <c:f>'3D Data'!$A$22</c:f>
              <c:strCache>
                <c:ptCount val="1"/>
                <c:pt idx="0">
                  <c:v>19</c:v>
                </c:pt>
              </c:strCache>
            </c:strRef>
          </c:tx>
          <c:val>
            <c:numRef>
              <c:f>'3D Data'!$C$22:$AO$22</c:f>
              <c:numCache>
                <c:formatCode>General</c:formatCode>
                <c:ptCount val="39"/>
                <c:pt idx="0">
                  <c:v>-11</c:v>
                </c:pt>
                <c:pt idx="1">
                  <c:v>-7.4358974358974361</c:v>
                </c:pt>
                <c:pt idx="2">
                  <c:v>-7.8717948717948723</c:v>
                </c:pt>
                <c:pt idx="3">
                  <c:v>-7.3076923076923075</c:v>
                </c:pt>
                <c:pt idx="4">
                  <c:v>-5.7435897435897436</c:v>
                </c:pt>
                <c:pt idx="5">
                  <c:v>-4.1794871794871797</c:v>
                </c:pt>
                <c:pt idx="6">
                  <c:v>-3.6153846153846154</c:v>
                </c:pt>
                <c:pt idx="7">
                  <c:v>-2.0512820512820511</c:v>
                </c:pt>
                <c:pt idx="8">
                  <c:v>-0.48717948717948723</c:v>
                </c:pt>
                <c:pt idx="9">
                  <c:v>-1.9230769230769234</c:v>
                </c:pt>
                <c:pt idx="10">
                  <c:v>-1.3589743589743595</c:v>
                </c:pt>
                <c:pt idx="11">
                  <c:v>-1.7948717948717947</c:v>
                </c:pt>
                <c:pt idx="12">
                  <c:v>-3.2307692307692308</c:v>
                </c:pt>
                <c:pt idx="13">
                  <c:v>-3.666666666666667</c:v>
                </c:pt>
                <c:pt idx="14">
                  <c:v>-5.1025641025641022</c:v>
                </c:pt>
                <c:pt idx="15">
                  <c:v>-5.5384615384615383</c:v>
                </c:pt>
                <c:pt idx="16">
                  <c:v>-5.9743589743589745</c:v>
                </c:pt>
                <c:pt idx="17">
                  <c:v>-5.4102564102564106</c:v>
                </c:pt>
                <c:pt idx="18">
                  <c:v>-6.8461538461538467</c:v>
                </c:pt>
                <c:pt idx="19">
                  <c:v>-6.2820512820512828</c:v>
                </c:pt>
                <c:pt idx="20">
                  <c:v>-5.717948717948719</c:v>
                </c:pt>
                <c:pt idx="21">
                  <c:v>-7.1538461538461533</c:v>
                </c:pt>
                <c:pt idx="22">
                  <c:v>-6.5897435897435894</c:v>
                </c:pt>
                <c:pt idx="23">
                  <c:v>-6.0256410256410255</c:v>
                </c:pt>
                <c:pt idx="24">
                  <c:v>-5.4615384615384617</c:v>
                </c:pt>
                <c:pt idx="25">
                  <c:v>-3.8974358974358978</c:v>
                </c:pt>
                <c:pt idx="26">
                  <c:v>-3.3333333333333339</c:v>
                </c:pt>
                <c:pt idx="27">
                  <c:v>-1.7692307692307701</c:v>
                </c:pt>
                <c:pt idx="28">
                  <c:v>-1.2051282051282044</c:v>
                </c:pt>
                <c:pt idx="29">
                  <c:v>0.3589743589743577</c:v>
                </c:pt>
                <c:pt idx="30">
                  <c:v>2.9230769230769234</c:v>
                </c:pt>
                <c:pt idx="31">
                  <c:v>4.4871794871794854</c:v>
                </c:pt>
                <c:pt idx="32">
                  <c:v>5.0512820512820511</c:v>
                </c:pt>
                <c:pt idx="33">
                  <c:v>6.6153846153846168</c:v>
                </c:pt>
                <c:pt idx="34">
                  <c:v>7.1794871794871788</c:v>
                </c:pt>
                <c:pt idx="35">
                  <c:v>7.7435897435897445</c:v>
                </c:pt>
                <c:pt idx="36">
                  <c:v>8.3076923076923066</c:v>
                </c:pt>
                <c:pt idx="37">
                  <c:v>8.8717948717948723</c:v>
                </c:pt>
                <c:pt idx="38">
                  <c:v>11</c:v>
                </c:pt>
              </c:numCache>
            </c:numRef>
          </c:val>
        </c:ser>
        <c:ser>
          <c:idx val="12"/>
          <c:order val="21"/>
          <c:tx>
            <c:strRef>
              <c:f>'3D Data'!$A$23</c:f>
              <c:strCache>
                <c:ptCount val="1"/>
                <c:pt idx="0">
                  <c:v>17</c:v>
                </c:pt>
              </c:strCache>
            </c:strRef>
          </c:tx>
          <c:val>
            <c:numRef>
              <c:f>'3D Data'!$C$23:$AO$23</c:f>
              <c:numCache>
                <c:formatCode>General</c:formatCode>
                <c:ptCount val="39"/>
                <c:pt idx="0">
                  <c:v>-5</c:v>
                </c:pt>
                <c:pt idx="1">
                  <c:v>-5.7435897435897436</c:v>
                </c:pt>
                <c:pt idx="2">
                  <c:v>-8.4871794871794872</c:v>
                </c:pt>
                <c:pt idx="3">
                  <c:v>-11.23076923076923</c:v>
                </c:pt>
                <c:pt idx="4">
                  <c:v>-16.974358974358974</c:v>
                </c:pt>
                <c:pt idx="5">
                  <c:v>-20.717948717948719</c:v>
                </c:pt>
                <c:pt idx="6">
                  <c:v>-25.46153846153846</c:v>
                </c:pt>
                <c:pt idx="7">
                  <c:v>-30.205128205128204</c:v>
                </c:pt>
                <c:pt idx="8">
                  <c:v>-33.948717948717949</c:v>
                </c:pt>
                <c:pt idx="9">
                  <c:v>-39.692307692307693</c:v>
                </c:pt>
                <c:pt idx="10">
                  <c:v>-44.435897435897438</c:v>
                </c:pt>
                <c:pt idx="11">
                  <c:v>-48.179487179487182</c:v>
                </c:pt>
                <c:pt idx="12">
                  <c:v>-52.92307692307692</c:v>
                </c:pt>
                <c:pt idx="13">
                  <c:v>-56.666666666666664</c:v>
                </c:pt>
                <c:pt idx="14">
                  <c:v>-61.410256410256409</c:v>
                </c:pt>
                <c:pt idx="15">
                  <c:v>-67.15384615384616</c:v>
                </c:pt>
                <c:pt idx="16">
                  <c:v>-70.897435897435898</c:v>
                </c:pt>
                <c:pt idx="17">
                  <c:v>-74.641025641025635</c:v>
                </c:pt>
                <c:pt idx="18">
                  <c:v>-79.384615384615387</c:v>
                </c:pt>
                <c:pt idx="19">
                  <c:v>-83.128205128205124</c:v>
                </c:pt>
                <c:pt idx="20">
                  <c:v>-84.871794871794876</c:v>
                </c:pt>
                <c:pt idx="21">
                  <c:v>-88.615384615384613</c:v>
                </c:pt>
                <c:pt idx="22">
                  <c:v>-90.358974358974365</c:v>
                </c:pt>
                <c:pt idx="23">
                  <c:v>-88.102564102564102</c:v>
                </c:pt>
                <c:pt idx="24">
                  <c:v>-86.84615384615384</c:v>
                </c:pt>
                <c:pt idx="25">
                  <c:v>-82.589743589743591</c:v>
                </c:pt>
                <c:pt idx="26">
                  <c:v>-78.333333333333329</c:v>
                </c:pt>
                <c:pt idx="27">
                  <c:v>-72.07692307692308</c:v>
                </c:pt>
                <c:pt idx="28">
                  <c:v>-64.820512820512818</c:v>
                </c:pt>
                <c:pt idx="29">
                  <c:v>-57.564102564102562</c:v>
                </c:pt>
                <c:pt idx="30">
                  <c:v>-48.307692307692307</c:v>
                </c:pt>
                <c:pt idx="31">
                  <c:v>-35.051282051282051</c:v>
                </c:pt>
                <c:pt idx="32">
                  <c:v>-26.794871794871796</c:v>
                </c:pt>
                <c:pt idx="33">
                  <c:v>-18.53846153846154</c:v>
                </c:pt>
                <c:pt idx="34">
                  <c:v>-13.282051282051283</c:v>
                </c:pt>
                <c:pt idx="35">
                  <c:v>-5.0256410256410255</c:v>
                </c:pt>
                <c:pt idx="36">
                  <c:v>-0.76923076923077005</c:v>
                </c:pt>
                <c:pt idx="37">
                  <c:v>1.4871794871794854</c:v>
                </c:pt>
                <c:pt idx="38">
                  <c:v>5</c:v>
                </c:pt>
              </c:numCache>
            </c:numRef>
          </c:val>
        </c:ser>
        <c:ser>
          <c:idx val="13"/>
          <c:order val="22"/>
          <c:tx>
            <c:strRef>
              <c:f>'3D Data'!$A$24</c:f>
              <c:strCache>
                <c:ptCount val="1"/>
                <c:pt idx="0">
                  <c:v>15</c:v>
                </c:pt>
              </c:strCache>
            </c:strRef>
          </c:tx>
          <c:val>
            <c:numRef>
              <c:f>'3D Data'!$C$24:$AO$24</c:f>
              <c:numCache>
                <c:formatCode>General</c:formatCode>
                <c:ptCount val="39"/>
                <c:pt idx="0">
                  <c:v>-14</c:v>
                </c:pt>
                <c:pt idx="1">
                  <c:v>-12.282051282051283</c:v>
                </c:pt>
                <c:pt idx="2">
                  <c:v>-9.5641025641025639</c:v>
                </c:pt>
                <c:pt idx="3">
                  <c:v>-4.8461538461538467</c:v>
                </c:pt>
                <c:pt idx="4">
                  <c:v>-1.1282051282051282</c:v>
                </c:pt>
                <c:pt idx="5">
                  <c:v>1.5897435897435899</c:v>
                </c:pt>
                <c:pt idx="6">
                  <c:v>1.3076923076923075</c:v>
                </c:pt>
                <c:pt idx="7">
                  <c:v>2.0256410256410255</c:v>
                </c:pt>
                <c:pt idx="8">
                  <c:v>1.7435897435897436</c:v>
                </c:pt>
                <c:pt idx="9">
                  <c:v>-1.5384615384615383</c:v>
                </c:pt>
                <c:pt idx="10">
                  <c:v>-3.8205128205128203</c:v>
                </c:pt>
                <c:pt idx="11">
                  <c:v>-5.1025641025641022</c:v>
                </c:pt>
                <c:pt idx="12">
                  <c:v>-10.384615384615385</c:v>
                </c:pt>
                <c:pt idx="13">
                  <c:v>-13.666666666666666</c:v>
                </c:pt>
                <c:pt idx="14">
                  <c:v>-18.948717948717949</c:v>
                </c:pt>
                <c:pt idx="15">
                  <c:v>-23.23076923076923</c:v>
                </c:pt>
                <c:pt idx="16">
                  <c:v>-26.512820512820511</c:v>
                </c:pt>
                <c:pt idx="17">
                  <c:v>-28.794871794871796</c:v>
                </c:pt>
                <c:pt idx="18">
                  <c:v>-32.07692307692308</c:v>
                </c:pt>
                <c:pt idx="19">
                  <c:v>-31.358974358974358</c:v>
                </c:pt>
                <c:pt idx="20">
                  <c:v>-30.641025641025642</c:v>
                </c:pt>
                <c:pt idx="21">
                  <c:v>-29.923076923076923</c:v>
                </c:pt>
                <c:pt idx="22">
                  <c:v>-28.205128205128204</c:v>
                </c:pt>
                <c:pt idx="23">
                  <c:v>-25.487179487179485</c:v>
                </c:pt>
                <c:pt idx="24">
                  <c:v>-24.76923076923077</c:v>
                </c:pt>
                <c:pt idx="25">
                  <c:v>-24.051282051282051</c:v>
                </c:pt>
                <c:pt idx="26">
                  <c:v>-22.333333333333332</c:v>
                </c:pt>
                <c:pt idx="27">
                  <c:v>-21.615384615384617</c:v>
                </c:pt>
                <c:pt idx="28">
                  <c:v>-18.897435897435898</c:v>
                </c:pt>
                <c:pt idx="29">
                  <c:v>-18.179487179487179</c:v>
                </c:pt>
                <c:pt idx="30">
                  <c:v>-16.46153846153846</c:v>
                </c:pt>
                <c:pt idx="31">
                  <c:v>-11.743589743589745</c:v>
                </c:pt>
                <c:pt idx="32">
                  <c:v>-10.025641025641026</c:v>
                </c:pt>
                <c:pt idx="33">
                  <c:v>-7.3076923076923066</c:v>
                </c:pt>
                <c:pt idx="34">
                  <c:v>-5.5897435897435912</c:v>
                </c:pt>
                <c:pt idx="35">
                  <c:v>-3.8717948717948723</c:v>
                </c:pt>
                <c:pt idx="36">
                  <c:v>0.8461538461538467</c:v>
                </c:pt>
                <c:pt idx="37">
                  <c:v>3.5641025641025657</c:v>
                </c:pt>
                <c:pt idx="38">
                  <c:v>14</c:v>
                </c:pt>
              </c:numCache>
            </c:numRef>
          </c:val>
        </c:ser>
        <c:ser>
          <c:idx val="27"/>
          <c:order val="23"/>
          <c:tx>
            <c:strRef>
              <c:f>'3D Data'!$A$25</c:f>
              <c:strCache>
                <c:ptCount val="1"/>
                <c:pt idx="0">
                  <c:v>13</c:v>
                </c:pt>
              </c:strCache>
            </c:strRef>
          </c:tx>
          <c:val>
            <c:numRef>
              <c:f>'3D Data'!$C$25:$AO$25</c:f>
              <c:numCache>
                <c:formatCode>General</c:formatCode>
                <c:ptCount val="39"/>
                <c:pt idx="0">
                  <c:v>-11</c:v>
                </c:pt>
                <c:pt idx="1">
                  <c:v>-7.4358974358974361</c:v>
                </c:pt>
                <c:pt idx="2">
                  <c:v>-7.8717948717948723</c:v>
                </c:pt>
                <c:pt idx="3">
                  <c:v>-7.3076923076923075</c:v>
                </c:pt>
                <c:pt idx="4">
                  <c:v>-5.7435897435897436</c:v>
                </c:pt>
                <c:pt idx="5">
                  <c:v>-4.1794871794871797</c:v>
                </c:pt>
                <c:pt idx="6">
                  <c:v>-3.6153846153846154</c:v>
                </c:pt>
                <c:pt idx="7">
                  <c:v>-2.0512820512820511</c:v>
                </c:pt>
                <c:pt idx="8">
                  <c:v>-0.48717948717948723</c:v>
                </c:pt>
                <c:pt idx="9">
                  <c:v>-1.9230769230769234</c:v>
                </c:pt>
                <c:pt idx="10">
                  <c:v>-1.3589743589743595</c:v>
                </c:pt>
                <c:pt idx="11">
                  <c:v>-1.7948717948717947</c:v>
                </c:pt>
                <c:pt idx="12">
                  <c:v>-3.2307692307692308</c:v>
                </c:pt>
                <c:pt idx="13">
                  <c:v>-3.666666666666667</c:v>
                </c:pt>
                <c:pt idx="14">
                  <c:v>-5.1025641025641022</c:v>
                </c:pt>
                <c:pt idx="15">
                  <c:v>-5.5384615384615383</c:v>
                </c:pt>
                <c:pt idx="16">
                  <c:v>-5.9743589743589745</c:v>
                </c:pt>
                <c:pt idx="17">
                  <c:v>-5.4102564102564106</c:v>
                </c:pt>
                <c:pt idx="18">
                  <c:v>-6.8461538461538467</c:v>
                </c:pt>
                <c:pt idx="19">
                  <c:v>-6.2820512820512828</c:v>
                </c:pt>
                <c:pt idx="20">
                  <c:v>-5.717948717948719</c:v>
                </c:pt>
                <c:pt idx="21">
                  <c:v>-7.1538461538461533</c:v>
                </c:pt>
                <c:pt idx="22">
                  <c:v>-6.5897435897435894</c:v>
                </c:pt>
                <c:pt idx="23">
                  <c:v>-6.0256410256410255</c:v>
                </c:pt>
                <c:pt idx="24">
                  <c:v>-5.4615384615384617</c:v>
                </c:pt>
                <c:pt idx="25">
                  <c:v>-3.8974358974358978</c:v>
                </c:pt>
                <c:pt idx="26">
                  <c:v>-3.3333333333333339</c:v>
                </c:pt>
                <c:pt idx="27">
                  <c:v>-1.7692307692307701</c:v>
                </c:pt>
                <c:pt idx="28">
                  <c:v>-1.2051282051282044</c:v>
                </c:pt>
                <c:pt idx="29">
                  <c:v>0.3589743589743577</c:v>
                </c:pt>
                <c:pt idx="30">
                  <c:v>2.9230769230769234</c:v>
                </c:pt>
                <c:pt idx="31">
                  <c:v>4.4871794871794854</c:v>
                </c:pt>
                <c:pt idx="32">
                  <c:v>5.0512820512820511</c:v>
                </c:pt>
                <c:pt idx="33">
                  <c:v>6.6153846153846168</c:v>
                </c:pt>
                <c:pt idx="34">
                  <c:v>7.1794871794871788</c:v>
                </c:pt>
                <c:pt idx="35">
                  <c:v>7.7435897435897445</c:v>
                </c:pt>
                <c:pt idx="36">
                  <c:v>8.3076923076923066</c:v>
                </c:pt>
                <c:pt idx="37">
                  <c:v>8.8717948717948723</c:v>
                </c:pt>
                <c:pt idx="38">
                  <c:v>11</c:v>
                </c:pt>
              </c:numCache>
            </c:numRef>
          </c:val>
        </c:ser>
        <c:ser>
          <c:idx val="14"/>
          <c:order val="24"/>
          <c:tx>
            <c:strRef>
              <c:f>'3D Data'!$A$26</c:f>
              <c:strCache>
                <c:ptCount val="1"/>
                <c:pt idx="0">
                  <c:v>11</c:v>
                </c:pt>
              </c:strCache>
            </c:strRef>
          </c:tx>
          <c:val>
            <c:numRef>
              <c:f>'3D Data'!$C$26:$AO$26</c:f>
              <c:numCache>
                <c:formatCode>General</c:formatCode>
                <c:ptCount val="39"/>
                <c:pt idx="0">
                  <c:v>-13.5</c:v>
                </c:pt>
                <c:pt idx="1">
                  <c:v>-12.807692307692308</c:v>
                </c:pt>
                <c:pt idx="2">
                  <c:v>-10.115384615384615</c:v>
                </c:pt>
                <c:pt idx="3">
                  <c:v>-7.4230769230769234</c:v>
                </c:pt>
                <c:pt idx="4">
                  <c:v>-5.7307692307692308</c:v>
                </c:pt>
                <c:pt idx="5">
                  <c:v>-5.0384615384615383</c:v>
                </c:pt>
                <c:pt idx="6">
                  <c:v>-6.3461538461538467</c:v>
                </c:pt>
                <c:pt idx="7">
                  <c:v>-7.6538461538461542</c:v>
                </c:pt>
                <c:pt idx="8">
                  <c:v>-9.9615384615384617</c:v>
                </c:pt>
                <c:pt idx="9">
                  <c:v>-14.26923076923077</c:v>
                </c:pt>
                <c:pt idx="10">
                  <c:v>-20.576923076923077</c:v>
                </c:pt>
                <c:pt idx="11">
                  <c:v>-24.884615384615387</c:v>
                </c:pt>
                <c:pt idx="12">
                  <c:v>-28.192307692307693</c:v>
                </c:pt>
                <c:pt idx="13">
                  <c:v>-33.5</c:v>
                </c:pt>
                <c:pt idx="14">
                  <c:v>-37.807692307692307</c:v>
                </c:pt>
                <c:pt idx="15">
                  <c:v>-42.115384615384613</c:v>
                </c:pt>
                <c:pt idx="16">
                  <c:v>-42.42307692307692</c:v>
                </c:pt>
                <c:pt idx="17">
                  <c:v>-42.730769230769234</c:v>
                </c:pt>
                <c:pt idx="18">
                  <c:v>-44.03846153846154</c:v>
                </c:pt>
                <c:pt idx="19">
                  <c:v>-43.346153846153847</c:v>
                </c:pt>
                <c:pt idx="20">
                  <c:v>-42.653846153846153</c:v>
                </c:pt>
                <c:pt idx="21">
                  <c:v>-41.96153846153846</c:v>
                </c:pt>
                <c:pt idx="22">
                  <c:v>-41.269230769230774</c:v>
                </c:pt>
                <c:pt idx="23">
                  <c:v>-39.57692307692308</c:v>
                </c:pt>
                <c:pt idx="24">
                  <c:v>-39.884615384615387</c:v>
                </c:pt>
                <c:pt idx="25">
                  <c:v>-40.192307692307693</c:v>
                </c:pt>
                <c:pt idx="26">
                  <c:v>-40.5</c:v>
                </c:pt>
                <c:pt idx="27">
                  <c:v>-40.807692307692307</c:v>
                </c:pt>
                <c:pt idx="28">
                  <c:v>-42.115384615384613</c:v>
                </c:pt>
                <c:pt idx="29">
                  <c:v>-43.42307692307692</c:v>
                </c:pt>
                <c:pt idx="30">
                  <c:v>-41.730769230769226</c:v>
                </c:pt>
                <c:pt idx="31">
                  <c:v>-38.03846153846154</c:v>
                </c:pt>
                <c:pt idx="32">
                  <c:v>-33.346153846153847</c:v>
                </c:pt>
                <c:pt idx="33">
                  <c:v>-26.653846153846153</c:v>
                </c:pt>
                <c:pt idx="34">
                  <c:v>-19.961538461538463</c:v>
                </c:pt>
                <c:pt idx="35">
                  <c:v>-8.2692307692307701</c:v>
                </c:pt>
                <c:pt idx="36">
                  <c:v>-2.5769230769230766</c:v>
                </c:pt>
                <c:pt idx="37">
                  <c:v>2.1153846153846132</c:v>
                </c:pt>
                <c:pt idx="38">
                  <c:v>13.5</c:v>
                </c:pt>
              </c:numCache>
            </c:numRef>
          </c:val>
        </c:ser>
        <c:ser>
          <c:idx val="28"/>
          <c:order val="25"/>
          <c:tx>
            <c:strRef>
              <c:f>'3D Data'!$A$27</c:f>
              <c:strCache>
                <c:ptCount val="1"/>
                <c:pt idx="0">
                  <c:v>9</c:v>
                </c:pt>
              </c:strCache>
            </c:strRef>
          </c:tx>
          <c:val>
            <c:numRef>
              <c:f>'3D Data'!$C$27:$AO$27</c:f>
              <c:numCache>
                <c:formatCode>General</c:formatCode>
                <c:ptCount val="39"/>
                <c:pt idx="0">
                  <c:v>-11</c:v>
                </c:pt>
                <c:pt idx="1">
                  <c:v>-7.4358974358974361</c:v>
                </c:pt>
                <c:pt idx="2">
                  <c:v>-7.8717948717948723</c:v>
                </c:pt>
                <c:pt idx="3">
                  <c:v>-7.3076923076923075</c:v>
                </c:pt>
                <c:pt idx="4">
                  <c:v>-5.7435897435897436</c:v>
                </c:pt>
                <c:pt idx="5">
                  <c:v>-4.1794871794871797</c:v>
                </c:pt>
                <c:pt idx="6">
                  <c:v>-3.6153846153846154</c:v>
                </c:pt>
                <c:pt idx="7">
                  <c:v>-2.0512820512820511</c:v>
                </c:pt>
                <c:pt idx="8">
                  <c:v>-0.48717948717948723</c:v>
                </c:pt>
                <c:pt idx="9">
                  <c:v>-1.9230769230769234</c:v>
                </c:pt>
                <c:pt idx="10">
                  <c:v>-1.3589743589743595</c:v>
                </c:pt>
                <c:pt idx="11">
                  <c:v>-1.7948717948717947</c:v>
                </c:pt>
                <c:pt idx="12">
                  <c:v>-3.2307692307692308</c:v>
                </c:pt>
                <c:pt idx="13">
                  <c:v>-3.666666666666667</c:v>
                </c:pt>
                <c:pt idx="14">
                  <c:v>-5.1025641025641022</c:v>
                </c:pt>
                <c:pt idx="15">
                  <c:v>-5.5384615384615383</c:v>
                </c:pt>
                <c:pt idx="16">
                  <c:v>-5.9743589743589745</c:v>
                </c:pt>
                <c:pt idx="17">
                  <c:v>-5.4102564102564106</c:v>
                </c:pt>
                <c:pt idx="18">
                  <c:v>-6.8461538461538467</c:v>
                </c:pt>
                <c:pt idx="19">
                  <c:v>-6.2820512820512828</c:v>
                </c:pt>
                <c:pt idx="20">
                  <c:v>-5.717948717948719</c:v>
                </c:pt>
                <c:pt idx="21">
                  <c:v>-7.1538461538461533</c:v>
                </c:pt>
                <c:pt idx="22">
                  <c:v>-6.5897435897435894</c:v>
                </c:pt>
                <c:pt idx="23">
                  <c:v>-6.0256410256410255</c:v>
                </c:pt>
                <c:pt idx="24">
                  <c:v>-5.4615384615384617</c:v>
                </c:pt>
                <c:pt idx="25">
                  <c:v>-3.8974358974358978</c:v>
                </c:pt>
                <c:pt idx="26">
                  <c:v>-3.3333333333333339</c:v>
                </c:pt>
                <c:pt idx="27">
                  <c:v>-1.7692307692307701</c:v>
                </c:pt>
                <c:pt idx="28">
                  <c:v>-1.2051282051282044</c:v>
                </c:pt>
                <c:pt idx="29">
                  <c:v>0.3589743589743577</c:v>
                </c:pt>
                <c:pt idx="30">
                  <c:v>2.9230769230769234</c:v>
                </c:pt>
                <c:pt idx="31">
                  <c:v>4.4871794871794854</c:v>
                </c:pt>
                <c:pt idx="32">
                  <c:v>5.0512820512820511</c:v>
                </c:pt>
                <c:pt idx="33">
                  <c:v>6.6153846153846168</c:v>
                </c:pt>
                <c:pt idx="34">
                  <c:v>7.1794871794871788</c:v>
                </c:pt>
                <c:pt idx="35">
                  <c:v>7.7435897435897445</c:v>
                </c:pt>
                <c:pt idx="36">
                  <c:v>8.3076923076923066</c:v>
                </c:pt>
                <c:pt idx="37">
                  <c:v>8.8717948717948723</c:v>
                </c:pt>
                <c:pt idx="38">
                  <c:v>11</c:v>
                </c:pt>
              </c:numCache>
            </c:numRef>
          </c:val>
        </c:ser>
        <c:ser>
          <c:idx val="15"/>
          <c:order val="26"/>
          <c:tx>
            <c:strRef>
              <c:f>'3D Data'!$A$28</c:f>
              <c:strCache>
                <c:ptCount val="1"/>
                <c:pt idx="0">
                  <c:v>7</c:v>
                </c:pt>
              </c:strCache>
            </c:strRef>
          </c:tx>
          <c:val>
            <c:numRef>
              <c:f>'3D Data'!$C$28:$AO$28</c:f>
              <c:numCache>
                <c:formatCode>General</c:formatCode>
                <c:ptCount val="39"/>
                <c:pt idx="0">
                  <c:v>4.5</c:v>
                </c:pt>
                <c:pt idx="1">
                  <c:v>4.2692307692307692</c:v>
                </c:pt>
                <c:pt idx="2">
                  <c:v>3.0384615384615383</c:v>
                </c:pt>
                <c:pt idx="3">
                  <c:v>1.8076923076923077</c:v>
                </c:pt>
                <c:pt idx="4">
                  <c:v>-0.42307692307692313</c:v>
                </c:pt>
                <c:pt idx="5">
                  <c:v>-3.6538461538461542</c:v>
                </c:pt>
                <c:pt idx="6">
                  <c:v>-6.884615384615385</c:v>
                </c:pt>
                <c:pt idx="7">
                  <c:v>-11.115384615384615</c:v>
                </c:pt>
                <c:pt idx="8">
                  <c:v>-16.346153846153847</c:v>
                </c:pt>
                <c:pt idx="9">
                  <c:v>-22.576923076923077</c:v>
                </c:pt>
                <c:pt idx="10">
                  <c:v>-28.807692307692307</c:v>
                </c:pt>
                <c:pt idx="11">
                  <c:v>-36.03846153846154</c:v>
                </c:pt>
                <c:pt idx="12">
                  <c:v>-42.269230769230766</c:v>
                </c:pt>
                <c:pt idx="13">
                  <c:v>-49.5</c:v>
                </c:pt>
                <c:pt idx="14">
                  <c:v>-55.730769230769234</c:v>
                </c:pt>
                <c:pt idx="15">
                  <c:v>-61.96153846153846</c:v>
                </c:pt>
                <c:pt idx="16">
                  <c:v>-64.192307692307693</c:v>
                </c:pt>
                <c:pt idx="17">
                  <c:v>-67.42307692307692</c:v>
                </c:pt>
                <c:pt idx="18">
                  <c:v>-70.65384615384616</c:v>
                </c:pt>
                <c:pt idx="19">
                  <c:v>-69.884615384615387</c:v>
                </c:pt>
                <c:pt idx="20">
                  <c:v>-71.115384615384613</c:v>
                </c:pt>
                <c:pt idx="21">
                  <c:v>-72.34615384615384</c:v>
                </c:pt>
                <c:pt idx="22">
                  <c:v>-71.57692307692308</c:v>
                </c:pt>
                <c:pt idx="23">
                  <c:v>-69.807692307692307</c:v>
                </c:pt>
                <c:pt idx="24">
                  <c:v>-68.038461538461533</c:v>
                </c:pt>
                <c:pt idx="25">
                  <c:v>-66.269230769230774</c:v>
                </c:pt>
                <c:pt idx="26">
                  <c:v>-64.5</c:v>
                </c:pt>
                <c:pt idx="27">
                  <c:v>-63.730769230769234</c:v>
                </c:pt>
                <c:pt idx="28">
                  <c:v>-62.96153846153846</c:v>
                </c:pt>
                <c:pt idx="29">
                  <c:v>-61.192307692307693</c:v>
                </c:pt>
                <c:pt idx="30">
                  <c:v>-58.42307692307692</c:v>
                </c:pt>
                <c:pt idx="31">
                  <c:v>-52.653846153846153</c:v>
                </c:pt>
                <c:pt idx="32">
                  <c:v>-46.884615384615387</c:v>
                </c:pt>
                <c:pt idx="33">
                  <c:v>-39.115384615384613</c:v>
                </c:pt>
                <c:pt idx="34">
                  <c:v>-31.346153846153847</c:v>
                </c:pt>
                <c:pt idx="35">
                  <c:v>-22.576923076923077</c:v>
                </c:pt>
                <c:pt idx="36">
                  <c:v>-16.807692307692307</c:v>
                </c:pt>
                <c:pt idx="37">
                  <c:v>-11.038461538461538</c:v>
                </c:pt>
                <c:pt idx="38">
                  <c:v>-4.5</c:v>
                </c:pt>
              </c:numCache>
            </c:numRef>
          </c:val>
        </c:ser>
        <c:ser>
          <c:idx val="29"/>
          <c:order val="27"/>
          <c:tx>
            <c:strRef>
              <c:f>'3D Data'!$A$29</c:f>
              <c:strCache>
                <c:ptCount val="1"/>
                <c:pt idx="0">
                  <c:v>5</c:v>
                </c:pt>
              </c:strCache>
            </c:strRef>
          </c:tx>
          <c:val>
            <c:numRef>
              <c:f>'3D Data'!$C$29:$AO$29</c:f>
              <c:numCache>
                <c:formatCode>General</c:formatCode>
                <c:ptCount val="39"/>
                <c:pt idx="0">
                  <c:v>-11</c:v>
                </c:pt>
                <c:pt idx="1">
                  <c:v>-7.4358974358974361</c:v>
                </c:pt>
                <c:pt idx="2">
                  <c:v>-7.8717948717948723</c:v>
                </c:pt>
                <c:pt idx="3">
                  <c:v>-7.3076923076923075</c:v>
                </c:pt>
                <c:pt idx="4">
                  <c:v>-5.7435897435897436</c:v>
                </c:pt>
                <c:pt idx="5">
                  <c:v>-4.1794871794871797</c:v>
                </c:pt>
                <c:pt idx="6">
                  <c:v>-3.6153846153846154</c:v>
                </c:pt>
                <c:pt idx="7">
                  <c:v>-2.0512820512820511</c:v>
                </c:pt>
                <c:pt idx="8">
                  <c:v>-0.48717948717948723</c:v>
                </c:pt>
                <c:pt idx="9">
                  <c:v>-1.9230769230769234</c:v>
                </c:pt>
                <c:pt idx="10">
                  <c:v>-1.3589743589743595</c:v>
                </c:pt>
                <c:pt idx="11">
                  <c:v>-1.7948717948717947</c:v>
                </c:pt>
                <c:pt idx="12">
                  <c:v>-3.2307692307692308</c:v>
                </c:pt>
                <c:pt idx="13">
                  <c:v>-3.666666666666667</c:v>
                </c:pt>
                <c:pt idx="14">
                  <c:v>-5.1025641025641022</c:v>
                </c:pt>
                <c:pt idx="15">
                  <c:v>-5.5384615384615383</c:v>
                </c:pt>
                <c:pt idx="16">
                  <c:v>-5.9743589743589745</c:v>
                </c:pt>
                <c:pt idx="17">
                  <c:v>-5.4102564102564106</c:v>
                </c:pt>
                <c:pt idx="18">
                  <c:v>-6.8461538461538467</c:v>
                </c:pt>
                <c:pt idx="19">
                  <c:v>-6.2820512820512828</c:v>
                </c:pt>
                <c:pt idx="20">
                  <c:v>-5.717948717948719</c:v>
                </c:pt>
                <c:pt idx="21">
                  <c:v>-7.1538461538461533</c:v>
                </c:pt>
                <c:pt idx="22">
                  <c:v>-6.5897435897435894</c:v>
                </c:pt>
                <c:pt idx="23">
                  <c:v>-6.0256410256410255</c:v>
                </c:pt>
                <c:pt idx="24">
                  <c:v>-5.4615384615384617</c:v>
                </c:pt>
                <c:pt idx="25">
                  <c:v>-3.8974358974358978</c:v>
                </c:pt>
                <c:pt idx="26">
                  <c:v>-3.3333333333333339</c:v>
                </c:pt>
                <c:pt idx="27">
                  <c:v>-1.7692307692307701</c:v>
                </c:pt>
                <c:pt idx="28">
                  <c:v>-1.2051282051282044</c:v>
                </c:pt>
                <c:pt idx="29">
                  <c:v>0.3589743589743577</c:v>
                </c:pt>
                <c:pt idx="30">
                  <c:v>2.9230769230769234</c:v>
                </c:pt>
                <c:pt idx="31">
                  <c:v>4.4871794871794854</c:v>
                </c:pt>
                <c:pt idx="32">
                  <c:v>5.0512820512820511</c:v>
                </c:pt>
                <c:pt idx="33">
                  <c:v>6.6153846153846168</c:v>
                </c:pt>
                <c:pt idx="34">
                  <c:v>7.1794871794871788</c:v>
                </c:pt>
                <c:pt idx="35">
                  <c:v>7.7435897435897445</c:v>
                </c:pt>
                <c:pt idx="36">
                  <c:v>8.3076923076923066</c:v>
                </c:pt>
                <c:pt idx="37">
                  <c:v>8.8717948717948723</c:v>
                </c:pt>
                <c:pt idx="38">
                  <c:v>11</c:v>
                </c:pt>
              </c:numCache>
            </c:numRef>
          </c:val>
        </c:ser>
        <c:ser>
          <c:idx val="16"/>
          <c:order val="28"/>
          <c:tx>
            <c:strRef>
              <c:f>'3D Data'!$A$30</c:f>
              <c:strCache>
                <c:ptCount val="1"/>
                <c:pt idx="0">
                  <c:v>3</c:v>
                </c:pt>
              </c:strCache>
            </c:strRef>
          </c:tx>
          <c:val>
            <c:numRef>
              <c:f>'3D Data'!$C$30:$AO$30</c:f>
              <c:numCache>
                <c:formatCode>General</c:formatCode>
                <c:ptCount val="39"/>
                <c:pt idx="0">
                  <c:v>0.5</c:v>
                </c:pt>
                <c:pt idx="1">
                  <c:v>0.47435897435897434</c:v>
                </c:pt>
                <c:pt idx="2">
                  <c:v>0.44871794871794873</c:v>
                </c:pt>
                <c:pt idx="3">
                  <c:v>-0.57692307692307687</c:v>
                </c:pt>
                <c:pt idx="4">
                  <c:v>-1.6025641025641026</c:v>
                </c:pt>
                <c:pt idx="5">
                  <c:v>-1.6282051282051282</c:v>
                </c:pt>
                <c:pt idx="6">
                  <c:v>-4.6538461538461542</c:v>
                </c:pt>
                <c:pt idx="7">
                  <c:v>-5.6794871794871797</c:v>
                </c:pt>
                <c:pt idx="8">
                  <c:v>-7.7051282051282053</c:v>
                </c:pt>
                <c:pt idx="9">
                  <c:v>-11.73076923076923</c:v>
                </c:pt>
                <c:pt idx="10">
                  <c:v>-13.756410256410255</c:v>
                </c:pt>
                <c:pt idx="11">
                  <c:v>-16.782051282051281</c:v>
                </c:pt>
                <c:pt idx="12">
                  <c:v>-19.807692307692307</c:v>
                </c:pt>
                <c:pt idx="13">
                  <c:v>-23.833333333333332</c:v>
                </c:pt>
                <c:pt idx="14">
                  <c:v>-27.858974358974358</c:v>
                </c:pt>
                <c:pt idx="15">
                  <c:v>-30.884615384615383</c:v>
                </c:pt>
                <c:pt idx="16">
                  <c:v>-33.910256410256409</c:v>
                </c:pt>
                <c:pt idx="17">
                  <c:v>-35.935897435897438</c:v>
                </c:pt>
                <c:pt idx="18">
                  <c:v>-37.96153846153846</c:v>
                </c:pt>
                <c:pt idx="19">
                  <c:v>-38.987179487179489</c:v>
                </c:pt>
                <c:pt idx="20">
                  <c:v>-40.012820512820511</c:v>
                </c:pt>
                <c:pt idx="21">
                  <c:v>-41.03846153846154</c:v>
                </c:pt>
                <c:pt idx="22">
                  <c:v>-40.064102564102562</c:v>
                </c:pt>
                <c:pt idx="23">
                  <c:v>-39.089743589743591</c:v>
                </c:pt>
                <c:pt idx="24">
                  <c:v>-38.115384615384613</c:v>
                </c:pt>
                <c:pt idx="25">
                  <c:v>-35.141025641025642</c:v>
                </c:pt>
                <c:pt idx="26">
                  <c:v>-33.166666666666664</c:v>
                </c:pt>
                <c:pt idx="27">
                  <c:v>-31.192307692307693</c:v>
                </c:pt>
                <c:pt idx="28">
                  <c:v>-29.217948717948719</c:v>
                </c:pt>
                <c:pt idx="29">
                  <c:v>-27.243589743589745</c:v>
                </c:pt>
                <c:pt idx="30">
                  <c:v>-24.26923076923077</c:v>
                </c:pt>
                <c:pt idx="31">
                  <c:v>-21.294871794871796</c:v>
                </c:pt>
                <c:pt idx="32">
                  <c:v>-19.320512820512821</c:v>
                </c:pt>
                <c:pt idx="33">
                  <c:v>-15.346153846153847</c:v>
                </c:pt>
                <c:pt idx="34">
                  <c:v>-12.371794871794872</c:v>
                </c:pt>
                <c:pt idx="35">
                  <c:v>-7.3974358974358978</c:v>
                </c:pt>
                <c:pt idx="36">
                  <c:v>-5.4230769230769234</c:v>
                </c:pt>
                <c:pt idx="37">
                  <c:v>-3.4487179487179489</c:v>
                </c:pt>
                <c:pt idx="38">
                  <c:v>-0.5</c:v>
                </c:pt>
              </c:numCache>
            </c:numRef>
          </c:val>
        </c:ser>
        <c:ser>
          <c:idx val="17"/>
          <c:order val="29"/>
          <c:tx>
            <c:strRef>
              <c:f>'3D Data'!$A$31</c:f>
              <c:strCache>
                <c:ptCount val="1"/>
                <c:pt idx="0">
                  <c:v>1</c:v>
                </c:pt>
              </c:strCache>
            </c:strRef>
          </c:tx>
          <c:val>
            <c:numRef>
              <c:f>'3D Data'!$C$31:$AO$31</c:f>
              <c:numCache>
                <c:formatCode>General</c:formatCode>
                <c:ptCount val="39"/>
                <c:pt idx="0">
                  <c:v>15</c:v>
                </c:pt>
                <c:pt idx="1">
                  <c:v>17.23076923076923</c:v>
                </c:pt>
                <c:pt idx="2">
                  <c:v>17.46153846153846</c:v>
                </c:pt>
                <c:pt idx="3">
                  <c:v>18.692307692307693</c:v>
                </c:pt>
                <c:pt idx="4">
                  <c:v>20.923076923076923</c:v>
                </c:pt>
                <c:pt idx="5">
                  <c:v>23.153846153846153</c:v>
                </c:pt>
                <c:pt idx="6">
                  <c:v>22.384615384615383</c:v>
                </c:pt>
                <c:pt idx="7">
                  <c:v>22.615384615384613</c:v>
                </c:pt>
                <c:pt idx="8">
                  <c:v>21.846153846153847</c:v>
                </c:pt>
                <c:pt idx="9">
                  <c:v>19.076923076923077</c:v>
                </c:pt>
                <c:pt idx="10">
                  <c:v>16.307692307692307</c:v>
                </c:pt>
                <c:pt idx="11">
                  <c:v>11.538461538461538</c:v>
                </c:pt>
                <c:pt idx="12">
                  <c:v>7.7692307692307683</c:v>
                </c:pt>
                <c:pt idx="13">
                  <c:v>2</c:v>
                </c:pt>
                <c:pt idx="14">
                  <c:v>-5.7692307692307701</c:v>
                </c:pt>
                <c:pt idx="15">
                  <c:v>-12.538461538461538</c:v>
                </c:pt>
                <c:pt idx="16">
                  <c:v>-18.307692307692307</c:v>
                </c:pt>
                <c:pt idx="17">
                  <c:v>-26.07692307692308</c:v>
                </c:pt>
                <c:pt idx="18">
                  <c:v>-31.846153846153847</c:v>
                </c:pt>
                <c:pt idx="19">
                  <c:v>-34.615384615384613</c:v>
                </c:pt>
                <c:pt idx="20">
                  <c:v>-37.384615384615387</c:v>
                </c:pt>
                <c:pt idx="21">
                  <c:v>-39.153846153846153</c:v>
                </c:pt>
                <c:pt idx="22">
                  <c:v>-40.92307692307692</c:v>
                </c:pt>
                <c:pt idx="23">
                  <c:v>-40.692307692307693</c:v>
                </c:pt>
                <c:pt idx="24">
                  <c:v>-40.461538461538467</c:v>
                </c:pt>
                <c:pt idx="25">
                  <c:v>-41.230769230769234</c:v>
                </c:pt>
                <c:pt idx="26">
                  <c:v>-39</c:v>
                </c:pt>
                <c:pt idx="27">
                  <c:v>-38.769230769230774</c:v>
                </c:pt>
                <c:pt idx="28">
                  <c:v>-35.53846153846154</c:v>
                </c:pt>
                <c:pt idx="29">
                  <c:v>-34.307692307692307</c:v>
                </c:pt>
                <c:pt idx="30">
                  <c:v>-33.07692307692308</c:v>
                </c:pt>
                <c:pt idx="31">
                  <c:v>-29.846153846153847</c:v>
                </c:pt>
                <c:pt idx="32">
                  <c:v>-28.615384615384617</c:v>
                </c:pt>
                <c:pt idx="33">
                  <c:v>-27.384615384615387</c:v>
                </c:pt>
                <c:pt idx="34">
                  <c:v>-25.153846153846157</c:v>
                </c:pt>
                <c:pt idx="35">
                  <c:v>-21.923076923076923</c:v>
                </c:pt>
                <c:pt idx="36">
                  <c:v>-20.692307692307693</c:v>
                </c:pt>
                <c:pt idx="37">
                  <c:v>-20.461538461538463</c:v>
                </c:pt>
                <c:pt idx="38">
                  <c:v>-15</c:v>
                </c:pt>
              </c:numCache>
            </c:numRef>
          </c:val>
        </c:ser>
        <c:bandFmts>
          <c:bandFmt>
            <c:idx val="0"/>
            <c:spPr>
              <a:solidFill>
                <a:srgbClr val="FF0000"/>
              </a:solidFill>
            </c:spPr>
          </c:bandFmt>
          <c:bandFmt>
            <c:idx val="1"/>
            <c:spPr>
              <a:solidFill>
                <a:srgbClr val="FF0000"/>
              </a:solidFill>
            </c:spPr>
          </c:bandFmt>
          <c:bandFmt>
            <c:idx val="2"/>
            <c:spPr>
              <a:solidFill>
                <a:srgbClr val="FF0000"/>
              </a:solidFill>
            </c:spPr>
          </c:bandFmt>
          <c:bandFmt>
            <c:idx val="3"/>
            <c:spPr>
              <a:solidFill>
                <a:srgbClr val="FF0000"/>
              </a:solidFill>
            </c:spPr>
          </c:bandFmt>
          <c:bandFmt>
            <c:idx val="4"/>
            <c:spPr>
              <a:solidFill>
                <a:srgbClr val="FFFF00"/>
              </a:solidFill>
            </c:spPr>
          </c:bandFmt>
          <c:bandFmt>
            <c:idx val="6"/>
            <c:spPr>
              <a:solidFill>
                <a:srgbClr val="92D050"/>
              </a:solidFill>
            </c:spPr>
          </c:bandFmt>
          <c:bandFmt>
            <c:idx val="7"/>
            <c:spPr>
              <a:solidFill>
                <a:srgbClr val="00B050"/>
              </a:solidFill>
            </c:spPr>
          </c:bandFmt>
          <c:bandFmt>
            <c:idx val="8"/>
            <c:spPr>
              <a:solidFill>
                <a:srgbClr val="00B050"/>
              </a:solidFill>
            </c:spPr>
          </c:bandFmt>
          <c:bandFmt>
            <c:idx val="9"/>
            <c:spPr>
              <a:solidFill>
                <a:srgbClr val="92D050"/>
              </a:solidFill>
            </c:spPr>
          </c:bandFmt>
          <c:bandFmt>
            <c:idx val="10"/>
            <c:spPr>
              <a:solidFill>
                <a:schemeClr val="accent6"/>
              </a:solidFill>
            </c:spPr>
          </c:bandFmt>
          <c:bandFmt>
            <c:idx val="11"/>
            <c:spPr>
              <a:solidFill>
                <a:srgbClr val="FFFF00"/>
              </a:solidFill>
            </c:spPr>
          </c:bandFmt>
          <c:bandFmt>
            <c:idx val="12"/>
            <c:spPr>
              <a:solidFill>
                <a:srgbClr val="FF0000"/>
              </a:solidFill>
            </c:spPr>
          </c:bandFmt>
          <c:bandFmt>
            <c:idx val="13"/>
            <c:spPr>
              <a:solidFill>
                <a:srgbClr val="FF0000"/>
              </a:solidFill>
            </c:spPr>
          </c:bandFmt>
          <c:bandFmt>
            <c:idx val="14"/>
            <c:spPr>
              <a:solidFill>
                <a:srgbClr val="FF0000"/>
              </a:solidFill>
            </c:spPr>
          </c:bandFmt>
          <c:bandFmt>
            <c:idx val="15"/>
            <c:spPr>
              <a:solidFill>
                <a:srgbClr val="FF0000"/>
              </a:solidFill>
            </c:spPr>
          </c:bandFmt>
        </c:bandFmts>
        <c:axId val="137627136"/>
        <c:axId val="137628672"/>
        <c:axId val="137597824"/>
      </c:surface3DChart>
      <c:catAx>
        <c:axId val="137627136"/>
        <c:scaling>
          <c:orientation val="minMax"/>
        </c:scaling>
        <c:axPos val="b"/>
        <c:tickLblPos val="none"/>
        <c:txPr>
          <a:bodyPr rot="0" anchor="b" anchorCtr="1"/>
          <a:lstStyle/>
          <a:p>
            <a:pPr>
              <a:defRPr sz="1000" baseline="0"/>
            </a:pPr>
            <a:endParaRPr lang="en-US"/>
          </a:p>
        </c:txPr>
        <c:crossAx val="137628672"/>
        <c:crosses val="autoZero"/>
        <c:auto val="1"/>
        <c:lblAlgn val="ctr"/>
        <c:lblOffset val="100"/>
        <c:tickLblSkip val="5"/>
        <c:tickMarkSkip val="1"/>
      </c:catAx>
      <c:valAx>
        <c:axId val="137628672"/>
        <c:scaling>
          <c:orientation val="minMax"/>
          <c:max val="80"/>
          <c:min val="-80"/>
        </c:scaling>
        <c:axPos val="l"/>
        <c:majorGridlines/>
        <c:numFmt formatCode="General" sourceLinked="1"/>
        <c:tickLblPos val="nextTo"/>
        <c:crossAx val="137627136"/>
        <c:crosses val="autoZero"/>
        <c:crossBetween val="midCat"/>
        <c:majorUnit val="10"/>
        <c:minorUnit val="10"/>
      </c:valAx>
      <c:serAx>
        <c:axId val="137597824"/>
        <c:scaling>
          <c:orientation val="maxMin"/>
        </c:scaling>
        <c:axPos val="b"/>
        <c:tickLblPos val="low"/>
        <c:spPr>
          <a:ln w="38100" cap="flat">
            <a:solidFill>
              <a:schemeClr val="tx1">
                <a:lumMod val="85000"/>
                <a:lumOff val="15000"/>
              </a:schemeClr>
            </a:solidFill>
            <a:prstDash val="dashDot"/>
            <a:round/>
            <a:headEnd w="med" len="lg"/>
            <a:tailEnd type="none"/>
          </a:ln>
        </c:spPr>
        <c:txPr>
          <a:bodyPr rot="1920000" anchor="b" anchorCtr="0"/>
          <a:lstStyle/>
          <a:p>
            <a:pPr>
              <a:defRPr/>
            </a:pPr>
            <a:endParaRPr lang="en-US"/>
          </a:p>
        </c:txPr>
        <c:crossAx val="137628672"/>
        <c:crosses val="autoZero"/>
      </c:serAx>
    </c:plotArea>
    <c:legend>
      <c:legendPos val="r"/>
      <c:legendEntry>
        <c:idx val="0"/>
        <c:txPr>
          <a:bodyPr/>
          <a:lstStyle/>
          <a:p>
            <a:pPr rtl="0">
              <a:defRPr/>
            </a:pPr>
            <a:endParaRPr lang="en-US"/>
          </a:p>
        </c:txPr>
      </c:legendEntry>
      <c:legendEntry>
        <c:idx val="1"/>
        <c:txPr>
          <a:bodyPr/>
          <a:lstStyle/>
          <a:p>
            <a:pPr rtl="0">
              <a:defRPr/>
            </a:pPr>
            <a:endParaRPr lang="en-US"/>
          </a:p>
        </c:txPr>
      </c:legendEntry>
      <c:legendEntry>
        <c:idx val="2"/>
        <c:txPr>
          <a:bodyPr/>
          <a:lstStyle/>
          <a:p>
            <a:pPr rtl="0">
              <a:defRPr/>
            </a:pPr>
            <a:endParaRPr lang="en-US"/>
          </a:p>
        </c:txPr>
      </c:legendEntry>
      <c:legendEntry>
        <c:idx val="3"/>
        <c:txPr>
          <a:bodyPr/>
          <a:lstStyle/>
          <a:p>
            <a:pPr rtl="0">
              <a:defRPr/>
            </a:pPr>
            <a:endParaRPr lang="en-US"/>
          </a:p>
        </c:txPr>
      </c:legendEntry>
      <c:legendEntry>
        <c:idx val="4"/>
        <c:txPr>
          <a:bodyPr/>
          <a:lstStyle/>
          <a:p>
            <a:pPr rtl="0">
              <a:defRPr/>
            </a:pPr>
            <a:endParaRPr lang="en-US"/>
          </a:p>
        </c:txPr>
      </c:legendEntry>
      <c:legendEntry>
        <c:idx val="6"/>
        <c:txPr>
          <a:bodyPr/>
          <a:lstStyle/>
          <a:p>
            <a:pPr rtl="0">
              <a:defRPr/>
            </a:pPr>
            <a:endParaRPr lang="en-US"/>
          </a:p>
        </c:txPr>
      </c:legendEntry>
      <c:legendEntry>
        <c:idx val="7"/>
        <c:txPr>
          <a:bodyPr/>
          <a:lstStyle/>
          <a:p>
            <a:pPr rtl="0">
              <a:defRPr/>
            </a:pPr>
            <a:endParaRPr lang="en-US"/>
          </a:p>
        </c:txPr>
      </c:legendEntry>
      <c:legendEntry>
        <c:idx val="8"/>
        <c:txPr>
          <a:bodyPr/>
          <a:lstStyle/>
          <a:p>
            <a:pPr rtl="0">
              <a:defRPr/>
            </a:pPr>
            <a:endParaRPr lang="en-US"/>
          </a:p>
        </c:txPr>
      </c:legendEntry>
      <c:legendEntry>
        <c:idx val="9"/>
        <c:txPr>
          <a:bodyPr/>
          <a:lstStyle/>
          <a:p>
            <a:pPr rtl="0">
              <a:defRPr/>
            </a:pPr>
            <a:endParaRPr lang="en-US"/>
          </a:p>
        </c:txPr>
      </c:legendEntry>
      <c:legendEntry>
        <c:idx val="10"/>
        <c:txPr>
          <a:bodyPr/>
          <a:lstStyle/>
          <a:p>
            <a:pPr rtl="0">
              <a:defRPr/>
            </a:pPr>
            <a:endParaRPr lang="en-US"/>
          </a:p>
        </c:txPr>
      </c:legendEntry>
      <c:legendEntry>
        <c:idx val="11"/>
        <c:txPr>
          <a:bodyPr/>
          <a:lstStyle/>
          <a:p>
            <a:pPr rtl="0">
              <a:defRPr/>
            </a:pPr>
            <a:endParaRPr lang="en-US"/>
          </a:p>
        </c:txPr>
      </c:legendEntry>
      <c:legendEntry>
        <c:idx val="12"/>
        <c:txPr>
          <a:bodyPr/>
          <a:lstStyle/>
          <a:p>
            <a:pPr rtl="0">
              <a:defRPr/>
            </a:pPr>
            <a:endParaRPr lang="en-US"/>
          </a:p>
        </c:txPr>
      </c:legendEntry>
      <c:legendEntry>
        <c:idx val="13"/>
        <c:txPr>
          <a:bodyPr/>
          <a:lstStyle/>
          <a:p>
            <a:pPr rtl="0">
              <a:defRPr/>
            </a:pPr>
            <a:endParaRPr lang="en-US"/>
          </a:p>
        </c:txPr>
      </c:legendEntry>
      <c:legendEntry>
        <c:idx val="14"/>
        <c:txPr>
          <a:bodyPr/>
          <a:lstStyle/>
          <a:p>
            <a:pPr rtl="0">
              <a:defRPr/>
            </a:pPr>
            <a:endParaRPr lang="en-US"/>
          </a:p>
        </c:txPr>
      </c:legendEntry>
      <c:legendEntry>
        <c:idx val="15"/>
        <c:txPr>
          <a:bodyPr/>
          <a:lstStyle/>
          <a:p>
            <a:pPr rtl="0">
              <a:defRPr/>
            </a:pPr>
            <a:endParaRPr lang="en-US"/>
          </a:p>
        </c:txPr>
      </c:legendEntry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7275</xdr:rowOff>
    </xdr:from>
    <xdr:to>
      <xdr:col>12</xdr:col>
      <xdr:colOff>578304</xdr:colOff>
      <xdr:row>54</xdr:row>
      <xdr:rowOff>3119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338541</xdr:colOff>
      <xdr:row>2</xdr:row>
      <xdr:rowOff>72891</xdr:rowOff>
    </xdr:from>
    <xdr:to>
      <xdr:col>5</xdr:col>
      <xdr:colOff>346473</xdr:colOff>
      <xdr:row>50</xdr:row>
      <xdr:rowOff>12709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83068</xdr:colOff>
      <xdr:row>2</xdr:row>
      <xdr:rowOff>68216</xdr:rowOff>
    </xdr:from>
    <xdr:to>
      <xdr:col>6</xdr:col>
      <xdr:colOff>91000</xdr:colOff>
      <xdr:row>50</xdr:row>
      <xdr:rowOff>3272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472838</xdr:colOff>
      <xdr:row>2</xdr:row>
      <xdr:rowOff>55074</xdr:rowOff>
    </xdr:from>
    <xdr:to>
      <xdr:col>6</xdr:col>
      <xdr:colOff>480770</xdr:colOff>
      <xdr:row>49</xdr:row>
      <xdr:rowOff>156818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570591</xdr:colOff>
      <xdr:row>2</xdr:row>
      <xdr:rowOff>66979</xdr:rowOff>
    </xdr:from>
    <xdr:to>
      <xdr:col>4</xdr:col>
      <xdr:colOff>578523</xdr:colOff>
      <xdr:row>50</xdr:row>
      <xdr:rowOff>6798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187777</xdr:colOff>
      <xdr:row>2</xdr:row>
      <xdr:rowOff>63795</xdr:rowOff>
    </xdr:from>
    <xdr:to>
      <xdr:col>4</xdr:col>
      <xdr:colOff>195709</xdr:colOff>
      <xdr:row>49</xdr:row>
      <xdr:rowOff>160776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445935</xdr:colOff>
      <xdr:row>2</xdr:row>
      <xdr:rowOff>75762</xdr:rowOff>
    </xdr:from>
    <xdr:to>
      <xdr:col>3</xdr:col>
      <xdr:colOff>453867</xdr:colOff>
      <xdr:row>50</xdr:row>
      <xdr:rowOff>10818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67514</xdr:colOff>
      <xdr:row>2</xdr:row>
      <xdr:rowOff>89983</xdr:rowOff>
    </xdr:from>
    <xdr:to>
      <xdr:col>3</xdr:col>
      <xdr:colOff>75446</xdr:colOff>
      <xdr:row>50</xdr:row>
      <xdr:rowOff>25039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57271</xdr:colOff>
      <xdr:row>38</xdr:row>
      <xdr:rowOff>135354</xdr:rowOff>
    </xdr:from>
    <xdr:to>
      <xdr:col>6</xdr:col>
      <xdr:colOff>138914</xdr:colOff>
      <xdr:row>40</xdr:row>
      <xdr:rowOff>79204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189811</xdr:colOff>
      <xdr:row>37</xdr:row>
      <xdr:rowOff>91625</xdr:rowOff>
    </xdr:from>
    <xdr:to>
      <xdr:col>4</xdr:col>
      <xdr:colOff>272631</xdr:colOff>
      <xdr:row>39</xdr:row>
      <xdr:rowOff>35475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41728</xdr:colOff>
      <xdr:row>39</xdr:row>
      <xdr:rowOff>154991</xdr:rowOff>
    </xdr:from>
    <xdr:to>
      <xdr:col>3</xdr:col>
      <xdr:colOff>119496</xdr:colOff>
      <xdr:row>41</xdr:row>
      <xdr:rowOff>100077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439442</xdr:colOff>
      <xdr:row>40</xdr:row>
      <xdr:rowOff>18215</xdr:rowOff>
    </xdr:from>
    <xdr:to>
      <xdr:col>6</xdr:col>
      <xdr:colOff>517210</xdr:colOff>
      <xdr:row>41</xdr:row>
      <xdr:rowOff>122573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543701</xdr:colOff>
      <xdr:row>36</xdr:row>
      <xdr:rowOff>68374</xdr:rowOff>
    </xdr:from>
    <xdr:to>
      <xdr:col>5</xdr:col>
      <xdr:colOff>9165</xdr:colOff>
      <xdr:row>38</xdr:row>
      <xdr:rowOff>43584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416610</xdr:colOff>
      <xdr:row>38</xdr:row>
      <xdr:rowOff>131745</xdr:rowOff>
    </xdr:from>
    <xdr:to>
      <xdr:col>3</xdr:col>
      <xdr:colOff>494285</xdr:colOff>
      <xdr:row>40</xdr:row>
      <xdr:rowOff>75594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316858</xdr:colOff>
      <xdr:row>37</xdr:row>
      <xdr:rowOff>100747</xdr:rowOff>
    </xdr:from>
    <xdr:to>
      <xdr:col>5</xdr:col>
      <xdr:colOff>404756</xdr:colOff>
      <xdr:row>39</xdr:row>
      <xdr:rowOff>49844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8</xdr:col>
      <xdr:colOff>95251</xdr:colOff>
      <xdr:row>13</xdr:row>
      <xdr:rowOff>11907</xdr:rowOff>
    </xdr:from>
    <xdr:to>
      <xdr:col>10</xdr:col>
      <xdr:colOff>496957</xdr:colOff>
      <xdr:row>39</xdr:row>
      <xdr:rowOff>50006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54381" y="2165385"/>
          <a:ext cx="1616489" cy="434505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152398</xdr:rowOff>
    </xdr:from>
    <xdr:to>
      <xdr:col>34</xdr:col>
      <xdr:colOff>171450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D117"/>
  <sheetViews>
    <sheetView tabSelected="1" showWhiteSpace="0" view="pageBreakPreview" topLeftCell="D1" zoomScale="70" zoomScaleNormal="100" zoomScaleSheetLayoutView="70" workbookViewId="0">
      <selection activeCell="J33" sqref="J33"/>
    </sheetView>
  </sheetViews>
  <sheetFormatPr defaultColWidth="8" defaultRowHeight="0.95" customHeight="1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2578125" hidden="1" customWidth="1"/>
    <col min="95" max="95" width="9.140625" style="27" hidden="1" customWidth="1"/>
    <col min="96" max="108" width="8" hidden="1" customWidth="1"/>
  </cols>
  <sheetData>
    <row r="1" spans="1:100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7" t="s">
        <v>89</v>
      </c>
      <c r="AW1" s="44">
        <v>20</v>
      </c>
      <c r="AX1" s="83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</v>
      </c>
      <c r="B2" t="s">
        <v>59</v>
      </c>
      <c r="C2" t="s">
        <v>60</v>
      </c>
      <c r="D2" s="28">
        <v>59</v>
      </c>
      <c r="E2">
        <v>18</v>
      </c>
      <c r="F2" t="s">
        <v>61</v>
      </c>
      <c r="G2" t="s">
        <v>62</v>
      </c>
      <c r="H2" s="73">
        <v>-3</v>
      </c>
      <c r="I2" s="73">
        <v>70</v>
      </c>
      <c r="J2" s="29"/>
      <c r="K2" s="29">
        <v>0</v>
      </c>
      <c r="L2" s="29">
        <v>-1</v>
      </c>
      <c r="M2" s="29">
        <v>3</v>
      </c>
      <c r="N2" s="29">
        <v>3</v>
      </c>
      <c r="O2" s="29">
        <v>2</v>
      </c>
      <c r="P2" s="29">
        <v>2</v>
      </c>
      <c r="Q2" s="29">
        <v>2</v>
      </c>
      <c r="R2" s="29">
        <v>3</v>
      </c>
      <c r="S2" s="29">
        <v>3</v>
      </c>
      <c r="T2" s="29">
        <v>4</v>
      </c>
      <c r="U2" s="29">
        <v>4</v>
      </c>
      <c r="V2" s="29">
        <v>4</v>
      </c>
      <c r="W2" s="29">
        <v>4</v>
      </c>
      <c r="X2" s="29">
        <v>5</v>
      </c>
      <c r="Y2" s="30">
        <v>5</v>
      </c>
      <c r="Z2" s="30">
        <v>6</v>
      </c>
      <c r="AA2" s="30">
        <v>6</v>
      </c>
      <c r="AB2" s="30">
        <v>5</v>
      </c>
      <c r="AC2" s="29">
        <v>4</v>
      </c>
      <c r="AD2" s="29">
        <v>4</v>
      </c>
      <c r="AE2" s="29">
        <v>4</v>
      </c>
      <c r="AF2" s="29">
        <v>4</v>
      </c>
      <c r="AG2" s="29">
        <v>3</v>
      </c>
      <c r="AH2" s="29">
        <v>2</v>
      </c>
      <c r="AI2" s="29">
        <v>1</v>
      </c>
      <c r="AJ2" s="29">
        <v>1</v>
      </c>
      <c r="AK2" s="29">
        <v>0</v>
      </c>
      <c r="AL2" s="29">
        <v>-1</v>
      </c>
      <c r="AM2" s="29">
        <v>-2</v>
      </c>
      <c r="AN2" s="29">
        <v>-2</v>
      </c>
      <c r="AO2" s="29">
        <v>-3</v>
      </c>
      <c r="AP2" s="29">
        <v>-3</v>
      </c>
      <c r="AQ2" s="29">
        <v>-4</v>
      </c>
      <c r="AR2" s="29">
        <v>-4</v>
      </c>
      <c r="AS2" s="29">
        <v>-4</v>
      </c>
      <c r="AT2" s="29">
        <v>-5</v>
      </c>
      <c r="AU2" s="30">
        <v>-6</v>
      </c>
      <c r="AV2" s="30">
        <v>-6</v>
      </c>
      <c r="AW2" s="30">
        <v>-6</v>
      </c>
      <c r="AX2" s="30">
        <v>-6</v>
      </c>
      <c r="AY2" s="30">
        <v>-6</v>
      </c>
      <c r="AZ2" s="30">
        <v>-7</v>
      </c>
      <c r="BA2" s="30">
        <v>-8</v>
      </c>
      <c r="BB2" s="30">
        <v>-8</v>
      </c>
      <c r="BC2" s="30">
        <v>-8</v>
      </c>
      <c r="BD2" s="30">
        <v>-8</v>
      </c>
      <c r="BE2" s="30">
        <v>-8</v>
      </c>
      <c r="BF2" s="30">
        <v>-8</v>
      </c>
      <c r="BG2" s="30">
        <v>-8</v>
      </c>
      <c r="BH2" s="30">
        <v>-7</v>
      </c>
      <c r="BI2" s="30">
        <v>-7</v>
      </c>
      <c r="BJ2" s="30">
        <v>-7</v>
      </c>
      <c r="BK2" s="30">
        <v>-7</v>
      </c>
      <c r="BL2" s="30">
        <v>-6</v>
      </c>
      <c r="BM2" s="30">
        <v>-6</v>
      </c>
      <c r="BN2" s="30">
        <v>-6</v>
      </c>
      <c r="BO2" s="30">
        <v>-6</v>
      </c>
      <c r="BP2" s="30">
        <v>-5</v>
      </c>
      <c r="BQ2" s="30">
        <v>-5</v>
      </c>
      <c r="BR2" s="30">
        <v>-4</v>
      </c>
      <c r="BS2" s="29">
        <v>-3</v>
      </c>
      <c r="BT2" s="29">
        <v>-3</v>
      </c>
      <c r="BU2" s="29">
        <v>-2</v>
      </c>
      <c r="BV2" s="29">
        <v>-2</v>
      </c>
      <c r="BW2" s="29">
        <v>-2</v>
      </c>
      <c r="BX2" s="29">
        <v>-1</v>
      </c>
      <c r="BY2" s="29">
        <v>-1</v>
      </c>
      <c r="BZ2" s="29">
        <v>-1</v>
      </c>
      <c r="CA2" s="29">
        <v>-1</v>
      </c>
      <c r="CB2" s="29">
        <v>-1</v>
      </c>
      <c r="CC2" s="29">
        <v>-1</v>
      </c>
      <c r="CD2" s="29">
        <v>-1</v>
      </c>
      <c r="CE2" s="29">
        <v>-1</v>
      </c>
      <c r="CF2" s="29">
        <v>-1</v>
      </c>
      <c r="CG2" s="29">
        <v>-1</v>
      </c>
      <c r="CH2" s="29">
        <v>0</v>
      </c>
      <c r="CI2" s="29">
        <v>0</v>
      </c>
      <c r="CJ2" s="29"/>
      <c r="CK2" s="90"/>
      <c r="CL2" s="90"/>
      <c r="CM2" s="90"/>
      <c r="CN2" s="90"/>
      <c r="CO2" s="74">
        <f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D3" s="28">
        <v>57</v>
      </c>
      <c r="H3" s="73">
        <v>22</v>
      </c>
      <c r="I3" s="73">
        <v>15</v>
      </c>
      <c r="J3" s="29"/>
      <c r="K3" s="29">
        <v>0</v>
      </c>
      <c r="L3" s="29">
        <v>-1</v>
      </c>
      <c r="M3" s="29">
        <v>1</v>
      </c>
      <c r="N3" s="29">
        <v>1</v>
      </c>
      <c r="O3" s="29">
        <v>1</v>
      </c>
      <c r="P3" s="29">
        <v>1</v>
      </c>
      <c r="Q3" s="30">
        <v>0</v>
      </c>
      <c r="R3" s="30">
        <v>0</v>
      </c>
      <c r="S3" s="30">
        <v>-1</v>
      </c>
      <c r="T3" s="30">
        <v>-2</v>
      </c>
      <c r="U3" s="31">
        <v>-2</v>
      </c>
      <c r="V3" s="31">
        <v>-3</v>
      </c>
      <c r="W3" s="31">
        <v>-4</v>
      </c>
      <c r="X3" s="31">
        <v>-5</v>
      </c>
      <c r="Y3" s="31">
        <v>-5</v>
      </c>
      <c r="Z3" s="31">
        <v>-7</v>
      </c>
      <c r="AA3" s="31">
        <v>-8</v>
      </c>
      <c r="AB3" s="31">
        <v>-10</v>
      </c>
      <c r="AC3" s="31">
        <v>-13</v>
      </c>
      <c r="AD3" s="31">
        <v>-15</v>
      </c>
      <c r="AE3" s="32">
        <v>-17</v>
      </c>
      <c r="AF3" s="32">
        <v>-18</v>
      </c>
      <c r="AG3" s="32">
        <v>-19</v>
      </c>
      <c r="AH3" s="32">
        <v>-19</v>
      </c>
      <c r="AI3" s="32">
        <v>-20</v>
      </c>
      <c r="AJ3" s="32">
        <v>-21</v>
      </c>
      <c r="AK3" s="32">
        <v>-22</v>
      </c>
      <c r="AL3" s="32">
        <v>-22</v>
      </c>
      <c r="AM3" s="32">
        <v>-21</v>
      </c>
      <c r="AN3" s="32">
        <v>-20</v>
      </c>
      <c r="AO3" s="32">
        <v>-20</v>
      </c>
      <c r="AP3" s="32">
        <v>-20</v>
      </c>
      <c r="AQ3" s="32">
        <v>-19</v>
      </c>
      <c r="AR3" s="32">
        <v>-19</v>
      </c>
      <c r="AS3" s="32">
        <v>-19</v>
      </c>
      <c r="AT3" s="32">
        <v>-18</v>
      </c>
      <c r="AU3" s="32">
        <v>-18</v>
      </c>
      <c r="AV3" s="32">
        <v>-17</v>
      </c>
      <c r="AW3" s="32">
        <v>-17</v>
      </c>
      <c r="AX3" s="32">
        <v>-17</v>
      </c>
      <c r="AY3" s="32">
        <v>-16</v>
      </c>
      <c r="AZ3" s="32">
        <v>-16</v>
      </c>
      <c r="BA3" s="32">
        <v>-16</v>
      </c>
      <c r="BB3" s="32">
        <v>-15</v>
      </c>
      <c r="BC3" s="32">
        <v>-15</v>
      </c>
      <c r="BD3" s="32">
        <v>-15</v>
      </c>
      <c r="BE3" s="32">
        <v>-15</v>
      </c>
      <c r="BF3" s="32">
        <v>-15</v>
      </c>
      <c r="BG3" s="32">
        <v>-15</v>
      </c>
      <c r="BH3" s="32">
        <v>-16</v>
      </c>
      <c r="BI3" s="32">
        <v>-16</v>
      </c>
      <c r="BJ3" s="32">
        <v>-17</v>
      </c>
      <c r="BK3" s="32">
        <v>-17</v>
      </c>
      <c r="BL3" s="32">
        <v>-15</v>
      </c>
      <c r="BM3" s="32">
        <v>-14</v>
      </c>
      <c r="BN3" s="32">
        <v>-13</v>
      </c>
      <c r="BO3" s="32">
        <v>-13</v>
      </c>
      <c r="BP3" s="32">
        <v>-12</v>
      </c>
      <c r="BQ3" s="31">
        <v>-12</v>
      </c>
      <c r="BR3" s="31">
        <v>-9</v>
      </c>
      <c r="BS3" s="31">
        <v>-8</v>
      </c>
      <c r="BT3" s="31">
        <v>-6</v>
      </c>
      <c r="BU3" s="30">
        <v>-4</v>
      </c>
      <c r="BV3" s="30">
        <v>-3</v>
      </c>
      <c r="BW3" s="30">
        <v>-2</v>
      </c>
      <c r="BX3" s="30">
        <v>-1</v>
      </c>
      <c r="BY3" s="30">
        <v>0</v>
      </c>
      <c r="BZ3" s="30">
        <v>0</v>
      </c>
      <c r="CA3" s="29">
        <v>0</v>
      </c>
      <c r="CB3" s="29">
        <v>0</v>
      </c>
      <c r="CC3" s="29">
        <v>0</v>
      </c>
      <c r="CD3" s="29">
        <v>0</v>
      </c>
      <c r="CE3" s="29">
        <v>0</v>
      </c>
      <c r="CF3" s="29">
        <v>0</v>
      </c>
      <c r="CG3" s="29">
        <v>0</v>
      </c>
      <c r="CH3" s="29">
        <v>0</v>
      </c>
      <c r="CI3" s="29">
        <v>0</v>
      </c>
      <c r="CJ3" s="29"/>
      <c r="CK3" s="90"/>
      <c r="CL3" s="90"/>
      <c r="CM3" s="90"/>
      <c r="CN3" s="90"/>
      <c r="CO3" s="74">
        <f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10.386666666666667</v>
      </c>
      <c r="CQ3"/>
      <c r="CV3" s="27"/>
    </row>
    <row r="4" spans="1:100" ht="15" customHeight="1">
      <c r="A4">
        <v>2</v>
      </c>
      <c r="B4" t="s">
        <v>59</v>
      </c>
      <c r="C4" t="s">
        <v>60</v>
      </c>
      <c r="D4" s="28">
        <v>55</v>
      </c>
      <c r="E4">
        <v>17</v>
      </c>
      <c r="F4" t="s">
        <v>61</v>
      </c>
      <c r="G4" t="s">
        <v>62</v>
      </c>
      <c r="H4" s="73">
        <v>23</v>
      </c>
      <c r="I4" s="73">
        <v>30</v>
      </c>
      <c r="J4" s="29"/>
      <c r="K4" s="29">
        <v>0</v>
      </c>
      <c r="L4" s="29">
        <v>0</v>
      </c>
      <c r="M4" s="29">
        <v>1</v>
      </c>
      <c r="N4" s="29">
        <v>2</v>
      </c>
      <c r="O4" s="29">
        <v>2</v>
      </c>
      <c r="P4" s="29">
        <v>2</v>
      </c>
      <c r="Q4" s="29">
        <v>3</v>
      </c>
      <c r="R4" s="29">
        <v>4</v>
      </c>
      <c r="S4" s="30">
        <v>5</v>
      </c>
      <c r="T4" s="30">
        <v>6</v>
      </c>
      <c r="U4" s="30">
        <v>7</v>
      </c>
      <c r="V4" s="30">
        <v>7</v>
      </c>
      <c r="W4" s="30">
        <v>7</v>
      </c>
      <c r="X4" s="30">
        <v>8</v>
      </c>
      <c r="Y4" s="30">
        <v>9</v>
      </c>
      <c r="Z4" s="30">
        <v>10</v>
      </c>
      <c r="AA4" s="30">
        <v>10</v>
      </c>
      <c r="AB4" s="30">
        <v>10</v>
      </c>
      <c r="AC4" s="30">
        <v>9</v>
      </c>
      <c r="AD4" s="30">
        <v>9</v>
      </c>
      <c r="AE4" s="30">
        <v>9</v>
      </c>
      <c r="AF4" s="30">
        <v>8</v>
      </c>
      <c r="AG4" s="30">
        <v>8</v>
      </c>
      <c r="AH4" s="30">
        <v>7</v>
      </c>
      <c r="AI4" s="30">
        <v>7</v>
      </c>
      <c r="AJ4" s="30">
        <v>6</v>
      </c>
      <c r="AK4" s="30">
        <v>6</v>
      </c>
      <c r="AL4" s="30">
        <v>5</v>
      </c>
      <c r="AM4" s="29">
        <v>4</v>
      </c>
      <c r="AN4" s="29">
        <v>4</v>
      </c>
      <c r="AO4" s="29">
        <v>3</v>
      </c>
      <c r="AP4" s="29">
        <v>3</v>
      </c>
      <c r="AQ4" s="29">
        <v>3</v>
      </c>
      <c r="AR4" s="29">
        <v>3</v>
      </c>
      <c r="AS4" s="29">
        <v>3</v>
      </c>
      <c r="AT4" s="29">
        <v>2</v>
      </c>
      <c r="AU4" s="29">
        <v>2</v>
      </c>
      <c r="AV4" s="29">
        <v>2</v>
      </c>
      <c r="AW4" s="29">
        <v>2</v>
      </c>
      <c r="AX4" s="29">
        <v>2</v>
      </c>
      <c r="AY4" s="29">
        <v>2</v>
      </c>
      <c r="AZ4" s="29">
        <v>1</v>
      </c>
      <c r="BA4" s="29">
        <v>1</v>
      </c>
      <c r="BB4" s="29">
        <v>1</v>
      </c>
      <c r="BC4" s="29">
        <v>1</v>
      </c>
      <c r="BD4" s="29">
        <v>1</v>
      </c>
      <c r="BE4" s="29">
        <v>1</v>
      </c>
      <c r="BF4" s="29">
        <v>2</v>
      </c>
      <c r="BG4" s="29">
        <v>2</v>
      </c>
      <c r="BH4" s="29">
        <v>2</v>
      </c>
      <c r="BI4" s="29">
        <v>2</v>
      </c>
      <c r="BJ4" s="29">
        <v>2</v>
      </c>
      <c r="BK4" s="29">
        <v>2</v>
      </c>
      <c r="BL4" s="29">
        <v>3</v>
      </c>
      <c r="BM4" s="29">
        <v>3</v>
      </c>
      <c r="BN4" s="29">
        <v>3</v>
      </c>
      <c r="BO4" s="29">
        <v>3</v>
      </c>
      <c r="BP4" s="29">
        <v>3</v>
      </c>
      <c r="BQ4" s="29">
        <v>2</v>
      </c>
      <c r="BR4" s="29">
        <v>2</v>
      </c>
      <c r="BS4" s="29">
        <v>3</v>
      </c>
      <c r="BT4" s="29">
        <v>3</v>
      </c>
      <c r="BU4" s="29">
        <v>4</v>
      </c>
      <c r="BV4" s="29">
        <v>3</v>
      </c>
      <c r="BW4" s="29">
        <v>3</v>
      </c>
      <c r="BX4" s="29">
        <v>2</v>
      </c>
      <c r="BY4" s="29">
        <v>2</v>
      </c>
      <c r="BZ4" s="29">
        <v>2</v>
      </c>
      <c r="CA4" s="29">
        <v>2</v>
      </c>
      <c r="CB4" s="29">
        <v>1</v>
      </c>
      <c r="CC4" s="29">
        <v>0</v>
      </c>
      <c r="CD4" s="29">
        <v>0</v>
      </c>
      <c r="CE4" s="29">
        <v>0</v>
      </c>
      <c r="CF4" s="29">
        <v>0</v>
      </c>
      <c r="CG4" s="29">
        <v>-1</v>
      </c>
      <c r="CH4" s="29">
        <v>0</v>
      </c>
      <c r="CI4" s="29">
        <v>0</v>
      </c>
      <c r="CJ4" s="29"/>
      <c r="CK4" s="90"/>
      <c r="CL4" s="90"/>
      <c r="CM4" s="90"/>
      <c r="CN4" s="90"/>
      <c r="CO4" s="74">
        <f t="shared" ref="CO4:CO31" si="0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3.5333333333333337</v>
      </c>
      <c r="CQ4"/>
      <c r="CV4" s="27"/>
    </row>
    <row r="5" spans="1:100" ht="15" customHeight="1">
      <c r="A5">
        <v>3</v>
      </c>
      <c r="B5" t="s">
        <v>59</v>
      </c>
      <c r="C5" t="s">
        <v>60</v>
      </c>
      <c r="D5" s="28">
        <v>53</v>
      </c>
      <c r="E5">
        <v>16</v>
      </c>
      <c r="F5" t="s">
        <v>61</v>
      </c>
      <c r="G5" t="s">
        <v>62</v>
      </c>
      <c r="H5" s="73">
        <v>-30</v>
      </c>
      <c r="I5" s="73">
        <v>-5</v>
      </c>
      <c r="J5" s="29"/>
      <c r="K5" s="29">
        <v>0</v>
      </c>
      <c r="L5" s="29">
        <v>-1</v>
      </c>
      <c r="M5" s="29">
        <v>2</v>
      </c>
      <c r="N5" s="29">
        <v>3</v>
      </c>
      <c r="O5" s="29">
        <v>3</v>
      </c>
      <c r="P5" s="29">
        <v>4</v>
      </c>
      <c r="Q5" s="30">
        <v>5</v>
      </c>
      <c r="R5" s="30">
        <v>6</v>
      </c>
      <c r="S5" s="30">
        <v>7</v>
      </c>
      <c r="T5" s="30">
        <v>8</v>
      </c>
      <c r="U5" s="30">
        <v>10</v>
      </c>
      <c r="V5" s="30">
        <v>10</v>
      </c>
      <c r="W5" s="30">
        <v>11</v>
      </c>
      <c r="X5" s="30">
        <v>12</v>
      </c>
      <c r="Y5" s="30">
        <v>13</v>
      </c>
      <c r="Z5" s="30">
        <v>14</v>
      </c>
      <c r="AA5" s="30">
        <v>15</v>
      </c>
      <c r="AB5" s="30">
        <v>15</v>
      </c>
      <c r="AC5" s="30">
        <v>15</v>
      </c>
      <c r="AD5" s="30">
        <v>17</v>
      </c>
      <c r="AE5" s="30">
        <v>18</v>
      </c>
      <c r="AF5" s="30">
        <v>19</v>
      </c>
      <c r="AG5" s="30">
        <v>20</v>
      </c>
      <c r="AH5" s="30">
        <v>21</v>
      </c>
      <c r="AI5" s="30">
        <v>22</v>
      </c>
      <c r="AJ5" s="30">
        <v>23</v>
      </c>
      <c r="AK5" s="30">
        <v>24</v>
      </c>
      <c r="AL5" s="30">
        <v>25</v>
      </c>
      <c r="AM5" s="30">
        <v>26</v>
      </c>
      <c r="AN5" s="30">
        <v>27</v>
      </c>
      <c r="AO5" s="30">
        <v>28</v>
      </c>
      <c r="AP5" s="30">
        <v>29</v>
      </c>
      <c r="AQ5" s="30">
        <v>30</v>
      </c>
      <c r="AR5" s="30">
        <v>32</v>
      </c>
      <c r="AS5" s="30">
        <v>34</v>
      </c>
      <c r="AT5" s="30">
        <v>36</v>
      </c>
      <c r="AU5" s="30">
        <v>38</v>
      </c>
      <c r="AV5" s="30">
        <v>40</v>
      </c>
      <c r="AW5" s="30">
        <v>42</v>
      </c>
      <c r="AX5" s="30">
        <v>40</v>
      </c>
      <c r="AY5" s="30">
        <v>38</v>
      </c>
      <c r="AZ5" s="30">
        <v>36</v>
      </c>
      <c r="BA5" s="30">
        <v>35</v>
      </c>
      <c r="BB5" s="30">
        <v>34</v>
      </c>
      <c r="BC5" s="30">
        <v>32</v>
      </c>
      <c r="BD5" s="30">
        <v>30</v>
      </c>
      <c r="BE5" s="30">
        <v>29</v>
      </c>
      <c r="BF5" s="30">
        <v>27</v>
      </c>
      <c r="BG5" s="30">
        <v>25</v>
      </c>
      <c r="BH5" s="30">
        <v>22</v>
      </c>
      <c r="BI5" s="30">
        <v>21</v>
      </c>
      <c r="BJ5" s="30">
        <v>20</v>
      </c>
      <c r="BK5" s="30">
        <v>19</v>
      </c>
      <c r="BL5" s="30">
        <v>17</v>
      </c>
      <c r="BM5" s="30">
        <v>15</v>
      </c>
      <c r="BN5" s="30">
        <v>14</v>
      </c>
      <c r="BO5" s="30">
        <v>12</v>
      </c>
      <c r="BP5" s="30">
        <v>11</v>
      </c>
      <c r="BQ5" s="30">
        <v>11</v>
      </c>
      <c r="BR5" s="30">
        <v>11</v>
      </c>
      <c r="BS5" s="30">
        <v>11</v>
      </c>
      <c r="BT5" s="30">
        <v>11</v>
      </c>
      <c r="BU5" s="30">
        <v>11</v>
      </c>
      <c r="BV5" s="30">
        <v>10</v>
      </c>
      <c r="BW5" s="30">
        <v>9</v>
      </c>
      <c r="BX5" s="30">
        <v>9</v>
      </c>
      <c r="BY5" s="30">
        <v>9</v>
      </c>
      <c r="BZ5" s="30">
        <v>8</v>
      </c>
      <c r="CA5" s="30">
        <v>6</v>
      </c>
      <c r="CB5" s="30">
        <v>5</v>
      </c>
      <c r="CC5" s="29">
        <v>4</v>
      </c>
      <c r="CD5" s="29">
        <v>2</v>
      </c>
      <c r="CE5" s="29">
        <v>1</v>
      </c>
      <c r="CF5" s="29">
        <v>0</v>
      </c>
      <c r="CG5" s="29">
        <v>0</v>
      </c>
      <c r="CH5" s="29">
        <v>0</v>
      </c>
      <c r="CI5" s="29">
        <v>0</v>
      </c>
      <c r="CJ5" s="29"/>
      <c r="CK5" s="90"/>
      <c r="CL5" s="90"/>
      <c r="CM5" s="90"/>
      <c r="CN5" s="90"/>
      <c r="CO5" s="74">
        <f t="shared" si="0"/>
        <v>17.333333333333336</v>
      </c>
      <c r="CQ5"/>
      <c r="CV5" s="27"/>
    </row>
    <row r="6" spans="1:100" ht="15" customHeight="1">
      <c r="D6" s="28">
        <v>51</v>
      </c>
      <c r="H6" s="73">
        <v>22</v>
      </c>
      <c r="I6" s="73">
        <v>-22</v>
      </c>
      <c r="J6" s="29"/>
      <c r="K6" s="29">
        <v>0</v>
      </c>
      <c r="L6" s="29">
        <v>-1</v>
      </c>
      <c r="M6" s="29">
        <v>1</v>
      </c>
      <c r="N6" s="29">
        <v>0</v>
      </c>
      <c r="O6" s="29">
        <v>-3</v>
      </c>
      <c r="P6" s="29">
        <v>-6</v>
      </c>
      <c r="Q6" s="30">
        <v>-9</v>
      </c>
      <c r="R6" s="30">
        <v>-12</v>
      </c>
      <c r="S6" s="30">
        <v>-17</v>
      </c>
      <c r="T6" s="30">
        <v>-20</v>
      </c>
      <c r="U6" s="31">
        <v>-25</v>
      </c>
      <c r="V6" s="31">
        <v>-27</v>
      </c>
      <c r="W6" s="31">
        <v>-30</v>
      </c>
      <c r="X6" s="31">
        <v>-32</v>
      </c>
      <c r="Y6" s="31">
        <v>-34</v>
      </c>
      <c r="Z6" s="31">
        <v>-35</v>
      </c>
      <c r="AA6" s="31">
        <v>-37</v>
      </c>
      <c r="AB6" s="31">
        <v>-38</v>
      </c>
      <c r="AC6" s="31">
        <v>-39</v>
      </c>
      <c r="AD6" s="31">
        <v>-40</v>
      </c>
      <c r="AE6" s="32">
        <v>-42</v>
      </c>
      <c r="AF6" s="32">
        <v>-43</v>
      </c>
      <c r="AG6" s="32">
        <v>-44</v>
      </c>
      <c r="AH6" s="32">
        <v>-46</v>
      </c>
      <c r="AI6" s="32">
        <v>-49</v>
      </c>
      <c r="AJ6" s="32">
        <v>-51</v>
      </c>
      <c r="AK6" s="32">
        <v>-53</v>
      </c>
      <c r="AL6" s="32">
        <v>-54</v>
      </c>
      <c r="AM6" s="32">
        <v>-58</v>
      </c>
      <c r="AN6" s="32">
        <v>-60</v>
      </c>
      <c r="AO6" s="32">
        <v>-63</v>
      </c>
      <c r="AP6" s="32">
        <v>-65</v>
      </c>
      <c r="AQ6" s="32">
        <v>-68</v>
      </c>
      <c r="AR6" s="32">
        <v>-69</v>
      </c>
      <c r="AS6" s="32">
        <v>-70</v>
      </c>
      <c r="AT6" s="32">
        <v>-71</v>
      </c>
      <c r="AU6" s="32">
        <v>-72</v>
      </c>
      <c r="AV6" s="32">
        <v>-74</v>
      </c>
      <c r="AW6" s="32">
        <v>-75</v>
      </c>
      <c r="AX6" s="32">
        <v>-75</v>
      </c>
      <c r="AY6" s="32">
        <v>-75</v>
      </c>
      <c r="AZ6" s="32">
        <v>-75</v>
      </c>
      <c r="BA6" s="32">
        <v>-74</v>
      </c>
      <c r="BB6" s="32">
        <v>-73</v>
      </c>
      <c r="BC6" s="32">
        <v>-73</v>
      </c>
      <c r="BD6" s="32">
        <v>-71</v>
      </c>
      <c r="BE6" s="32">
        <v>-69</v>
      </c>
      <c r="BF6" s="32">
        <v>-68</v>
      </c>
      <c r="BG6" s="32">
        <v>-66</v>
      </c>
      <c r="BH6" s="32">
        <v>-64</v>
      </c>
      <c r="BI6" s="32">
        <v>-61</v>
      </c>
      <c r="BJ6" s="32">
        <v>-58</v>
      </c>
      <c r="BK6" s="32">
        <v>-56</v>
      </c>
      <c r="BL6" s="32">
        <v>-53</v>
      </c>
      <c r="BM6" s="32">
        <v>-51</v>
      </c>
      <c r="BN6" s="32">
        <v>-46</v>
      </c>
      <c r="BO6" s="32">
        <v>-41</v>
      </c>
      <c r="BP6" s="32">
        <v>-38</v>
      </c>
      <c r="BQ6" s="31">
        <v>-35</v>
      </c>
      <c r="BR6" s="31">
        <v>-30</v>
      </c>
      <c r="BS6" s="31">
        <v>-26</v>
      </c>
      <c r="BT6" s="31">
        <v>-21</v>
      </c>
      <c r="BU6" s="30">
        <v>-15</v>
      </c>
      <c r="BV6" s="30">
        <v>-12</v>
      </c>
      <c r="BW6" s="30">
        <v>-10</v>
      </c>
      <c r="BX6" s="30">
        <v>-8</v>
      </c>
      <c r="BY6" s="30">
        <v>-5</v>
      </c>
      <c r="BZ6" s="30">
        <v>-3</v>
      </c>
      <c r="CA6" s="29">
        <v>-2</v>
      </c>
      <c r="CB6" s="29">
        <v>0</v>
      </c>
      <c r="CC6" s="29">
        <v>1</v>
      </c>
      <c r="CD6" s="29">
        <v>1</v>
      </c>
      <c r="CE6" s="29">
        <v>2</v>
      </c>
      <c r="CF6" s="29">
        <v>3</v>
      </c>
      <c r="CG6" s="29">
        <v>3</v>
      </c>
      <c r="CH6" s="29">
        <v>1</v>
      </c>
      <c r="CI6" s="29">
        <v>0</v>
      </c>
      <c r="CJ6" s="29"/>
      <c r="CK6" s="90"/>
      <c r="CL6" s="90"/>
      <c r="CM6" s="90"/>
      <c r="CN6" s="90"/>
      <c r="CO6" s="74">
        <f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38.64</v>
      </c>
      <c r="CQ6"/>
      <c r="CV6" s="27"/>
    </row>
    <row r="7" spans="1:100" ht="15" customHeight="1">
      <c r="A7">
        <v>4</v>
      </c>
      <c r="B7" t="s">
        <v>59</v>
      </c>
      <c r="C7" t="s">
        <v>60</v>
      </c>
      <c r="D7" s="28">
        <v>49</v>
      </c>
      <c r="E7">
        <v>15</v>
      </c>
      <c r="F7" t="s">
        <v>61</v>
      </c>
      <c r="G7" t="s">
        <v>62</v>
      </c>
      <c r="H7" s="73">
        <v>2</v>
      </c>
      <c r="I7" s="73">
        <v>5</v>
      </c>
      <c r="J7" s="29"/>
      <c r="K7" s="29">
        <v>0</v>
      </c>
      <c r="L7" s="29">
        <v>0</v>
      </c>
      <c r="M7" s="29">
        <v>2</v>
      </c>
      <c r="N7" s="29">
        <v>2</v>
      </c>
      <c r="O7" s="29">
        <v>2</v>
      </c>
      <c r="P7" s="29">
        <v>3</v>
      </c>
      <c r="Q7" s="29">
        <v>4</v>
      </c>
      <c r="R7" s="29">
        <v>4</v>
      </c>
      <c r="S7" s="29">
        <v>4</v>
      </c>
      <c r="T7" s="29">
        <v>5</v>
      </c>
      <c r="U7" s="30">
        <v>6</v>
      </c>
      <c r="V7" s="30">
        <v>6</v>
      </c>
      <c r="W7" s="30">
        <v>6</v>
      </c>
      <c r="X7" s="30">
        <v>7</v>
      </c>
      <c r="Y7" s="30">
        <v>7</v>
      </c>
      <c r="Z7" s="30">
        <v>8</v>
      </c>
      <c r="AA7" s="30">
        <v>8</v>
      </c>
      <c r="AB7" s="30">
        <v>8</v>
      </c>
      <c r="AC7" s="30">
        <v>7</v>
      </c>
      <c r="AD7" s="30">
        <v>7</v>
      </c>
      <c r="AE7" s="30">
        <v>8</v>
      </c>
      <c r="AF7" s="30">
        <v>8</v>
      </c>
      <c r="AG7" s="30">
        <v>8</v>
      </c>
      <c r="AH7" s="30">
        <v>8</v>
      </c>
      <c r="AI7" s="30">
        <v>8</v>
      </c>
      <c r="AJ7" s="30">
        <v>8</v>
      </c>
      <c r="AK7" s="30">
        <v>8</v>
      </c>
      <c r="AL7" s="30">
        <v>7</v>
      </c>
      <c r="AM7" s="30">
        <v>7</v>
      </c>
      <c r="AN7" s="30">
        <v>7</v>
      </c>
      <c r="AO7" s="30">
        <v>6</v>
      </c>
      <c r="AP7" s="30">
        <v>7</v>
      </c>
      <c r="AQ7" s="30">
        <v>7</v>
      </c>
      <c r="AR7" s="30">
        <v>6</v>
      </c>
      <c r="AS7" s="30">
        <v>6</v>
      </c>
      <c r="AT7" s="30">
        <v>6</v>
      </c>
      <c r="AU7" s="30">
        <v>5</v>
      </c>
      <c r="AV7" s="30">
        <v>5</v>
      </c>
      <c r="AW7" s="30">
        <v>6</v>
      </c>
      <c r="AX7" s="30">
        <v>6</v>
      </c>
      <c r="AY7" s="30">
        <v>6</v>
      </c>
      <c r="AZ7" s="30">
        <v>5</v>
      </c>
      <c r="BA7" s="30">
        <v>5</v>
      </c>
      <c r="BB7" s="30">
        <v>5</v>
      </c>
      <c r="BC7" s="30">
        <v>6</v>
      </c>
      <c r="BD7" s="30">
        <v>6</v>
      </c>
      <c r="BE7" s="30">
        <v>6</v>
      </c>
      <c r="BF7" s="30">
        <v>6</v>
      </c>
      <c r="BG7" s="30">
        <v>6</v>
      </c>
      <c r="BH7" s="30">
        <v>7</v>
      </c>
      <c r="BI7" s="30">
        <v>7</v>
      </c>
      <c r="BJ7" s="30">
        <v>7</v>
      </c>
      <c r="BK7" s="30">
        <v>7</v>
      </c>
      <c r="BL7" s="30">
        <v>8</v>
      </c>
      <c r="BM7" s="30">
        <v>8</v>
      </c>
      <c r="BN7" s="30">
        <v>8</v>
      </c>
      <c r="BO7" s="30">
        <v>8</v>
      </c>
      <c r="BP7" s="30">
        <v>8</v>
      </c>
      <c r="BQ7" s="30">
        <v>7</v>
      </c>
      <c r="BR7" s="30">
        <v>7</v>
      </c>
      <c r="BS7" s="30">
        <v>8</v>
      </c>
      <c r="BT7" s="30">
        <v>8</v>
      </c>
      <c r="BU7" s="30">
        <v>7</v>
      </c>
      <c r="BV7" s="30">
        <v>6</v>
      </c>
      <c r="BW7" s="30">
        <v>6</v>
      </c>
      <c r="BX7" s="30">
        <v>6</v>
      </c>
      <c r="BY7" s="30">
        <v>6</v>
      </c>
      <c r="BZ7" s="30">
        <v>5</v>
      </c>
      <c r="CA7" s="29">
        <v>4</v>
      </c>
      <c r="CB7" s="29">
        <v>3</v>
      </c>
      <c r="CC7" s="29">
        <v>2</v>
      </c>
      <c r="CD7" s="29">
        <v>1</v>
      </c>
      <c r="CE7" s="29">
        <v>1</v>
      </c>
      <c r="CF7" s="29">
        <v>0</v>
      </c>
      <c r="CG7" s="29">
        <v>0</v>
      </c>
      <c r="CH7" s="29">
        <v>0</v>
      </c>
      <c r="CI7" s="29">
        <v>0</v>
      </c>
      <c r="CJ7" s="29"/>
      <c r="CK7" s="90"/>
      <c r="CL7" s="90"/>
      <c r="CM7" s="90"/>
      <c r="CN7" s="90"/>
      <c r="CO7" s="74">
        <f t="shared" si="0"/>
        <v>5.7200000000000006</v>
      </c>
      <c r="CQ7"/>
      <c r="CV7" s="27"/>
    </row>
    <row r="8" spans="1:100" ht="15" customHeight="1">
      <c r="D8" s="28">
        <v>47</v>
      </c>
      <c r="H8" s="73">
        <v>22</v>
      </c>
      <c r="I8" s="73">
        <v>45</v>
      </c>
      <c r="J8" s="29"/>
      <c r="K8" s="29">
        <v>0</v>
      </c>
      <c r="L8" s="29">
        <v>-1</v>
      </c>
      <c r="M8" s="29">
        <v>3</v>
      </c>
      <c r="N8" s="29">
        <v>3</v>
      </c>
      <c r="O8" s="29">
        <v>2</v>
      </c>
      <c r="P8" s="29">
        <v>2</v>
      </c>
      <c r="Q8" s="29">
        <v>2</v>
      </c>
      <c r="R8" s="29">
        <v>3</v>
      </c>
      <c r="S8" s="29">
        <v>3</v>
      </c>
      <c r="T8" s="29">
        <v>4</v>
      </c>
      <c r="U8" s="29">
        <v>4</v>
      </c>
      <c r="V8" s="29">
        <v>4</v>
      </c>
      <c r="W8" s="29">
        <v>4</v>
      </c>
      <c r="X8" s="29">
        <v>5</v>
      </c>
      <c r="Y8" s="30">
        <v>5</v>
      </c>
      <c r="Z8" s="30">
        <v>6</v>
      </c>
      <c r="AA8" s="30">
        <v>6</v>
      </c>
      <c r="AB8" s="30">
        <v>5</v>
      </c>
      <c r="AC8" s="29">
        <v>4</v>
      </c>
      <c r="AD8" s="29">
        <v>4</v>
      </c>
      <c r="AE8" s="29">
        <v>4</v>
      </c>
      <c r="AF8" s="29">
        <v>4</v>
      </c>
      <c r="AG8" s="29">
        <v>3</v>
      </c>
      <c r="AH8" s="29">
        <v>2</v>
      </c>
      <c r="AI8" s="29">
        <v>1</v>
      </c>
      <c r="AJ8" s="29">
        <v>1</v>
      </c>
      <c r="AK8" s="29">
        <v>0</v>
      </c>
      <c r="AL8" s="29">
        <v>-1</v>
      </c>
      <c r="AM8" s="29">
        <v>-2</v>
      </c>
      <c r="AN8" s="29">
        <v>-2</v>
      </c>
      <c r="AO8" s="29">
        <v>-3</v>
      </c>
      <c r="AP8" s="29">
        <v>-3</v>
      </c>
      <c r="AQ8" s="29">
        <v>-4</v>
      </c>
      <c r="AR8" s="29">
        <v>-4</v>
      </c>
      <c r="AS8" s="29">
        <v>-4</v>
      </c>
      <c r="AT8" s="29">
        <v>-5</v>
      </c>
      <c r="AU8" s="30">
        <v>-6</v>
      </c>
      <c r="AV8" s="30">
        <v>-6</v>
      </c>
      <c r="AW8" s="30">
        <v>-6</v>
      </c>
      <c r="AX8" s="30">
        <v>-6</v>
      </c>
      <c r="AY8" s="30">
        <v>-6</v>
      </c>
      <c r="AZ8" s="30">
        <v>-7</v>
      </c>
      <c r="BA8" s="30">
        <v>-8</v>
      </c>
      <c r="BB8" s="30">
        <v>-8</v>
      </c>
      <c r="BC8" s="30">
        <v>-8</v>
      </c>
      <c r="BD8" s="30">
        <v>-8</v>
      </c>
      <c r="BE8" s="30">
        <v>-8</v>
      </c>
      <c r="BF8" s="30">
        <v>-8</v>
      </c>
      <c r="BG8" s="30">
        <v>-8</v>
      </c>
      <c r="BH8" s="30">
        <v>-7</v>
      </c>
      <c r="BI8" s="30">
        <v>-7</v>
      </c>
      <c r="BJ8" s="30">
        <v>-7</v>
      </c>
      <c r="BK8" s="30">
        <v>-7</v>
      </c>
      <c r="BL8" s="30">
        <v>-6</v>
      </c>
      <c r="BM8" s="30">
        <v>-6</v>
      </c>
      <c r="BN8" s="30">
        <v>-6</v>
      </c>
      <c r="BO8" s="30">
        <v>-6</v>
      </c>
      <c r="BP8" s="30">
        <v>-5</v>
      </c>
      <c r="BQ8" s="30">
        <v>-5</v>
      </c>
      <c r="BR8" s="30">
        <v>-4</v>
      </c>
      <c r="BS8" s="29">
        <v>-3</v>
      </c>
      <c r="BT8" s="29">
        <v>-3</v>
      </c>
      <c r="BU8" s="29">
        <v>-2</v>
      </c>
      <c r="BV8" s="29">
        <v>-2</v>
      </c>
      <c r="BW8" s="29">
        <v>-2</v>
      </c>
      <c r="BX8" s="29">
        <v>-1</v>
      </c>
      <c r="BY8" s="29">
        <v>-1</v>
      </c>
      <c r="BZ8" s="29">
        <v>-1</v>
      </c>
      <c r="CA8" s="29">
        <v>-1</v>
      </c>
      <c r="CB8" s="29">
        <v>-1</v>
      </c>
      <c r="CC8" s="29">
        <v>-1</v>
      </c>
      <c r="CD8" s="29">
        <v>-1</v>
      </c>
      <c r="CE8" s="29">
        <v>-1</v>
      </c>
      <c r="CF8" s="29">
        <v>-1</v>
      </c>
      <c r="CG8" s="29">
        <v>-1</v>
      </c>
      <c r="CH8" s="29">
        <v>0</v>
      </c>
      <c r="CI8" s="29">
        <v>0</v>
      </c>
      <c r="CJ8" s="29"/>
      <c r="CK8" s="90"/>
      <c r="CL8" s="90"/>
      <c r="CM8" s="90"/>
      <c r="CN8" s="90"/>
      <c r="CO8" s="74">
        <f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3.9200000000000004</v>
      </c>
      <c r="CQ8"/>
      <c r="CV8" s="27"/>
    </row>
    <row r="9" spans="1:100" ht="15" customHeight="1">
      <c r="A9">
        <v>5</v>
      </c>
      <c r="B9" t="s">
        <v>59</v>
      </c>
      <c r="C9" t="s">
        <v>60</v>
      </c>
      <c r="D9" s="28">
        <v>45</v>
      </c>
      <c r="E9">
        <v>14</v>
      </c>
      <c r="F9" t="s">
        <v>61</v>
      </c>
      <c r="G9" t="s">
        <v>62</v>
      </c>
      <c r="H9" s="73">
        <v>-6</v>
      </c>
      <c r="I9" s="73">
        <v>35</v>
      </c>
      <c r="J9" s="29"/>
      <c r="K9" s="29">
        <v>0</v>
      </c>
      <c r="L9" s="29">
        <v>-1</v>
      </c>
      <c r="M9" s="29">
        <v>1</v>
      </c>
      <c r="N9" s="29">
        <v>1</v>
      </c>
      <c r="O9" s="29">
        <v>2</v>
      </c>
      <c r="P9" s="29">
        <v>3</v>
      </c>
      <c r="Q9" s="29">
        <v>4</v>
      </c>
      <c r="R9" s="29">
        <v>5</v>
      </c>
      <c r="S9" s="30">
        <v>6</v>
      </c>
      <c r="T9" s="30">
        <v>7</v>
      </c>
      <c r="U9" s="30">
        <v>8</v>
      </c>
      <c r="V9" s="30">
        <v>8</v>
      </c>
      <c r="W9" s="30">
        <v>8</v>
      </c>
      <c r="X9" s="30">
        <v>8</v>
      </c>
      <c r="Y9" s="30">
        <v>9</v>
      </c>
      <c r="Z9" s="30">
        <v>10</v>
      </c>
      <c r="AA9" s="30">
        <v>10</v>
      </c>
      <c r="AB9" s="30">
        <v>9</v>
      </c>
      <c r="AC9" s="30">
        <v>9</v>
      </c>
      <c r="AD9" s="30">
        <v>9</v>
      </c>
      <c r="AE9" s="30">
        <v>9</v>
      </c>
      <c r="AF9" s="30">
        <v>9</v>
      </c>
      <c r="AG9" s="30">
        <v>8</v>
      </c>
      <c r="AH9" s="30">
        <v>8</v>
      </c>
      <c r="AI9" s="30">
        <v>8</v>
      </c>
      <c r="AJ9" s="30">
        <v>8</v>
      </c>
      <c r="AK9" s="30">
        <v>7</v>
      </c>
      <c r="AL9" s="30">
        <v>7</v>
      </c>
      <c r="AM9" s="30">
        <v>7</v>
      </c>
      <c r="AN9" s="30">
        <v>6</v>
      </c>
      <c r="AO9" s="30">
        <v>6</v>
      </c>
      <c r="AP9" s="30">
        <v>6</v>
      </c>
      <c r="AQ9" s="30">
        <v>6</v>
      </c>
      <c r="AR9" s="30">
        <v>6</v>
      </c>
      <c r="AS9" s="30">
        <v>6</v>
      </c>
      <c r="AT9" s="30">
        <v>6</v>
      </c>
      <c r="AU9" s="30">
        <v>5</v>
      </c>
      <c r="AV9" s="30">
        <v>5</v>
      </c>
      <c r="AW9" s="30">
        <v>6</v>
      </c>
      <c r="AX9" s="30">
        <v>5</v>
      </c>
      <c r="AY9" s="30">
        <v>5</v>
      </c>
      <c r="AZ9" s="30">
        <v>5</v>
      </c>
      <c r="BA9" s="30">
        <v>5</v>
      </c>
      <c r="BB9" s="30">
        <v>5</v>
      </c>
      <c r="BC9" s="30">
        <v>5</v>
      </c>
      <c r="BD9" s="30">
        <v>5</v>
      </c>
      <c r="BE9" s="30">
        <v>5</v>
      </c>
      <c r="BF9" s="30">
        <v>5</v>
      </c>
      <c r="BG9" s="30">
        <v>5</v>
      </c>
      <c r="BH9" s="30">
        <v>5</v>
      </c>
      <c r="BI9" s="30">
        <v>5</v>
      </c>
      <c r="BJ9" s="30">
        <v>5</v>
      </c>
      <c r="BK9" s="30">
        <v>5</v>
      </c>
      <c r="BL9" s="30">
        <v>5</v>
      </c>
      <c r="BM9" s="30">
        <v>5</v>
      </c>
      <c r="BN9" s="30">
        <v>5</v>
      </c>
      <c r="BO9" s="30">
        <v>5</v>
      </c>
      <c r="BP9" s="30">
        <v>5</v>
      </c>
      <c r="BQ9" s="29">
        <v>4</v>
      </c>
      <c r="BR9" s="29">
        <v>4</v>
      </c>
      <c r="BS9" s="30">
        <v>5</v>
      </c>
      <c r="BT9" s="30">
        <v>5</v>
      </c>
      <c r="BU9" s="30">
        <v>5</v>
      </c>
      <c r="BV9" s="30">
        <v>4</v>
      </c>
      <c r="BW9" s="29">
        <v>3</v>
      </c>
      <c r="BX9" s="29">
        <v>3</v>
      </c>
      <c r="BY9" s="29">
        <v>3</v>
      </c>
      <c r="BZ9" s="29">
        <v>2</v>
      </c>
      <c r="CA9" s="29">
        <v>2</v>
      </c>
      <c r="CB9" s="29">
        <v>2</v>
      </c>
      <c r="CC9" s="29">
        <v>1</v>
      </c>
      <c r="CD9" s="29">
        <v>1</v>
      </c>
      <c r="CE9" s="29">
        <v>0</v>
      </c>
      <c r="CF9" s="29">
        <v>0</v>
      </c>
      <c r="CG9" s="29">
        <v>-1</v>
      </c>
      <c r="CH9" s="29">
        <v>-1</v>
      </c>
      <c r="CI9" s="29">
        <v>0</v>
      </c>
      <c r="CJ9" s="29"/>
      <c r="CK9" s="90"/>
      <c r="CL9" s="90"/>
      <c r="CM9" s="90"/>
      <c r="CN9" s="90"/>
      <c r="CO9" s="74">
        <f t="shared" si="0"/>
        <v>5.1733333333333338</v>
      </c>
      <c r="CQ9"/>
      <c r="CV9" s="27"/>
    </row>
    <row r="10" spans="1:100" ht="15" customHeight="1">
      <c r="D10" s="28">
        <v>43</v>
      </c>
      <c r="H10" s="73">
        <v>22</v>
      </c>
      <c r="I10" s="73">
        <v>-21</v>
      </c>
      <c r="J10" s="29"/>
      <c r="K10" s="29">
        <v>0</v>
      </c>
      <c r="L10" s="29">
        <v>0</v>
      </c>
      <c r="M10" s="29">
        <v>0</v>
      </c>
      <c r="N10" s="29">
        <v>-3</v>
      </c>
      <c r="O10" s="30">
        <v>-8</v>
      </c>
      <c r="P10" s="30">
        <v>-12</v>
      </c>
      <c r="Q10" s="31">
        <v>-24</v>
      </c>
      <c r="R10" s="31">
        <v>-28</v>
      </c>
      <c r="S10" s="31">
        <v>-35</v>
      </c>
      <c r="T10" s="31">
        <v>-40</v>
      </c>
      <c r="U10" s="32">
        <v>-48</v>
      </c>
      <c r="V10" s="32">
        <v>-50</v>
      </c>
      <c r="W10" s="32">
        <v>-56</v>
      </c>
      <c r="X10" s="32">
        <v>-60</v>
      </c>
      <c r="Y10" s="32">
        <v>-63</v>
      </c>
      <c r="Z10" s="32">
        <v>-65</v>
      </c>
      <c r="AA10" s="32">
        <v>-69</v>
      </c>
      <c r="AB10" s="32">
        <v>-72</v>
      </c>
      <c r="AC10" s="32">
        <v>-78</v>
      </c>
      <c r="AD10" s="32">
        <v>-80</v>
      </c>
      <c r="AE10" s="32">
        <v>-81</v>
      </c>
      <c r="AF10" s="32">
        <v>-84</v>
      </c>
      <c r="AG10" s="32">
        <v>-87</v>
      </c>
      <c r="AH10" s="32">
        <v>-90</v>
      </c>
      <c r="AI10" s="32">
        <v>-93</v>
      </c>
      <c r="AJ10" s="32">
        <v>-94</v>
      </c>
      <c r="AK10" s="32">
        <v>-95</v>
      </c>
      <c r="AL10" s="32">
        <v>-96</v>
      </c>
      <c r="AM10" s="32">
        <v>-99</v>
      </c>
      <c r="AN10" s="32">
        <v>-100</v>
      </c>
      <c r="AO10" s="32">
        <v>-102</v>
      </c>
      <c r="AP10" s="32">
        <v>-102</v>
      </c>
      <c r="AQ10" s="32">
        <v>-102</v>
      </c>
      <c r="AR10" s="32">
        <v>-103</v>
      </c>
      <c r="AS10" s="32">
        <v>-104</v>
      </c>
      <c r="AT10" s="32">
        <v>-104</v>
      </c>
      <c r="AU10" s="32">
        <v>-104</v>
      </c>
      <c r="AV10" s="32">
        <v>-103</v>
      </c>
      <c r="AW10" s="32">
        <v>-103</v>
      </c>
      <c r="AX10" s="32">
        <v>-102</v>
      </c>
      <c r="AY10" s="32">
        <v>-101</v>
      </c>
      <c r="AZ10" s="32">
        <v>-100</v>
      </c>
      <c r="BA10" s="32">
        <v>-99</v>
      </c>
      <c r="BB10" s="32">
        <v>-96</v>
      </c>
      <c r="BC10" s="32">
        <v>-94</v>
      </c>
      <c r="BD10" s="32">
        <v>-92</v>
      </c>
      <c r="BE10" s="32">
        <v>-90</v>
      </c>
      <c r="BF10" s="32">
        <v>-88</v>
      </c>
      <c r="BG10" s="32">
        <v>-86</v>
      </c>
      <c r="BH10" s="32">
        <v>-83</v>
      </c>
      <c r="BI10" s="32">
        <v>-82</v>
      </c>
      <c r="BJ10" s="32">
        <v>-80</v>
      </c>
      <c r="BK10" s="32">
        <v>-78</v>
      </c>
      <c r="BL10" s="32">
        <v>-76</v>
      </c>
      <c r="BM10" s="32">
        <v>-74</v>
      </c>
      <c r="BN10" s="32">
        <v>-71</v>
      </c>
      <c r="BO10" s="32">
        <v>-69</v>
      </c>
      <c r="BP10" s="32">
        <v>-65</v>
      </c>
      <c r="BQ10" s="32">
        <v>-60</v>
      </c>
      <c r="BR10" s="32">
        <v>-54</v>
      </c>
      <c r="BS10" s="32">
        <v>-48</v>
      </c>
      <c r="BT10" s="32">
        <v>-42</v>
      </c>
      <c r="BU10" s="31">
        <v>-37</v>
      </c>
      <c r="BV10" s="31">
        <v>-32</v>
      </c>
      <c r="BW10" s="31">
        <v>-29</v>
      </c>
      <c r="BX10" s="31">
        <v>-25</v>
      </c>
      <c r="BY10" s="30">
        <v>-19</v>
      </c>
      <c r="BZ10" s="30">
        <v>-15</v>
      </c>
      <c r="CA10" s="30">
        <v>-11</v>
      </c>
      <c r="CB10" s="30">
        <v>-8</v>
      </c>
      <c r="CC10" s="29">
        <v>-3</v>
      </c>
      <c r="CD10" s="29">
        <v>0</v>
      </c>
      <c r="CE10" s="29">
        <v>3</v>
      </c>
      <c r="CF10" s="29">
        <v>5</v>
      </c>
      <c r="CG10" s="30">
        <v>7</v>
      </c>
      <c r="CH10" s="30">
        <v>3</v>
      </c>
      <c r="CI10" s="29">
        <v>0</v>
      </c>
      <c r="CJ10" s="29"/>
      <c r="CK10" s="90"/>
      <c r="CL10" s="90"/>
      <c r="CM10" s="90"/>
      <c r="CN10" s="90"/>
      <c r="CO10" s="74">
        <f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62.186666666666667</v>
      </c>
      <c r="CQ10"/>
      <c r="CV10" s="27"/>
    </row>
    <row r="11" spans="1:100" ht="15" customHeight="1">
      <c r="A11">
        <v>6</v>
      </c>
      <c r="B11" t="s">
        <v>59</v>
      </c>
      <c r="C11" t="s">
        <v>60</v>
      </c>
      <c r="D11" s="28">
        <v>41</v>
      </c>
      <c r="E11">
        <v>13</v>
      </c>
      <c r="F11" t="s">
        <v>61</v>
      </c>
      <c r="G11" t="s">
        <v>62</v>
      </c>
      <c r="H11" s="73">
        <v>-2</v>
      </c>
      <c r="I11" s="73">
        <v>75</v>
      </c>
      <c r="J11" s="29"/>
      <c r="K11" s="29">
        <v>0</v>
      </c>
      <c r="L11" s="29">
        <v>-1</v>
      </c>
      <c r="M11" s="29">
        <v>2</v>
      </c>
      <c r="N11" s="29">
        <v>2</v>
      </c>
      <c r="O11" s="29">
        <v>2</v>
      </c>
      <c r="P11" s="29">
        <v>3</v>
      </c>
      <c r="Q11" s="29">
        <v>4</v>
      </c>
      <c r="R11" s="29">
        <v>5</v>
      </c>
      <c r="S11" s="30">
        <v>6</v>
      </c>
      <c r="T11" s="30">
        <v>7</v>
      </c>
      <c r="U11" s="30">
        <v>8</v>
      </c>
      <c r="V11" s="30">
        <v>8</v>
      </c>
      <c r="W11" s="30">
        <v>7</v>
      </c>
      <c r="X11" s="30">
        <v>8</v>
      </c>
      <c r="Y11" s="30">
        <v>8</v>
      </c>
      <c r="Z11" s="30">
        <v>8</v>
      </c>
      <c r="AA11" s="30">
        <v>8</v>
      </c>
      <c r="AB11" s="30">
        <v>7</v>
      </c>
      <c r="AC11" s="30">
        <v>6</v>
      </c>
      <c r="AD11" s="30">
        <v>5</v>
      </c>
      <c r="AE11" s="30">
        <v>5</v>
      </c>
      <c r="AF11" s="30">
        <v>5</v>
      </c>
      <c r="AG11" s="29">
        <v>4</v>
      </c>
      <c r="AH11" s="29">
        <v>4</v>
      </c>
      <c r="AI11" s="29">
        <v>3</v>
      </c>
      <c r="AJ11" s="29">
        <v>3</v>
      </c>
      <c r="AK11" s="29">
        <v>3</v>
      </c>
      <c r="AL11" s="29">
        <v>3</v>
      </c>
      <c r="AM11" s="29">
        <v>3</v>
      </c>
      <c r="AN11" s="29">
        <v>3</v>
      </c>
      <c r="AO11" s="29">
        <v>3</v>
      </c>
      <c r="AP11" s="29">
        <v>3</v>
      </c>
      <c r="AQ11" s="29">
        <v>3</v>
      </c>
      <c r="AR11" s="29">
        <v>3</v>
      </c>
      <c r="AS11" s="29">
        <v>3</v>
      </c>
      <c r="AT11" s="29">
        <v>3</v>
      </c>
      <c r="AU11" s="29">
        <v>3</v>
      </c>
      <c r="AV11" s="29">
        <v>3</v>
      </c>
      <c r="AW11" s="29">
        <v>3</v>
      </c>
      <c r="AX11" s="29">
        <v>3</v>
      </c>
      <c r="AY11" s="29">
        <v>3</v>
      </c>
      <c r="AZ11" s="29">
        <v>3</v>
      </c>
      <c r="BA11" s="29">
        <v>2</v>
      </c>
      <c r="BB11" s="29">
        <v>2</v>
      </c>
      <c r="BC11" s="29">
        <v>1</v>
      </c>
      <c r="BD11" s="29">
        <v>1</v>
      </c>
      <c r="BE11" s="29">
        <v>1</v>
      </c>
      <c r="BF11" s="29">
        <v>1</v>
      </c>
      <c r="BG11" s="29">
        <v>1</v>
      </c>
      <c r="BH11" s="29">
        <v>1</v>
      </c>
      <c r="BI11" s="29">
        <v>0</v>
      </c>
      <c r="BJ11" s="29">
        <v>0</v>
      </c>
      <c r="BK11" s="29">
        <v>0</v>
      </c>
      <c r="BL11" s="29">
        <v>1</v>
      </c>
      <c r="BM11" s="29">
        <v>1</v>
      </c>
      <c r="BN11" s="29">
        <v>1</v>
      </c>
      <c r="BO11" s="29">
        <v>1</v>
      </c>
      <c r="BP11" s="29">
        <v>1</v>
      </c>
      <c r="BQ11" s="29">
        <v>0</v>
      </c>
      <c r="BR11" s="29">
        <v>1</v>
      </c>
      <c r="BS11" s="29">
        <v>1</v>
      </c>
      <c r="BT11" s="29">
        <v>1</v>
      </c>
      <c r="BU11" s="29">
        <v>1</v>
      </c>
      <c r="BV11" s="29">
        <v>1</v>
      </c>
      <c r="BW11" s="29">
        <v>0</v>
      </c>
      <c r="BX11" s="29">
        <v>0</v>
      </c>
      <c r="BY11" s="29">
        <v>0</v>
      </c>
      <c r="BZ11" s="29">
        <v>0</v>
      </c>
      <c r="CA11" s="29">
        <v>-1</v>
      </c>
      <c r="CB11" s="29">
        <v>-1</v>
      </c>
      <c r="CC11" s="29">
        <v>-2</v>
      </c>
      <c r="CD11" s="29">
        <v>-2</v>
      </c>
      <c r="CE11" s="29">
        <v>-2</v>
      </c>
      <c r="CF11" s="29">
        <v>-1</v>
      </c>
      <c r="CG11" s="29">
        <v>-2</v>
      </c>
      <c r="CH11" s="29">
        <v>-1</v>
      </c>
      <c r="CI11" s="29">
        <v>0</v>
      </c>
      <c r="CJ11" s="29"/>
      <c r="CK11" s="90"/>
      <c r="CL11" s="90"/>
      <c r="CM11" s="90"/>
      <c r="CN11" s="90"/>
      <c r="CO11" s="74">
        <f t="shared" si="0"/>
        <v>2.7866666666666666</v>
      </c>
      <c r="CQ11"/>
      <c r="CV11" s="27"/>
    </row>
    <row r="12" spans="1:100" ht="15" customHeight="1">
      <c r="A12">
        <v>7</v>
      </c>
      <c r="B12" t="s">
        <v>59</v>
      </c>
      <c r="C12" t="s">
        <v>60</v>
      </c>
      <c r="D12" s="28">
        <v>39</v>
      </c>
      <c r="E12">
        <v>12</v>
      </c>
      <c r="F12" t="s">
        <v>61</v>
      </c>
      <c r="G12" t="s">
        <v>62</v>
      </c>
      <c r="H12" s="73">
        <v>1</v>
      </c>
      <c r="I12" s="73">
        <v>0</v>
      </c>
      <c r="J12" s="29"/>
      <c r="K12" s="29">
        <v>0</v>
      </c>
      <c r="L12" s="29">
        <v>0</v>
      </c>
      <c r="M12" s="29">
        <v>2</v>
      </c>
      <c r="N12" s="29">
        <v>3</v>
      </c>
      <c r="O12" s="29">
        <v>3</v>
      </c>
      <c r="P12" s="29">
        <v>3</v>
      </c>
      <c r="Q12" s="29">
        <v>3</v>
      </c>
      <c r="R12" s="29">
        <v>3</v>
      </c>
      <c r="S12" s="29">
        <v>3</v>
      </c>
      <c r="T12" s="29">
        <v>4</v>
      </c>
      <c r="U12" s="30">
        <v>5</v>
      </c>
      <c r="V12" s="30">
        <v>5</v>
      </c>
      <c r="W12" s="30">
        <v>5</v>
      </c>
      <c r="X12" s="30">
        <v>5</v>
      </c>
      <c r="Y12" s="30">
        <v>5</v>
      </c>
      <c r="Z12" s="30">
        <v>5</v>
      </c>
      <c r="AA12" s="30">
        <v>6</v>
      </c>
      <c r="AB12" s="30">
        <v>4</v>
      </c>
      <c r="AC12" s="29">
        <v>3</v>
      </c>
      <c r="AD12" s="29">
        <v>2</v>
      </c>
      <c r="AE12" s="29">
        <v>1</v>
      </c>
      <c r="AF12" s="29">
        <v>1</v>
      </c>
      <c r="AG12" s="29">
        <v>1</v>
      </c>
      <c r="AH12" s="29">
        <v>1</v>
      </c>
      <c r="AI12" s="29">
        <v>1</v>
      </c>
      <c r="AJ12" s="29">
        <v>1</v>
      </c>
      <c r="AK12" s="29">
        <v>0</v>
      </c>
      <c r="AL12" s="29">
        <v>0</v>
      </c>
      <c r="AM12" s="29">
        <v>1</v>
      </c>
      <c r="AN12" s="29">
        <v>2</v>
      </c>
      <c r="AO12" s="29">
        <v>3</v>
      </c>
      <c r="AP12" s="29">
        <v>4</v>
      </c>
      <c r="AQ12" s="30">
        <v>5</v>
      </c>
      <c r="AR12" s="30">
        <v>5</v>
      </c>
      <c r="AS12" s="30">
        <v>6</v>
      </c>
      <c r="AT12" s="30">
        <v>6</v>
      </c>
      <c r="AU12" s="30">
        <v>6</v>
      </c>
      <c r="AV12" s="30">
        <v>6</v>
      </c>
      <c r="AW12" s="30">
        <v>7</v>
      </c>
      <c r="AX12" s="30">
        <v>6</v>
      </c>
      <c r="AY12" s="30">
        <v>6</v>
      </c>
      <c r="AZ12" s="30">
        <v>5</v>
      </c>
      <c r="BA12" s="30">
        <v>5</v>
      </c>
      <c r="BB12" s="30">
        <v>4</v>
      </c>
      <c r="BC12" s="29">
        <v>4</v>
      </c>
      <c r="BD12" s="29">
        <v>3</v>
      </c>
      <c r="BE12" s="29">
        <v>3</v>
      </c>
      <c r="BF12" s="29">
        <v>3</v>
      </c>
      <c r="BG12" s="29">
        <v>3</v>
      </c>
      <c r="BH12" s="29">
        <v>3</v>
      </c>
      <c r="BI12" s="29">
        <v>3</v>
      </c>
      <c r="BJ12" s="29">
        <v>4</v>
      </c>
      <c r="BK12" s="29">
        <v>4</v>
      </c>
      <c r="BL12" s="29">
        <v>3</v>
      </c>
      <c r="BM12" s="29">
        <v>3</v>
      </c>
      <c r="BN12" s="29">
        <v>4</v>
      </c>
      <c r="BO12" s="30">
        <v>5</v>
      </c>
      <c r="BP12" s="30">
        <v>5</v>
      </c>
      <c r="BQ12" s="29">
        <v>4</v>
      </c>
      <c r="BR12" s="29">
        <v>4</v>
      </c>
      <c r="BS12" s="30">
        <v>5</v>
      </c>
      <c r="BT12" s="30">
        <v>5</v>
      </c>
      <c r="BU12" s="30">
        <v>6</v>
      </c>
      <c r="BV12" s="30">
        <v>6</v>
      </c>
      <c r="BW12" s="30">
        <v>5</v>
      </c>
      <c r="BX12" s="30">
        <v>5</v>
      </c>
      <c r="BY12" s="30">
        <v>5</v>
      </c>
      <c r="BZ12" s="30">
        <v>4</v>
      </c>
      <c r="CA12" s="29">
        <v>3</v>
      </c>
      <c r="CB12" s="29">
        <v>2</v>
      </c>
      <c r="CC12" s="29">
        <v>2</v>
      </c>
      <c r="CD12" s="29">
        <v>1</v>
      </c>
      <c r="CE12" s="29">
        <v>1</v>
      </c>
      <c r="CF12" s="29">
        <v>0</v>
      </c>
      <c r="CG12" s="29">
        <v>0</v>
      </c>
      <c r="CH12" s="29">
        <v>0</v>
      </c>
      <c r="CI12" s="29">
        <v>0</v>
      </c>
      <c r="CJ12" s="29"/>
      <c r="CK12" s="90"/>
      <c r="CL12" s="90"/>
      <c r="CM12" s="90"/>
      <c r="CN12" s="90"/>
      <c r="CO12" s="74">
        <f t="shared" si="0"/>
        <v>3.4666666666666668</v>
      </c>
      <c r="CQ12"/>
      <c r="CV12" s="27"/>
    </row>
    <row r="13" spans="1:100" ht="15" customHeight="1">
      <c r="D13" s="28">
        <v>37</v>
      </c>
      <c r="H13" s="73">
        <v>22</v>
      </c>
      <c r="I13" s="73">
        <v>-33</v>
      </c>
      <c r="J13" s="29"/>
      <c r="K13" s="29">
        <v>0</v>
      </c>
      <c r="L13" s="29">
        <v>-1</v>
      </c>
      <c r="M13" s="29">
        <v>3</v>
      </c>
      <c r="N13" s="29">
        <v>3</v>
      </c>
      <c r="O13" s="29">
        <v>2</v>
      </c>
      <c r="P13" s="29">
        <v>2</v>
      </c>
      <c r="Q13" s="29">
        <v>2</v>
      </c>
      <c r="R13" s="29">
        <v>3</v>
      </c>
      <c r="S13" s="29">
        <v>3</v>
      </c>
      <c r="T13" s="29">
        <v>4</v>
      </c>
      <c r="U13" s="29">
        <v>4</v>
      </c>
      <c r="V13" s="29">
        <v>4</v>
      </c>
      <c r="W13" s="29">
        <v>4</v>
      </c>
      <c r="X13" s="29">
        <v>5</v>
      </c>
      <c r="Y13" s="30">
        <v>5</v>
      </c>
      <c r="Z13" s="30">
        <v>6</v>
      </c>
      <c r="AA13" s="30">
        <v>6</v>
      </c>
      <c r="AB13" s="30">
        <v>5</v>
      </c>
      <c r="AC13" s="29">
        <v>4</v>
      </c>
      <c r="AD13" s="29">
        <v>4</v>
      </c>
      <c r="AE13" s="29">
        <v>4</v>
      </c>
      <c r="AF13" s="29">
        <v>4</v>
      </c>
      <c r="AG13" s="29">
        <v>3</v>
      </c>
      <c r="AH13" s="29">
        <v>2</v>
      </c>
      <c r="AI13" s="29">
        <v>1</v>
      </c>
      <c r="AJ13" s="29">
        <v>1</v>
      </c>
      <c r="AK13" s="29">
        <v>0</v>
      </c>
      <c r="AL13" s="29">
        <v>-1</v>
      </c>
      <c r="AM13" s="29">
        <v>-2</v>
      </c>
      <c r="AN13" s="29">
        <v>-2</v>
      </c>
      <c r="AO13" s="29">
        <v>-3</v>
      </c>
      <c r="AP13" s="29">
        <v>-3</v>
      </c>
      <c r="AQ13" s="29">
        <v>-4</v>
      </c>
      <c r="AR13" s="29">
        <v>-4</v>
      </c>
      <c r="AS13" s="29">
        <v>-4</v>
      </c>
      <c r="AT13" s="29">
        <v>-5</v>
      </c>
      <c r="AU13" s="30">
        <v>-6</v>
      </c>
      <c r="AV13" s="30">
        <v>-6</v>
      </c>
      <c r="AW13" s="30">
        <v>-6</v>
      </c>
      <c r="AX13" s="30">
        <v>-6</v>
      </c>
      <c r="AY13" s="30">
        <v>-6</v>
      </c>
      <c r="AZ13" s="30">
        <v>-7</v>
      </c>
      <c r="BA13" s="30">
        <v>-8</v>
      </c>
      <c r="BB13" s="30">
        <v>-8</v>
      </c>
      <c r="BC13" s="30">
        <v>-8</v>
      </c>
      <c r="BD13" s="30">
        <v>-8</v>
      </c>
      <c r="BE13" s="30">
        <v>-8</v>
      </c>
      <c r="BF13" s="30">
        <v>-8</v>
      </c>
      <c r="BG13" s="30">
        <v>-8</v>
      </c>
      <c r="BH13" s="30">
        <v>-7</v>
      </c>
      <c r="BI13" s="30">
        <v>-7</v>
      </c>
      <c r="BJ13" s="30">
        <v>-7</v>
      </c>
      <c r="BK13" s="30">
        <v>-7</v>
      </c>
      <c r="BL13" s="30">
        <v>-6</v>
      </c>
      <c r="BM13" s="30">
        <v>-6</v>
      </c>
      <c r="BN13" s="30">
        <v>-6</v>
      </c>
      <c r="BO13" s="30">
        <v>-6</v>
      </c>
      <c r="BP13" s="30">
        <v>-5</v>
      </c>
      <c r="BQ13" s="30">
        <v>-5</v>
      </c>
      <c r="BR13" s="30">
        <v>-4</v>
      </c>
      <c r="BS13" s="29">
        <v>-3</v>
      </c>
      <c r="BT13" s="29">
        <v>-3</v>
      </c>
      <c r="BU13" s="29">
        <v>-2</v>
      </c>
      <c r="BV13" s="29">
        <v>-2</v>
      </c>
      <c r="BW13" s="29">
        <v>-2</v>
      </c>
      <c r="BX13" s="29">
        <v>-1</v>
      </c>
      <c r="BY13" s="29">
        <v>-1</v>
      </c>
      <c r="BZ13" s="29">
        <v>-1</v>
      </c>
      <c r="CA13" s="29">
        <v>-1</v>
      </c>
      <c r="CB13" s="29">
        <v>-1</v>
      </c>
      <c r="CC13" s="29">
        <v>-1</v>
      </c>
      <c r="CD13" s="29">
        <v>-1</v>
      </c>
      <c r="CE13" s="29">
        <v>-1</v>
      </c>
      <c r="CF13" s="29">
        <v>-1</v>
      </c>
      <c r="CG13" s="29">
        <v>-1</v>
      </c>
      <c r="CH13" s="29">
        <v>0</v>
      </c>
      <c r="CI13" s="29">
        <v>0</v>
      </c>
      <c r="CJ13" s="29"/>
      <c r="CK13" s="90"/>
      <c r="CL13" s="90"/>
      <c r="CM13" s="90"/>
      <c r="CN13" s="90"/>
      <c r="CO13" s="74">
        <f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3.9200000000000004</v>
      </c>
      <c r="CQ13"/>
      <c r="CV13" s="27"/>
    </row>
    <row r="14" spans="1:100" ht="15" customHeight="1">
      <c r="A14">
        <v>8</v>
      </c>
      <c r="B14" t="s">
        <v>59</v>
      </c>
      <c r="C14" t="s">
        <v>60</v>
      </c>
      <c r="D14" s="28">
        <v>35</v>
      </c>
      <c r="E14">
        <v>11</v>
      </c>
      <c r="F14" t="s">
        <v>61</v>
      </c>
      <c r="G14" t="s">
        <v>62</v>
      </c>
      <c r="H14" s="73">
        <v>-29</v>
      </c>
      <c r="I14" s="73">
        <v>-32</v>
      </c>
      <c r="J14" s="29"/>
      <c r="K14" s="29">
        <v>0</v>
      </c>
      <c r="L14" s="29">
        <v>-1</v>
      </c>
      <c r="M14" s="29">
        <v>1</v>
      </c>
      <c r="N14" s="29">
        <v>1</v>
      </c>
      <c r="O14" s="29">
        <v>1</v>
      </c>
      <c r="P14" s="29">
        <v>1</v>
      </c>
      <c r="Q14" s="29">
        <v>1</v>
      </c>
      <c r="R14" s="29">
        <v>1</v>
      </c>
      <c r="S14" s="29">
        <v>1</v>
      </c>
      <c r="T14" s="29">
        <v>2</v>
      </c>
      <c r="U14" s="29">
        <v>3</v>
      </c>
      <c r="V14" s="29">
        <v>2</v>
      </c>
      <c r="W14" s="29">
        <v>2</v>
      </c>
      <c r="X14" s="29">
        <v>3</v>
      </c>
      <c r="Y14" s="29">
        <v>4</v>
      </c>
      <c r="Z14" s="29">
        <v>4</v>
      </c>
      <c r="AA14" s="30">
        <v>5</v>
      </c>
      <c r="AB14" s="30">
        <v>5</v>
      </c>
      <c r="AC14" s="29">
        <v>4</v>
      </c>
      <c r="AD14" s="29">
        <v>5</v>
      </c>
      <c r="AE14" s="30">
        <v>5</v>
      </c>
      <c r="AF14" s="30">
        <v>5</v>
      </c>
      <c r="AG14" s="29">
        <v>4</v>
      </c>
      <c r="AH14" s="29">
        <v>4</v>
      </c>
      <c r="AI14" s="29">
        <v>4</v>
      </c>
      <c r="AJ14" s="29">
        <v>3</v>
      </c>
      <c r="AK14" s="29">
        <v>3</v>
      </c>
      <c r="AL14" s="29">
        <v>3</v>
      </c>
      <c r="AM14" s="29">
        <v>3</v>
      </c>
      <c r="AN14" s="29">
        <v>3</v>
      </c>
      <c r="AO14" s="29">
        <v>2</v>
      </c>
      <c r="AP14" s="29">
        <v>2</v>
      </c>
      <c r="AQ14" s="29">
        <v>2</v>
      </c>
      <c r="AR14" s="29">
        <v>2</v>
      </c>
      <c r="AS14" s="29">
        <v>1</v>
      </c>
      <c r="AT14" s="29">
        <v>1</v>
      </c>
      <c r="AU14" s="29">
        <v>1</v>
      </c>
      <c r="AV14" s="29">
        <v>1</v>
      </c>
      <c r="AW14" s="29">
        <v>1</v>
      </c>
      <c r="AX14" s="29">
        <v>1</v>
      </c>
      <c r="AY14" s="29">
        <v>1</v>
      </c>
      <c r="AZ14" s="29">
        <v>1</v>
      </c>
      <c r="BA14" s="29">
        <v>0</v>
      </c>
      <c r="BB14" s="29">
        <v>0</v>
      </c>
      <c r="BC14" s="29">
        <v>0</v>
      </c>
      <c r="BD14" s="29">
        <v>0</v>
      </c>
      <c r="BE14" s="29">
        <v>-1</v>
      </c>
      <c r="BF14" s="29">
        <v>-1</v>
      </c>
      <c r="BG14" s="29">
        <v>-1</v>
      </c>
      <c r="BH14" s="29">
        <v>0</v>
      </c>
      <c r="BI14" s="29">
        <v>0</v>
      </c>
      <c r="BJ14" s="29">
        <v>0</v>
      </c>
      <c r="BK14" s="29">
        <v>0</v>
      </c>
      <c r="BL14" s="29">
        <v>0</v>
      </c>
      <c r="BM14" s="29">
        <v>0</v>
      </c>
      <c r="BN14" s="29">
        <v>0</v>
      </c>
      <c r="BO14" s="29">
        <v>0</v>
      </c>
      <c r="BP14" s="29">
        <v>0</v>
      </c>
      <c r="BQ14" s="29">
        <v>0</v>
      </c>
      <c r="BR14" s="29">
        <v>0</v>
      </c>
      <c r="BS14" s="29">
        <v>1</v>
      </c>
      <c r="BT14" s="29">
        <v>1</v>
      </c>
      <c r="BU14" s="29">
        <v>1</v>
      </c>
      <c r="BV14" s="29">
        <v>1</v>
      </c>
      <c r="BW14" s="29">
        <v>0</v>
      </c>
      <c r="BX14" s="29">
        <v>1</v>
      </c>
      <c r="BY14" s="29">
        <v>1</v>
      </c>
      <c r="BZ14" s="29">
        <v>0</v>
      </c>
      <c r="CA14" s="29">
        <v>0</v>
      </c>
      <c r="CB14" s="29">
        <v>0</v>
      </c>
      <c r="CC14" s="29">
        <v>0</v>
      </c>
      <c r="CD14" s="29">
        <v>0</v>
      </c>
      <c r="CE14" s="29">
        <v>0</v>
      </c>
      <c r="CF14" s="29">
        <v>0</v>
      </c>
      <c r="CG14" s="29">
        <v>-1</v>
      </c>
      <c r="CH14" s="29">
        <v>-1</v>
      </c>
      <c r="CI14" s="29">
        <v>0</v>
      </c>
      <c r="CJ14" s="29"/>
      <c r="CK14" s="90"/>
      <c r="CL14" s="90"/>
      <c r="CM14" s="90"/>
      <c r="CN14" s="90"/>
      <c r="CO14" s="74">
        <f t="shared" si="0"/>
        <v>1.4800000000000002</v>
      </c>
      <c r="CQ14"/>
      <c r="CV14" s="27"/>
    </row>
    <row r="15" spans="1:100" ht="15" customHeight="1">
      <c r="D15" s="28">
        <v>33</v>
      </c>
      <c r="H15" s="73">
        <v>22</v>
      </c>
      <c r="I15" s="73">
        <v>-7</v>
      </c>
      <c r="J15" s="29"/>
      <c r="K15" s="29">
        <v>0</v>
      </c>
      <c r="L15" s="29">
        <v>0</v>
      </c>
      <c r="M15" s="29">
        <v>0</v>
      </c>
      <c r="N15" s="29">
        <v>-3</v>
      </c>
      <c r="O15" s="30">
        <v>-8</v>
      </c>
      <c r="P15" s="30">
        <v>-12</v>
      </c>
      <c r="Q15" s="31">
        <v>-24</v>
      </c>
      <c r="R15" s="31">
        <v>-28</v>
      </c>
      <c r="S15" s="31">
        <v>-35</v>
      </c>
      <c r="T15" s="31">
        <v>-40</v>
      </c>
      <c r="U15" s="32">
        <v>-48</v>
      </c>
      <c r="V15" s="32">
        <v>-50</v>
      </c>
      <c r="W15" s="32">
        <v>-56</v>
      </c>
      <c r="X15" s="32">
        <v>-60</v>
      </c>
      <c r="Y15" s="32">
        <v>-63</v>
      </c>
      <c r="Z15" s="32">
        <v>-65</v>
      </c>
      <c r="AA15" s="32">
        <v>-69</v>
      </c>
      <c r="AB15" s="32">
        <v>-72</v>
      </c>
      <c r="AC15" s="32">
        <v>-78</v>
      </c>
      <c r="AD15" s="32">
        <v>-80</v>
      </c>
      <c r="AE15" s="32">
        <v>-81</v>
      </c>
      <c r="AF15" s="32">
        <v>-84</v>
      </c>
      <c r="AG15" s="32">
        <v>-87</v>
      </c>
      <c r="AH15" s="32">
        <v>-90</v>
      </c>
      <c r="AI15" s="32">
        <v>-93</v>
      </c>
      <c r="AJ15" s="32">
        <v>-94</v>
      </c>
      <c r="AK15" s="32">
        <v>-95</v>
      </c>
      <c r="AL15" s="32">
        <v>-96</v>
      </c>
      <c r="AM15" s="32">
        <v>-99</v>
      </c>
      <c r="AN15" s="32">
        <v>-100</v>
      </c>
      <c r="AO15" s="32">
        <v>-102</v>
      </c>
      <c r="AP15" s="32">
        <v>-102</v>
      </c>
      <c r="AQ15" s="32">
        <v>-102</v>
      </c>
      <c r="AR15" s="32">
        <v>-103</v>
      </c>
      <c r="AS15" s="32">
        <v>-104</v>
      </c>
      <c r="AT15" s="32">
        <v>-104</v>
      </c>
      <c r="AU15" s="32">
        <v>-104</v>
      </c>
      <c r="AV15" s="32">
        <v>-103</v>
      </c>
      <c r="AW15" s="32">
        <v>-103</v>
      </c>
      <c r="AX15" s="32">
        <v>-102</v>
      </c>
      <c r="AY15" s="32">
        <v>-101</v>
      </c>
      <c r="AZ15" s="32">
        <v>-100</v>
      </c>
      <c r="BA15" s="32">
        <v>-99</v>
      </c>
      <c r="BB15" s="32">
        <v>-96</v>
      </c>
      <c r="BC15" s="32">
        <v>-94</v>
      </c>
      <c r="BD15" s="32">
        <v>-92</v>
      </c>
      <c r="BE15" s="32">
        <v>-90</v>
      </c>
      <c r="BF15" s="32">
        <v>-88</v>
      </c>
      <c r="BG15" s="32">
        <v>-86</v>
      </c>
      <c r="BH15" s="32">
        <v>-83</v>
      </c>
      <c r="BI15" s="32">
        <v>-82</v>
      </c>
      <c r="BJ15" s="32">
        <v>-80</v>
      </c>
      <c r="BK15" s="32">
        <v>-78</v>
      </c>
      <c r="BL15" s="32">
        <v>-76</v>
      </c>
      <c r="BM15" s="32">
        <v>-74</v>
      </c>
      <c r="BN15" s="32">
        <v>-71</v>
      </c>
      <c r="BO15" s="32">
        <v>-69</v>
      </c>
      <c r="BP15" s="32">
        <v>-65</v>
      </c>
      <c r="BQ15" s="32">
        <v>-60</v>
      </c>
      <c r="BR15" s="32">
        <v>-54</v>
      </c>
      <c r="BS15" s="32">
        <v>-48</v>
      </c>
      <c r="BT15" s="32">
        <v>-42</v>
      </c>
      <c r="BU15" s="31">
        <v>-37</v>
      </c>
      <c r="BV15" s="31">
        <v>-32</v>
      </c>
      <c r="BW15" s="31">
        <v>-29</v>
      </c>
      <c r="BX15" s="31">
        <v>-25</v>
      </c>
      <c r="BY15" s="30">
        <v>-19</v>
      </c>
      <c r="BZ15" s="30">
        <v>-15</v>
      </c>
      <c r="CA15" s="30">
        <v>-11</v>
      </c>
      <c r="CB15" s="30">
        <v>-8</v>
      </c>
      <c r="CC15" s="29">
        <v>-3</v>
      </c>
      <c r="CD15" s="29">
        <v>0</v>
      </c>
      <c r="CE15" s="29">
        <v>3</v>
      </c>
      <c r="CF15" s="29">
        <v>5</v>
      </c>
      <c r="CG15" s="30">
        <v>7</v>
      </c>
      <c r="CH15" s="30">
        <v>3</v>
      </c>
      <c r="CI15" s="29">
        <v>0</v>
      </c>
      <c r="CJ15" s="29"/>
      <c r="CK15" s="90"/>
      <c r="CL15" s="90"/>
      <c r="CM15" s="90"/>
      <c r="CN15" s="90"/>
      <c r="CO15" s="74">
        <f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62.186666666666667</v>
      </c>
      <c r="CQ15"/>
      <c r="CV15" s="27"/>
    </row>
    <row r="16" spans="1:100" ht="15" customHeight="1">
      <c r="A16">
        <v>9</v>
      </c>
      <c r="B16" t="s">
        <v>59</v>
      </c>
      <c r="C16" t="s">
        <v>60</v>
      </c>
      <c r="D16" s="28">
        <v>31</v>
      </c>
      <c r="E16">
        <v>10</v>
      </c>
      <c r="F16" t="s">
        <v>61</v>
      </c>
      <c r="G16" t="s">
        <v>62</v>
      </c>
      <c r="H16" s="73">
        <v>-7</v>
      </c>
      <c r="I16" s="73">
        <v>8</v>
      </c>
      <c r="J16" s="29"/>
      <c r="K16" s="29">
        <v>0</v>
      </c>
      <c r="L16" s="29">
        <v>-1</v>
      </c>
      <c r="M16" s="29">
        <v>1</v>
      </c>
      <c r="N16" s="29">
        <v>3</v>
      </c>
      <c r="O16" s="29">
        <v>3</v>
      </c>
      <c r="P16" s="29">
        <v>3</v>
      </c>
      <c r="Q16" s="29">
        <v>3</v>
      </c>
      <c r="R16" s="29">
        <v>4</v>
      </c>
      <c r="S16" s="29">
        <v>4</v>
      </c>
      <c r="T16" s="29">
        <v>5</v>
      </c>
      <c r="U16" s="30">
        <v>6</v>
      </c>
      <c r="V16" s="30">
        <v>6</v>
      </c>
      <c r="W16" s="30">
        <v>5</v>
      </c>
      <c r="X16" s="30">
        <v>5</v>
      </c>
      <c r="Y16" s="30">
        <v>5</v>
      </c>
      <c r="Z16" s="30">
        <v>5</v>
      </c>
      <c r="AA16" s="30">
        <v>5</v>
      </c>
      <c r="AB16" s="30">
        <v>4</v>
      </c>
      <c r="AC16" s="29">
        <v>3</v>
      </c>
      <c r="AD16" s="29">
        <v>3</v>
      </c>
      <c r="AE16" s="29">
        <v>2</v>
      </c>
      <c r="AF16" s="29">
        <v>1</v>
      </c>
      <c r="AG16" s="29">
        <v>0</v>
      </c>
      <c r="AH16" s="29">
        <v>-1</v>
      </c>
      <c r="AI16" s="29">
        <v>-2</v>
      </c>
      <c r="AJ16" s="29">
        <v>-2</v>
      </c>
      <c r="AK16" s="29">
        <v>-3</v>
      </c>
      <c r="AL16" s="29">
        <v>-4</v>
      </c>
      <c r="AM16" s="30">
        <v>-5</v>
      </c>
      <c r="AN16" s="30">
        <v>-5</v>
      </c>
      <c r="AO16" s="30">
        <v>-6</v>
      </c>
      <c r="AP16" s="30">
        <v>-6</v>
      </c>
      <c r="AQ16" s="30">
        <v>-6</v>
      </c>
      <c r="AR16" s="30">
        <v>-6</v>
      </c>
      <c r="AS16" s="30">
        <v>-6</v>
      </c>
      <c r="AT16" s="30">
        <v>-6</v>
      </c>
      <c r="AU16" s="30">
        <v>-6</v>
      </c>
      <c r="AV16" s="30">
        <v>-5</v>
      </c>
      <c r="AW16" s="30">
        <v>-5</v>
      </c>
      <c r="AX16" s="30">
        <v>-5</v>
      </c>
      <c r="AY16" s="30">
        <v>-5</v>
      </c>
      <c r="AZ16" s="30">
        <v>-5</v>
      </c>
      <c r="BA16" s="30">
        <v>-5</v>
      </c>
      <c r="BB16" s="30">
        <v>-5</v>
      </c>
      <c r="BC16" s="30">
        <v>-5</v>
      </c>
      <c r="BD16" s="30">
        <v>-5</v>
      </c>
      <c r="BE16" s="30">
        <v>-5</v>
      </c>
      <c r="BF16" s="30">
        <v>-5</v>
      </c>
      <c r="BG16" s="30">
        <v>-5</v>
      </c>
      <c r="BH16" s="30">
        <v>-4</v>
      </c>
      <c r="BI16" s="29">
        <v>-4</v>
      </c>
      <c r="BJ16" s="29">
        <v>-3</v>
      </c>
      <c r="BK16" s="29">
        <v>-3</v>
      </c>
      <c r="BL16" s="29">
        <v>-3</v>
      </c>
      <c r="BM16" s="29">
        <v>-3</v>
      </c>
      <c r="BN16" s="29">
        <v>-2</v>
      </c>
      <c r="BO16" s="29">
        <v>-1</v>
      </c>
      <c r="BP16" s="29">
        <v>-1</v>
      </c>
      <c r="BQ16" s="29">
        <v>-1</v>
      </c>
      <c r="BR16" s="29">
        <v>0</v>
      </c>
      <c r="BS16" s="29">
        <v>2</v>
      </c>
      <c r="BT16" s="29">
        <v>3</v>
      </c>
      <c r="BU16" s="29">
        <v>4</v>
      </c>
      <c r="BV16" s="29">
        <v>3</v>
      </c>
      <c r="BW16" s="29">
        <v>2</v>
      </c>
      <c r="BX16" s="29">
        <v>2</v>
      </c>
      <c r="BY16" s="29">
        <v>3</v>
      </c>
      <c r="BZ16" s="29">
        <v>2</v>
      </c>
      <c r="CA16" s="29">
        <v>2</v>
      </c>
      <c r="CB16" s="29">
        <v>1</v>
      </c>
      <c r="CC16" s="29">
        <v>0</v>
      </c>
      <c r="CD16" s="29">
        <v>0</v>
      </c>
      <c r="CE16" s="29">
        <v>0</v>
      </c>
      <c r="CF16" s="29">
        <v>0</v>
      </c>
      <c r="CG16" s="29">
        <v>-1</v>
      </c>
      <c r="CH16" s="29">
        <v>-1</v>
      </c>
      <c r="CI16" s="29">
        <v>0</v>
      </c>
      <c r="CJ16" s="29"/>
      <c r="CK16" s="90"/>
      <c r="CL16" s="90"/>
      <c r="CM16" s="90"/>
      <c r="CN16" s="90"/>
      <c r="CO16" s="74">
        <f t="shared" si="0"/>
        <v>3.3600000000000003</v>
      </c>
      <c r="CQ16"/>
      <c r="CV16" s="27"/>
    </row>
    <row r="17" spans="1:100" ht="15" customHeight="1">
      <c r="A17">
        <v>10</v>
      </c>
      <c r="B17" t="s">
        <v>59</v>
      </c>
      <c r="C17" t="s">
        <v>60</v>
      </c>
      <c r="D17" s="28">
        <v>29</v>
      </c>
      <c r="E17">
        <v>9</v>
      </c>
      <c r="F17" t="s">
        <v>61</v>
      </c>
      <c r="G17" t="s">
        <v>62</v>
      </c>
      <c r="H17" s="73">
        <v>14</v>
      </c>
      <c r="I17" s="73">
        <v>33</v>
      </c>
      <c r="J17" s="29"/>
      <c r="K17" s="29">
        <v>0</v>
      </c>
      <c r="L17" s="29">
        <v>-1</v>
      </c>
      <c r="M17" s="29">
        <v>1</v>
      </c>
      <c r="N17" s="29">
        <v>1</v>
      </c>
      <c r="O17" s="29">
        <v>1</v>
      </c>
      <c r="P17" s="29">
        <v>1</v>
      </c>
      <c r="Q17" s="29">
        <v>0</v>
      </c>
      <c r="R17" s="29">
        <v>0</v>
      </c>
      <c r="S17" s="29">
        <v>-1</v>
      </c>
      <c r="T17" s="29">
        <v>-2</v>
      </c>
      <c r="U17" s="29">
        <v>-2</v>
      </c>
      <c r="V17" s="29">
        <v>-3</v>
      </c>
      <c r="W17" s="29">
        <v>-4</v>
      </c>
      <c r="X17" s="29">
        <v>-5</v>
      </c>
      <c r="Y17" s="30">
        <v>-5</v>
      </c>
      <c r="Z17" s="30">
        <v>-7</v>
      </c>
      <c r="AA17" s="30">
        <v>-8</v>
      </c>
      <c r="AB17" s="30">
        <v>-10</v>
      </c>
      <c r="AC17" s="30">
        <v>-13</v>
      </c>
      <c r="AD17" s="30">
        <v>-15</v>
      </c>
      <c r="AE17" s="30">
        <v>-17</v>
      </c>
      <c r="AF17" s="30">
        <v>-18</v>
      </c>
      <c r="AG17" s="30">
        <v>-19</v>
      </c>
      <c r="AH17" s="30">
        <v>-19</v>
      </c>
      <c r="AI17" s="30">
        <v>-20</v>
      </c>
      <c r="AJ17" s="30">
        <v>-21</v>
      </c>
      <c r="AK17" s="31">
        <v>-22</v>
      </c>
      <c r="AL17" s="31">
        <v>-22</v>
      </c>
      <c r="AM17" s="31">
        <v>-21</v>
      </c>
      <c r="AN17" s="31">
        <v>-20</v>
      </c>
      <c r="AO17" s="30">
        <v>-20</v>
      </c>
      <c r="AP17" s="30">
        <v>-20</v>
      </c>
      <c r="AQ17" s="30">
        <v>-19</v>
      </c>
      <c r="AR17" s="30">
        <v>-19</v>
      </c>
      <c r="AS17" s="30">
        <v>-19</v>
      </c>
      <c r="AT17" s="30">
        <v>-18</v>
      </c>
      <c r="AU17" s="30">
        <v>-18</v>
      </c>
      <c r="AV17" s="30">
        <v>-17</v>
      </c>
      <c r="AW17" s="30">
        <v>-17</v>
      </c>
      <c r="AX17" s="30">
        <v>-17</v>
      </c>
      <c r="AY17" s="30">
        <v>-16</v>
      </c>
      <c r="AZ17" s="30">
        <v>-16</v>
      </c>
      <c r="BA17" s="30">
        <v>-16</v>
      </c>
      <c r="BB17" s="30">
        <v>-15</v>
      </c>
      <c r="BC17" s="30">
        <v>-15</v>
      </c>
      <c r="BD17" s="30">
        <v>-15</v>
      </c>
      <c r="BE17" s="30">
        <v>-15</v>
      </c>
      <c r="BF17" s="30">
        <v>-15</v>
      </c>
      <c r="BG17" s="30">
        <v>-15</v>
      </c>
      <c r="BH17" s="30">
        <v>-16</v>
      </c>
      <c r="BI17" s="30">
        <v>-16</v>
      </c>
      <c r="BJ17" s="30">
        <v>-17</v>
      </c>
      <c r="BK17" s="30">
        <v>-17</v>
      </c>
      <c r="BL17" s="30">
        <v>-15</v>
      </c>
      <c r="BM17" s="30">
        <v>-14</v>
      </c>
      <c r="BN17" s="30">
        <v>-13</v>
      </c>
      <c r="BO17" s="30">
        <v>-13</v>
      </c>
      <c r="BP17" s="30">
        <v>-12</v>
      </c>
      <c r="BQ17" s="30">
        <v>-12</v>
      </c>
      <c r="BR17" s="30">
        <v>-9</v>
      </c>
      <c r="BS17" s="30">
        <v>-8</v>
      </c>
      <c r="BT17" s="30">
        <v>-6</v>
      </c>
      <c r="BU17" s="29">
        <v>-4</v>
      </c>
      <c r="BV17" s="29">
        <v>-3</v>
      </c>
      <c r="BW17" s="29">
        <v>-2</v>
      </c>
      <c r="BX17" s="29">
        <v>-1</v>
      </c>
      <c r="BY17" s="29">
        <v>0</v>
      </c>
      <c r="BZ17" s="29">
        <v>0</v>
      </c>
      <c r="CA17" s="29">
        <v>0</v>
      </c>
      <c r="CB17" s="29">
        <v>0</v>
      </c>
      <c r="CC17" s="29">
        <v>0</v>
      </c>
      <c r="CD17" s="29">
        <v>0</v>
      </c>
      <c r="CE17" s="29">
        <v>0</v>
      </c>
      <c r="CF17" s="29">
        <v>0</v>
      </c>
      <c r="CG17" s="29">
        <v>0</v>
      </c>
      <c r="CH17" s="29">
        <v>0</v>
      </c>
      <c r="CI17" s="29">
        <v>0</v>
      </c>
      <c r="CJ17" s="29"/>
      <c r="CK17" s="90"/>
      <c r="CL17" s="90"/>
      <c r="CM17" s="90"/>
      <c r="CN17" s="90"/>
      <c r="CO17" s="74">
        <f t="shared" si="0"/>
        <v>10.386666666666667</v>
      </c>
      <c r="CQ17"/>
      <c r="CV17" s="27"/>
    </row>
    <row r="18" spans="1:100" ht="15" customHeight="1">
      <c r="D18" s="28">
        <v>27</v>
      </c>
      <c r="H18" s="73">
        <v>22</v>
      </c>
      <c r="I18" s="73">
        <v>54</v>
      </c>
      <c r="J18" s="29"/>
      <c r="K18" s="29">
        <v>0</v>
      </c>
      <c r="L18" s="29">
        <v>-1</v>
      </c>
      <c r="M18" s="29">
        <v>3</v>
      </c>
      <c r="N18" s="29">
        <v>3</v>
      </c>
      <c r="O18" s="29">
        <v>2</v>
      </c>
      <c r="P18" s="29">
        <v>2</v>
      </c>
      <c r="Q18" s="29">
        <v>2</v>
      </c>
      <c r="R18" s="29">
        <v>3</v>
      </c>
      <c r="S18" s="29">
        <v>3</v>
      </c>
      <c r="T18" s="29">
        <v>4</v>
      </c>
      <c r="U18" s="29">
        <v>4</v>
      </c>
      <c r="V18" s="29">
        <v>4</v>
      </c>
      <c r="W18" s="29">
        <v>4</v>
      </c>
      <c r="X18" s="29">
        <v>5</v>
      </c>
      <c r="Y18" s="30">
        <v>5</v>
      </c>
      <c r="Z18" s="30">
        <v>6</v>
      </c>
      <c r="AA18" s="30">
        <v>6</v>
      </c>
      <c r="AB18" s="30">
        <v>5</v>
      </c>
      <c r="AC18" s="29">
        <v>4</v>
      </c>
      <c r="AD18" s="29">
        <v>4</v>
      </c>
      <c r="AE18" s="29">
        <v>4</v>
      </c>
      <c r="AF18" s="29">
        <v>4</v>
      </c>
      <c r="AG18" s="29">
        <v>3</v>
      </c>
      <c r="AH18" s="29">
        <v>2</v>
      </c>
      <c r="AI18" s="29">
        <v>1</v>
      </c>
      <c r="AJ18" s="29">
        <v>1</v>
      </c>
      <c r="AK18" s="29">
        <v>0</v>
      </c>
      <c r="AL18" s="29">
        <v>-1</v>
      </c>
      <c r="AM18" s="29">
        <v>-2</v>
      </c>
      <c r="AN18" s="29">
        <v>-2</v>
      </c>
      <c r="AO18" s="29">
        <v>-3</v>
      </c>
      <c r="AP18" s="29">
        <v>-3</v>
      </c>
      <c r="AQ18" s="29">
        <v>-4</v>
      </c>
      <c r="AR18" s="29">
        <v>-4</v>
      </c>
      <c r="AS18" s="29">
        <v>-4</v>
      </c>
      <c r="AT18" s="29">
        <v>-5</v>
      </c>
      <c r="AU18" s="30">
        <v>-6</v>
      </c>
      <c r="AV18" s="30">
        <v>-6</v>
      </c>
      <c r="AW18" s="30">
        <v>-6</v>
      </c>
      <c r="AX18" s="30">
        <v>-6</v>
      </c>
      <c r="AY18" s="30">
        <v>-6</v>
      </c>
      <c r="AZ18" s="30">
        <v>-7</v>
      </c>
      <c r="BA18" s="30">
        <v>-8</v>
      </c>
      <c r="BB18" s="30">
        <v>-8</v>
      </c>
      <c r="BC18" s="30">
        <v>-8</v>
      </c>
      <c r="BD18" s="30">
        <v>-8</v>
      </c>
      <c r="BE18" s="30">
        <v>-8</v>
      </c>
      <c r="BF18" s="30">
        <v>-8</v>
      </c>
      <c r="BG18" s="30">
        <v>-8</v>
      </c>
      <c r="BH18" s="30">
        <v>-7</v>
      </c>
      <c r="BI18" s="30">
        <v>-7</v>
      </c>
      <c r="BJ18" s="30">
        <v>-7</v>
      </c>
      <c r="BK18" s="30">
        <v>-7</v>
      </c>
      <c r="BL18" s="30">
        <v>-6</v>
      </c>
      <c r="BM18" s="30">
        <v>-6</v>
      </c>
      <c r="BN18" s="30">
        <v>-6</v>
      </c>
      <c r="BO18" s="30">
        <v>-6</v>
      </c>
      <c r="BP18" s="30">
        <v>-5</v>
      </c>
      <c r="BQ18" s="30">
        <v>-5</v>
      </c>
      <c r="BR18" s="30">
        <v>-4</v>
      </c>
      <c r="BS18" s="29">
        <v>-3</v>
      </c>
      <c r="BT18" s="29">
        <v>-3</v>
      </c>
      <c r="BU18" s="29">
        <v>-2</v>
      </c>
      <c r="BV18" s="29">
        <v>-2</v>
      </c>
      <c r="BW18" s="29">
        <v>-2</v>
      </c>
      <c r="BX18" s="29">
        <v>-1</v>
      </c>
      <c r="BY18" s="29">
        <v>-1</v>
      </c>
      <c r="BZ18" s="29">
        <v>-1</v>
      </c>
      <c r="CA18" s="29">
        <v>-1</v>
      </c>
      <c r="CB18" s="29">
        <v>-1</v>
      </c>
      <c r="CC18" s="29">
        <v>-1</v>
      </c>
      <c r="CD18" s="29">
        <v>-1</v>
      </c>
      <c r="CE18" s="29">
        <v>-1</v>
      </c>
      <c r="CF18" s="29">
        <v>-1</v>
      </c>
      <c r="CG18" s="29">
        <v>-1</v>
      </c>
      <c r="CH18" s="29">
        <v>0</v>
      </c>
      <c r="CI18" s="29">
        <v>0</v>
      </c>
      <c r="CJ18" s="29"/>
      <c r="CK18" s="90"/>
      <c r="CL18" s="90"/>
      <c r="CM18" s="90"/>
      <c r="CN18" s="90"/>
      <c r="CO18" s="74">
        <f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3.9200000000000004</v>
      </c>
      <c r="CQ18"/>
      <c r="CV18" s="27"/>
    </row>
    <row r="19" spans="1:100" ht="15" customHeight="1">
      <c r="A19">
        <v>11</v>
      </c>
      <c r="B19" t="s">
        <v>59</v>
      </c>
      <c r="C19" t="s">
        <v>60</v>
      </c>
      <c r="D19" s="28">
        <v>25</v>
      </c>
      <c r="E19">
        <v>8</v>
      </c>
      <c r="F19" t="s">
        <v>61</v>
      </c>
      <c r="G19" t="s">
        <v>62</v>
      </c>
      <c r="H19" s="73">
        <v>-33</v>
      </c>
      <c r="I19" s="73">
        <v>-2.1000000000000001E-2</v>
      </c>
      <c r="J19" s="29"/>
      <c r="K19" s="29">
        <v>0</v>
      </c>
      <c r="L19" s="29">
        <v>-1</v>
      </c>
      <c r="M19" s="29">
        <v>1</v>
      </c>
      <c r="N19" s="29">
        <v>1</v>
      </c>
      <c r="O19" s="29">
        <v>1</v>
      </c>
      <c r="P19" s="29">
        <v>1</v>
      </c>
      <c r="Q19" s="30">
        <v>0</v>
      </c>
      <c r="R19" s="30">
        <v>0</v>
      </c>
      <c r="S19" s="30">
        <v>-1</v>
      </c>
      <c r="T19" s="30">
        <v>-2</v>
      </c>
      <c r="U19" s="31">
        <v>-2</v>
      </c>
      <c r="V19" s="31">
        <v>-3</v>
      </c>
      <c r="W19" s="31">
        <v>-4</v>
      </c>
      <c r="X19" s="31">
        <v>-5</v>
      </c>
      <c r="Y19" s="31">
        <v>-5</v>
      </c>
      <c r="Z19" s="31">
        <v>-7</v>
      </c>
      <c r="AA19" s="31">
        <v>-8</v>
      </c>
      <c r="AB19" s="31">
        <v>-10</v>
      </c>
      <c r="AC19" s="31">
        <v>-13</v>
      </c>
      <c r="AD19" s="31">
        <v>-15</v>
      </c>
      <c r="AE19" s="32">
        <v>-17</v>
      </c>
      <c r="AF19" s="32">
        <v>-18</v>
      </c>
      <c r="AG19" s="32">
        <v>-19</v>
      </c>
      <c r="AH19" s="32">
        <v>-19</v>
      </c>
      <c r="AI19" s="32">
        <v>-20</v>
      </c>
      <c r="AJ19" s="32">
        <v>-21</v>
      </c>
      <c r="AK19" s="32">
        <v>-22</v>
      </c>
      <c r="AL19" s="32">
        <v>-22</v>
      </c>
      <c r="AM19" s="32">
        <v>-21</v>
      </c>
      <c r="AN19" s="32">
        <v>-20</v>
      </c>
      <c r="AO19" s="32">
        <v>-20</v>
      </c>
      <c r="AP19" s="32">
        <v>-20</v>
      </c>
      <c r="AQ19" s="32">
        <v>-19</v>
      </c>
      <c r="AR19" s="32">
        <v>-19</v>
      </c>
      <c r="AS19" s="32">
        <v>-19</v>
      </c>
      <c r="AT19" s="32">
        <v>-18</v>
      </c>
      <c r="AU19" s="32">
        <v>-18</v>
      </c>
      <c r="AV19" s="32">
        <v>-17</v>
      </c>
      <c r="AW19" s="32">
        <v>-17</v>
      </c>
      <c r="AX19" s="32">
        <v>-17</v>
      </c>
      <c r="AY19" s="32">
        <v>-16</v>
      </c>
      <c r="AZ19" s="32">
        <v>-16</v>
      </c>
      <c r="BA19" s="32">
        <v>-16</v>
      </c>
      <c r="BB19" s="32">
        <v>-15</v>
      </c>
      <c r="BC19" s="32">
        <v>-15</v>
      </c>
      <c r="BD19" s="32">
        <v>-15</v>
      </c>
      <c r="BE19" s="32">
        <v>-15</v>
      </c>
      <c r="BF19" s="32">
        <v>-15</v>
      </c>
      <c r="BG19" s="32">
        <v>-15</v>
      </c>
      <c r="BH19" s="32">
        <v>-16</v>
      </c>
      <c r="BI19" s="32">
        <v>-16</v>
      </c>
      <c r="BJ19" s="32">
        <v>-17</v>
      </c>
      <c r="BK19" s="32">
        <v>-17</v>
      </c>
      <c r="BL19" s="32">
        <v>-15</v>
      </c>
      <c r="BM19" s="32">
        <v>-14</v>
      </c>
      <c r="BN19" s="32">
        <v>-13</v>
      </c>
      <c r="BO19" s="32">
        <v>-13</v>
      </c>
      <c r="BP19" s="32">
        <v>-12</v>
      </c>
      <c r="BQ19" s="31">
        <v>-12</v>
      </c>
      <c r="BR19" s="31">
        <v>-9</v>
      </c>
      <c r="BS19" s="31">
        <v>-8</v>
      </c>
      <c r="BT19" s="31">
        <v>-6</v>
      </c>
      <c r="BU19" s="30">
        <v>-4</v>
      </c>
      <c r="BV19" s="30">
        <v>-3</v>
      </c>
      <c r="BW19" s="30">
        <v>-2</v>
      </c>
      <c r="BX19" s="30">
        <v>-1</v>
      </c>
      <c r="BY19" s="30">
        <v>0</v>
      </c>
      <c r="BZ19" s="30">
        <v>0</v>
      </c>
      <c r="CA19" s="29">
        <v>0</v>
      </c>
      <c r="CB19" s="29">
        <v>0</v>
      </c>
      <c r="CC19" s="29">
        <v>0</v>
      </c>
      <c r="CD19" s="29">
        <v>0</v>
      </c>
      <c r="CE19" s="29">
        <v>0</v>
      </c>
      <c r="CF19" s="29">
        <v>0</v>
      </c>
      <c r="CG19" s="29">
        <v>0</v>
      </c>
      <c r="CH19" s="29">
        <v>0</v>
      </c>
      <c r="CI19" s="29">
        <v>0</v>
      </c>
      <c r="CJ19" s="29"/>
      <c r="CK19" s="90"/>
      <c r="CL19" s="90"/>
      <c r="CM19" s="90"/>
      <c r="CN19" s="90"/>
      <c r="CO19" s="74">
        <f t="shared" si="0"/>
        <v>10.386666666666667</v>
      </c>
      <c r="CQ19"/>
      <c r="CV19" s="27"/>
    </row>
    <row r="20" spans="1:100" ht="15" customHeight="1">
      <c r="D20" s="28">
        <v>23</v>
      </c>
      <c r="H20" s="73">
        <v>22</v>
      </c>
      <c r="I20" s="73">
        <v>-6</v>
      </c>
      <c r="J20" s="29"/>
      <c r="K20" s="29">
        <v>0</v>
      </c>
      <c r="L20" s="29">
        <v>-1</v>
      </c>
      <c r="M20" s="29">
        <v>3</v>
      </c>
      <c r="N20" s="29">
        <v>3</v>
      </c>
      <c r="O20" s="29">
        <v>2</v>
      </c>
      <c r="P20" s="29">
        <v>2</v>
      </c>
      <c r="Q20" s="29">
        <v>2</v>
      </c>
      <c r="R20" s="29">
        <v>3</v>
      </c>
      <c r="S20" s="29">
        <v>3</v>
      </c>
      <c r="T20" s="29">
        <v>4</v>
      </c>
      <c r="U20" s="29">
        <v>4</v>
      </c>
      <c r="V20" s="29">
        <v>4</v>
      </c>
      <c r="W20" s="29">
        <v>4</v>
      </c>
      <c r="X20" s="29">
        <v>5</v>
      </c>
      <c r="Y20" s="30">
        <v>5</v>
      </c>
      <c r="Z20" s="30">
        <v>6</v>
      </c>
      <c r="AA20" s="30">
        <v>6</v>
      </c>
      <c r="AB20" s="30">
        <v>5</v>
      </c>
      <c r="AC20" s="29">
        <v>4</v>
      </c>
      <c r="AD20" s="29">
        <v>4</v>
      </c>
      <c r="AE20" s="29">
        <v>4</v>
      </c>
      <c r="AF20" s="29">
        <v>4</v>
      </c>
      <c r="AG20" s="29">
        <v>3</v>
      </c>
      <c r="AH20" s="29">
        <v>2</v>
      </c>
      <c r="AI20" s="29">
        <v>1</v>
      </c>
      <c r="AJ20" s="29">
        <v>1</v>
      </c>
      <c r="AK20" s="29">
        <v>0</v>
      </c>
      <c r="AL20" s="29">
        <v>-1</v>
      </c>
      <c r="AM20" s="29">
        <v>-2</v>
      </c>
      <c r="AN20" s="29">
        <v>-2</v>
      </c>
      <c r="AO20" s="29">
        <v>-3</v>
      </c>
      <c r="AP20" s="29">
        <v>-3</v>
      </c>
      <c r="AQ20" s="29">
        <v>-4</v>
      </c>
      <c r="AR20" s="29">
        <v>-4</v>
      </c>
      <c r="AS20" s="29">
        <v>-4</v>
      </c>
      <c r="AT20" s="29">
        <v>-5</v>
      </c>
      <c r="AU20" s="30">
        <v>-6</v>
      </c>
      <c r="AV20" s="30">
        <v>-6</v>
      </c>
      <c r="AW20" s="30">
        <v>-6</v>
      </c>
      <c r="AX20" s="30">
        <v>-6</v>
      </c>
      <c r="AY20" s="30">
        <v>-6</v>
      </c>
      <c r="AZ20" s="30">
        <v>-7</v>
      </c>
      <c r="BA20" s="30">
        <v>-8</v>
      </c>
      <c r="BB20" s="30">
        <v>-8</v>
      </c>
      <c r="BC20" s="30">
        <v>-8</v>
      </c>
      <c r="BD20" s="30">
        <v>-8</v>
      </c>
      <c r="BE20" s="30">
        <v>-8</v>
      </c>
      <c r="BF20" s="30">
        <v>-8</v>
      </c>
      <c r="BG20" s="30">
        <v>-8</v>
      </c>
      <c r="BH20" s="30">
        <v>-7</v>
      </c>
      <c r="BI20" s="30">
        <v>-7</v>
      </c>
      <c r="BJ20" s="30">
        <v>-7</v>
      </c>
      <c r="BK20" s="30">
        <v>-7</v>
      </c>
      <c r="BL20" s="30">
        <v>-6</v>
      </c>
      <c r="BM20" s="30">
        <v>-6</v>
      </c>
      <c r="BN20" s="30">
        <v>-6</v>
      </c>
      <c r="BO20" s="30">
        <v>-6</v>
      </c>
      <c r="BP20" s="30">
        <v>-5</v>
      </c>
      <c r="BQ20" s="30">
        <v>-5</v>
      </c>
      <c r="BR20" s="30">
        <v>-4</v>
      </c>
      <c r="BS20" s="29">
        <v>-3</v>
      </c>
      <c r="BT20" s="29">
        <v>-3</v>
      </c>
      <c r="BU20" s="29">
        <v>-2</v>
      </c>
      <c r="BV20" s="29">
        <v>-2</v>
      </c>
      <c r="BW20" s="29">
        <v>-2</v>
      </c>
      <c r="BX20" s="29">
        <v>-1</v>
      </c>
      <c r="BY20" s="29">
        <v>-1</v>
      </c>
      <c r="BZ20" s="29">
        <v>-1</v>
      </c>
      <c r="CA20" s="29">
        <v>-1</v>
      </c>
      <c r="CB20" s="29">
        <v>-1</v>
      </c>
      <c r="CC20" s="29">
        <v>-1</v>
      </c>
      <c r="CD20" s="29">
        <v>-1</v>
      </c>
      <c r="CE20" s="29">
        <v>-1</v>
      </c>
      <c r="CF20" s="29">
        <v>-1</v>
      </c>
      <c r="CG20" s="29">
        <v>-1</v>
      </c>
      <c r="CH20" s="29">
        <v>0</v>
      </c>
      <c r="CI20" s="29">
        <v>0</v>
      </c>
      <c r="CJ20" s="29"/>
      <c r="CK20" s="90"/>
      <c r="CL20" s="90"/>
      <c r="CM20" s="90"/>
      <c r="CN20" s="90"/>
      <c r="CO20" s="74">
        <f>PRODUCT(ABS(CH20)+ABS(CG20)+ABS(CF20)+ABS(CE20)+ABS(CD20)+ABS(CC20)+ABS(CB20)+ABS(CA20)+ABS(BZ20)+ABS(BY20)+ABS(BX20)+ABS(BW20)+ABS(BV20)+ABS(BU20)+ABS(BT20)+ABS(BS20)+ABS(BR20)+ABS(BQ20)+ABS(BP20)+ABS(BO20)+ABS(BN20)+ABS(BM20)+ABS(BL20)+ABS(BK20)+ABS(BJ20)+ABS(BI20)+ABS(BH20)+ABS(BG20)+ABS(BF20)+ABS(BE20)+ABS(BD20)+ABS(BC20)+ABS(BB20)+ABS(BA20)+ABS(AZ20)+ABS(AY20)+ABS(AX20)+ABS(AW20)+ABS(AV20)+ABS(AU20)+ABS(AT20)+ABS(AS20)+ABS(AR20)+ABS(AQ20)+ABS(AP20)+ABS(AO20)+ABS(AN20)+ABS(AM20)+ABS(AL20)+ABS(AK20)+ABS(AJ20)+ABS(AI20)+ABS(AH20)+ABS(AG20)+ABS(AF20)+ABS(AE20)+ABS(AD20)+ABS(AC20)+ABS(AB20)+ABS(AA20)+ABS(Z20)+ABS(Y20)+ABS(X20)+ABS(W20)+ABS(V20)+ABS(U20)+ABS(T20)+ABS(S20)+ABS(R20)+ABS(Q20)+ABS(P20)+ABS(O20)+ABS(N20)+ABS(M20)+ABS(L20),1/75)</f>
        <v>3.9200000000000004</v>
      </c>
      <c r="CQ20"/>
      <c r="CV20" s="27"/>
    </row>
    <row r="21" spans="1:100" ht="15" customHeight="1">
      <c r="A21">
        <v>12</v>
      </c>
      <c r="B21" t="s">
        <v>59</v>
      </c>
      <c r="C21" t="s">
        <v>60</v>
      </c>
      <c r="D21" s="28">
        <v>21</v>
      </c>
      <c r="E21">
        <v>7</v>
      </c>
      <c r="F21" t="s">
        <v>61</v>
      </c>
      <c r="G21" t="s">
        <v>62</v>
      </c>
      <c r="H21" s="73">
        <v>-58</v>
      </c>
      <c r="I21" s="73">
        <v>-67</v>
      </c>
      <c r="J21" s="29"/>
      <c r="K21" s="29">
        <v>0</v>
      </c>
      <c r="L21" s="29">
        <v>-1</v>
      </c>
      <c r="M21" s="29">
        <v>1</v>
      </c>
      <c r="N21" s="29">
        <v>1</v>
      </c>
      <c r="O21" s="30">
        <v>1</v>
      </c>
      <c r="P21" s="30">
        <v>1</v>
      </c>
      <c r="Q21" s="31">
        <v>0</v>
      </c>
      <c r="R21" s="31">
        <v>0</v>
      </c>
      <c r="S21" s="31">
        <v>-1</v>
      </c>
      <c r="T21" s="31">
        <v>-2</v>
      </c>
      <c r="U21" s="32">
        <v>-2</v>
      </c>
      <c r="V21" s="32">
        <v>-3</v>
      </c>
      <c r="W21" s="32">
        <v>-4</v>
      </c>
      <c r="X21" s="32">
        <v>-5</v>
      </c>
      <c r="Y21" s="32">
        <v>-5</v>
      </c>
      <c r="Z21" s="32">
        <v>-7</v>
      </c>
      <c r="AA21" s="32">
        <v>-8</v>
      </c>
      <c r="AB21" s="32">
        <v>-10</v>
      </c>
      <c r="AC21" s="32">
        <v>-13</v>
      </c>
      <c r="AD21" s="32">
        <v>-15</v>
      </c>
      <c r="AE21" s="32">
        <v>-17</v>
      </c>
      <c r="AF21" s="32">
        <v>-18</v>
      </c>
      <c r="AG21" s="32">
        <v>-19</v>
      </c>
      <c r="AH21" s="32">
        <v>-19</v>
      </c>
      <c r="AI21" s="32">
        <v>-20</v>
      </c>
      <c r="AJ21" s="32">
        <v>-21</v>
      </c>
      <c r="AK21" s="32">
        <v>-22</v>
      </c>
      <c r="AL21" s="32">
        <v>-22</v>
      </c>
      <c r="AM21" s="32">
        <v>-21</v>
      </c>
      <c r="AN21" s="32">
        <v>-20</v>
      </c>
      <c r="AO21" s="32">
        <v>-20</v>
      </c>
      <c r="AP21" s="32">
        <v>-20</v>
      </c>
      <c r="AQ21" s="32">
        <v>-19</v>
      </c>
      <c r="AR21" s="32">
        <v>-19</v>
      </c>
      <c r="AS21" s="32">
        <v>-19</v>
      </c>
      <c r="AT21" s="32">
        <v>-18</v>
      </c>
      <c r="AU21" s="32">
        <v>-18</v>
      </c>
      <c r="AV21" s="32">
        <v>-17</v>
      </c>
      <c r="AW21" s="32">
        <v>-17</v>
      </c>
      <c r="AX21" s="32">
        <v>-17</v>
      </c>
      <c r="AY21" s="32">
        <v>-16</v>
      </c>
      <c r="AZ21" s="32">
        <v>-16</v>
      </c>
      <c r="BA21" s="32">
        <v>-16</v>
      </c>
      <c r="BB21" s="32">
        <v>-15</v>
      </c>
      <c r="BC21" s="32">
        <v>-15</v>
      </c>
      <c r="BD21" s="32">
        <v>-15</v>
      </c>
      <c r="BE21" s="32">
        <v>-15</v>
      </c>
      <c r="BF21" s="32">
        <v>-15</v>
      </c>
      <c r="BG21" s="32">
        <v>-15</v>
      </c>
      <c r="BH21" s="32">
        <v>-16</v>
      </c>
      <c r="BI21" s="32">
        <v>-16</v>
      </c>
      <c r="BJ21" s="32">
        <v>-17</v>
      </c>
      <c r="BK21" s="32">
        <v>-17</v>
      </c>
      <c r="BL21" s="32">
        <v>-15</v>
      </c>
      <c r="BM21" s="32">
        <v>-14</v>
      </c>
      <c r="BN21" s="32">
        <v>-13</v>
      </c>
      <c r="BO21" s="32">
        <v>-13</v>
      </c>
      <c r="BP21" s="32">
        <v>-12</v>
      </c>
      <c r="BQ21" s="32">
        <v>-12</v>
      </c>
      <c r="BR21" s="32">
        <v>-9</v>
      </c>
      <c r="BS21" s="32">
        <v>-8</v>
      </c>
      <c r="BT21" s="32">
        <v>-6</v>
      </c>
      <c r="BU21" s="31">
        <v>-4</v>
      </c>
      <c r="BV21" s="31">
        <v>-3</v>
      </c>
      <c r="BW21" s="31">
        <v>-2</v>
      </c>
      <c r="BX21" s="31">
        <v>-1</v>
      </c>
      <c r="BY21" s="30">
        <v>0</v>
      </c>
      <c r="BZ21" s="30">
        <v>0</v>
      </c>
      <c r="CA21" s="30">
        <v>0</v>
      </c>
      <c r="CB21" s="30">
        <v>0</v>
      </c>
      <c r="CC21" s="29">
        <v>0</v>
      </c>
      <c r="CD21" s="29">
        <v>0</v>
      </c>
      <c r="CE21" s="29">
        <v>0</v>
      </c>
      <c r="CF21" s="29">
        <v>0</v>
      </c>
      <c r="CG21" s="30">
        <v>0</v>
      </c>
      <c r="CH21" s="30">
        <v>0</v>
      </c>
      <c r="CI21" s="29">
        <v>0</v>
      </c>
      <c r="CJ21" s="29"/>
      <c r="CK21" s="90"/>
      <c r="CL21" s="90"/>
      <c r="CM21" s="90"/>
      <c r="CN21" s="90"/>
      <c r="CO21" s="74">
        <f t="shared" si="0"/>
        <v>10.386666666666667</v>
      </c>
      <c r="CQ21"/>
      <c r="CV21" s="27"/>
    </row>
    <row r="22" spans="1:100" ht="15" customHeight="1">
      <c r="D22" s="28">
        <v>19</v>
      </c>
      <c r="H22" s="73">
        <v>22</v>
      </c>
      <c r="I22" s="73">
        <v>-33</v>
      </c>
      <c r="J22" s="29"/>
      <c r="K22" s="29">
        <v>0</v>
      </c>
      <c r="L22" s="29">
        <v>-1</v>
      </c>
      <c r="M22" s="29">
        <v>3</v>
      </c>
      <c r="N22" s="29">
        <v>3</v>
      </c>
      <c r="O22" s="29">
        <v>2</v>
      </c>
      <c r="P22" s="29">
        <v>2</v>
      </c>
      <c r="Q22" s="29">
        <v>2</v>
      </c>
      <c r="R22" s="29">
        <v>3</v>
      </c>
      <c r="S22" s="29">
        <v>3</v>
      </c>
      <c r="T22" s="29">
        <v>4</v>
      </c>
      <c r="U22" s="29">
        <v>4</v>
      </c>
      <c r="V22" s="29">
        <v>4</v>
      </c>
      <c r="W22" s="29">
        <v>4</v>
      </c>
      <c r="X22" s="29">
        <v>5</v>
      </c>
      <c r="Y22" s="30">
        <v>5</v>
      </c>
      <c r="Z22" s="30">
        <v>6</v>
      </c>
      <c r="AA22" s="30">
        <v>6</v>
      </c>
      <c r="AB22" s="30">
        <v>5</v>
      </c>
      <c r="AC22" s="29">
        <v>4</v>
      </c>
      <c r="AD22" s="29">
        <v>4</v>
      </c>
      <c r="AE22" s="29">
        <v>4</v>
      </c>
      <c r="AF22" s="29">
        <v>4</v>
      </c>
      <c r="AG22" s="29">
        <v>3</v>
      </c>
      <c r="AH22" s="29">
        <v>2</v>
      </c>
      <c r="AI22" s="29">
        <v>1</v>
      </c>
      <c r="AJ22" s="29">
        <v>1</v>
      </c>
      <c r="AK22" s="29">
        <v>0</v>
      </c>
      <c r="AL22" s="29">
        <v>-1</v>
      </c>
      <c r="AM22" s="29">
        <v>-2</v>
      </c>
      <c r="AN22" s="29">
        <v>-2</v>
      </c>
      <c r="AO22" s="29">
        <v>-3</v>
      </c>
      <c r="AP22" s="29">
        <v>-3</v>
      </c>
      <c r="AQ22" s="29">
        <v>-4</v>
      </c>
      <c r="AR22" s="29">
        <v>-4</v>
      </c>
      <c r="AS22" s="29">
        <v>-4</v>
      </c>
      <c r="AT22" s="29">
        <v>-5</v>
      </c>
      <c r="AU22" s="30">
        <v>-6</v>
      </c>
      <c r="AV22" s="30">
        <v>-6</v>
      </c>
      <c r="AW22" s="30">
        <v>-6</v>
      </c>
      <c r="AX22" s="30">
        <v>-6</v>
      </c>
      <c r="AY22" s="30">
        <v>-6</v>
      </c>
      <c r="AZ22" s="30">
        <v>-7</v>
      </c>
      <c r="BA22" s="30">
        <v>-8</v>
      </c>
      <c r="BB22" s="30">
        <v>-8</v>
      </c>
      <c r="BC22" s="30">
        <v>-8</v>
      </c>
      <c r="BD22" s="30">
        <v>-8</v>
      </c>
      <c r="BE22" s="30">
        <v>-8</v>
      </c>
      <c r="BF22" s="30">
        <v>-8</v>
      </c>
      <c r="BG22" s="30">
        <v>-8</v>
      </c>
      <c r="BH22" s="30">
        <v>-7</v>
      </c>
      <c r="BI22" s="30">
        <v>-7</v>
      </c>
      <c r="BJ22" s="30">
        <v>-7</v>
      </c>
      <c r="BK22" s="30">
        <v>-7</v>
      </c>
      <c r="BL22" s="30">
        <v>-6</v>
      </c>
      <c r="BM22" s="30">
        <v>-6</v>
      </c>
      <c r="BN22" s="30">
        <v>-6</v>
      </c>
      <c r="BO22" s="30">
        <v>-6</v>
      </c>
      <c r="BP22" s="30">
        <v>-5</v>
      </c>
      <c r="BQ22" s="30">
        <v>-5</v>
      </c>
      <c r="BR22" s="30">
        <v>-4</v>
      </c>
      <c r="BS22" s="29">
        <v>-3</v>
      </c>
      <c r="BT22" s="29">
        <v>-3</v>
      </c>
      <c r="BU22" s="29">
        <v>-2</v>
      </c>
      <c r="BV22" s="29">
        <v>-2</v>
      </c>
      <c r="BW22" s="29">
        <v>-2</v>
      </c>
      <c r="BX22" s="29">
        <v>-1</v>
      </c>
      <c r="BY22" s="29">
        <v>-1</v>
      </c>
      <c r="BZ22" s="29">
        <v>-1</v>
      </c>
      <c r="CA22" s="29">
        <v>-1</v>
      </c>
      <c r="CB22" s="29">
        <v>-1</v>
      </c>
      <c r="CC22" s="29">
        <v>-1</v>
      </c>
      <c r="CD22" s="29">
        <v>-1</v>
      </c>
      <c r="CE22" s="29">
        <v>-1</v>
      </c>
      <c r="CF22" s="29">
        <v>-1</v>
      </c>
      <c r="CG22" s="29">
        <v>-1</v>
      </c>
      <c r="CH22" s="29">
        <v>0</v>
      </c>
      <c r="CI22" s="29">
        <v>0</v>
      </c>
      <c r="CJ22" s="29"/>
      <c r="CK22" s="90"/>
      <c r="CL22" s="90"/>
      <c r="CM22" s="90"/>
      <c r="CN22" s="90"/>
      <c r="CO22" s="74">
        <f>PRODUCT(ABS(CH22)+ABS(CG22)+ABS(CF22)+ABS(CE22)+ABS(CD22)+ABS(CC22)+ABS(CB22)+ABS(CA22)+ABS(BZ22)+ABS(BY22)+ABS(BX22)+ABS(BW22)+ABS(BV22)+ABS(BU22)+ABS(BT22)+ABS(BS22)+ABS(BR22)+ABS(BQ22)+ABS(BP22)+ABS(BO22)+ABS(BN22)+ABS(BM22)+ABS(BL22)+ABS(BK22)+ABS(BJ22)+ABS(BI22)+ABS(BH22)+ABS(BG22)+ABS(BF22)+ABS(BE22)+ABS(BD22)+ABS(BC22)+ABS(BB22)+ABS(BA22)+ABS(AZ22)+ABS(AY22)+ABS(AX22)+ABS(AW22)+ABS(AV22)+ABS(AU22)+ABS(AT22)+ABS(AS22)+ABS(AR22)+ABS(AQ22)+ABS(AP22)+ABS(AO22)+ABS(AN22)+ABS(AM22)+ABS(AL22)+ABS(AK22)+ABS(AJ22)+ABS(AI22)+ABS(AH22)+ABS(AG22)+ABS(AF22)+ABS(AE22)+ABS(AD22)+ABS(AC22)+ABS(AB22)+ABS(AA22)+ABS(Z22)+ABS(Y22)+ABS(X22)+ABS(W22)+ABS(V22)+ABS(U22)+ABS(T22)+ABS(S22)+ABS(R22)+ABS(Q22)+ABS(P22)+ABS(O22)+ABS(N22)+ABS(M22)+ABS(L22),1/75)</f>
        <v>3.9200000000000004</v>
      </c>
      <c r="CQ22"/>
      <c r="CV22" s="27"/>
    </row>
    <row r="23" spans="1:100" ht="15" customHeight="1">
      <c r="A23">
        <v>13</v>
      </c>
      <c r="B23" t="s">
        <v>59</v>
      </c>
      <c r="C23" t="s">
        <v>60</v>
      </c>
      <c r="D23" s="28">
        <v>17</v>
      </c>
      <c r="E23">
        <v>6</v>
      </c>
      <c r="F23" t="s">
        <v>61</v>
      </c>
      <c r="G23" t="s">
        <v>62</v>
      </c>
      <c r="H23" s="73">
        <v>10</v>
      </c>
      <c r="I23" s="73">
        <v>-77</v>
      </c>
      <c r="J23" s="29"/>
      <c r="K23" s="29">
        <v>0</v>
      </c>
      <c r="L23" s="29">
        <v>-1</v>
      </c>
      <c r="M23" s="29">
        <v>-1</v>
      </c>
      <c r="N23" s="29">
        <v>-2</v>
      </c>
      <c r="O23" s="29">
        <v>-4</v>
      </c>
      <c r="P23" s="29">
        <v>-4</v>
      </c>
      <c r="Q23" s="30">
        <v>-7</v>
      </c>
      <c r="R23" s="30">
        <v>-10</v>
      </c>
      <c r="S23" s="30">
        <v>-13</v>
      </c>
      <c r="T23" s="30">
        <v>-14</v>
      </c>
      <c r="U23" s="30">
        <v>-17</v>
      </c>
      <c r="V23" s="30">
        <v>-20</v>
      </c>
      <c r="W23" s="31">
        <v>-22</v>
      </c>
      <c r="X23" s="31">
        <v>-25</v>
      </c>
      <c r="Y23" s="31">
        <v>-27</v>
      </c>
      <c r="Z23" s="31">
        <v>-29</v>
      </c>
      <c r="AA23" s="31">
        <v>-31</v>
      </c>
      <c r="AB23" s="31">
        <v>-34</v>
      </c>
      <c r="AC23" s="31">
        <v>-37</v>
      </c>
      <c r="AD23" s="31">
        <v>-40</v>
      </c>
      <c r="AE23" s="32">
        <v>-42</v>
      </c>
      <c r="AF23" s="32">
        <v>-44</v>
      </c>
      <c r="AG23" s="32">
        <v>-46</v>
      </c>
      <c r="AH23" s="32">
        <v>-48</v>
      </c>
      <c r="AI23" s="32">
        <v>-51</v>
      </c>
      <c r="AJ23" s="32">
        <v>-53</v>
      </c>
      <c r="AK23" s="32">
        <v>-55</v>
      </c>
      <c r="AL23" s="32">
        <v>-57</v>
      </c>
      <c r="AM23" s="32">
        <v>-60</v>
      </c>
      <c r="AN23" s="32">
        <v>-63</v>
      </c>
      <c r="AO23" s="32">
        <v>-66</v>
      </c>
      <c r="AP23" s="32">
        <v>-68</v>
      </c>
      <c r="AQ23" s="32">
        <v>-70</v>
      </c>
      <c r="AR23" s="32">
        <v>-72</v>
      </c>
      <c r="AS23" s="32">
        <v>-74</v>
      </c>
      <c r="AT23" s="32">
        <v>-77</v>
      </c>
      <c r="AU23" s="32">
        <v>-79</v>
      </c>
      <c r="AV23" s="32">
        <v>-80</v>
      </c>
      <c r="AW23" s="32">
        <v>-83</v>
      </c>
      <c r="AX23" s="32">
        <v>-84</v>
      </c>
      <c r="AY23" s="32">
        <v>-85</v>
      </c>
      <c r="AZ23" s="32">
        <v>-87</v>
      </c>
      <c r="BA23" s="32">
        <v>-89</v>
      </c>
      <c r="BB23" s="32">
        <v>-90</v>
      </c>
      <c r="BC23" s="32">
        <v>-91</v>
      </c>
      <c r="BD23" s="32">
        <v>-90</v>
      </c>
      <c r="BE23" s="32">
        <v>-89</v>
      </c>
      <c r="BF23" s="32">
        <v>-88</v>
      </c>
      <c r="BG23" s="32">
        <v>-88</v>
      </c>
      <c r="BH23" s="32">
        <v>-86</v>
      </c>
      <c r="BI23" s="32">
        <v>-84</v>
      </c>
      <c r="BJ23" s="32">
        <v>-82</v>
      </c>
      <c r="BK23" s="32">
        <v>-80</v>
      </c>
      <c r="BL23" s="32">
        <v>-77</v>
      </c>
      <c r="BM23" s="32">
        <v>-74</v>
      </c>
      <c r="BN23" s="32">
        <v>-70</v>
      </c>
      <c r="BO23" s="32">
        <v>-67</v>
      </c>
      <c r="BP23" s="32">
        <v>-63</v>
      </c>
      <c r="BQ23" s="32">
        <v>-60</v>
      </c>
      <c r="BR23" s="32">
        <v>-55</v>
      </c>
      <c r="BS23" s="32">
        <v>-51</v>
      </c>
      <c r="BT23" s="32">
        <v>-44</v>
      </c>
      <c r="BU23" s="31">
        <v>-38</v>
      </c>
      <c r="BV23" s="31">
        <v>-34</v>
      </c>
      <c r="BW23" s="31">
        <v>-30</v>
      </c>
      <c r="BX23" s="31">
        <v>-26</v>
      </c>
      <c r="BY23" s="31">
        <v>-22</v>
      </c>
      <c r="BZ23" s="31">
        <v>-20</v>
      </c>
      <c r="CA23" s="30">
        <v>-17</v>
      </c>
      <c r="CB23" s="30">
        <v>-12</v>
      </c>
      <c r="CC23" s="30">
        <v>-9</v>
      </c>
      <c r="CD23" s="30">
        <v>-7</v>
      </c>
      <c r="CE23" s="30">
        <v>-5</v>
      </c>
      <c r="CF23" s="30">
        <v>-4</v>
      </c>
      <c r="CG23" s="29">
        <v>-3</v>
      </c>
      <c r="CH23" s="29">
        <v>-1</v>
      </c>
      <c r="CI23" s="29">
        <v>0</v>
      </c>
      <c r="CJ23" s="29"/>
      <c r="CK23" s="90"/>
      <c r="CL23" s="90"/>
      <c r="CM23" s="90"/>
      <c r="CN23" s="90"/>
      <c r="CO23" s="74">
        <f t="shared" si="0"/>
        <v>47.040000000000006</v>
      </c>
      <c r="CQ23"/>
      <c r="CV23" s="27"/>
    </row>
    <row r="24" spans="1:100" ht="15" customHeight="1">
      <c r="A24">
        <v>14</v>
      </c>
      <c r="B24" t="s">
        <v>59</v>
      </c>
      <c r="C24" t="s">
        <v>60</v>
      </c>
      <c r="D24" s="28">
        <v>15</v>
      </c>
      <c r="E24">
        <v>5</v>
      </c>
      <c r="F24" t="s">
        <v>61</v>
      </c>
      <c r="G24" t="s">
        <v>62</v>
      </c>
      <c r="H24" s="73">
        <v>28</v>
      </c>
      <c r="I24" s="73">
        <v>81</v>
      </c>
      <c r="J24" s="29"/>
      <c r="K24" s="29">
        <v>0</v>
      </c>
      <c r="L24" s="29">
        <v>0</v>
      </c>
      <c r="M24" s="29">
        <v>1</v>
      </c>
      <c r="N24" s="29">
        <v>2</v>
      </c>
      <c r="O24" s="29">
        <v>3</v>
      </c>
      <c r="P24" s="29">
        <v>3</v>
      </c>
      <c r="Q24" s="30">
        <v>7</v>
      </c>
      <c r="R24" s="30">
        <v>9</v>
      </c>
      <c r="S24" s="30">
        <v>10</v>
      </c>
      <c r="T24" s="30">
        <v>11</v>
      </c>
      <c r="U24" s="30">
        <v>12</v>
      </c>
      <c r="V24" s="30">
        <v>12</v>
      </c>
      <c r="W24" s="30">
        <v>11</v>
      </c>
      <c r="X24" s="30">
        <v>11</v>
      </c>
      <c r="Y24" s="30">
        <v>11</v>
      </c>
      <c r="Z24" s="30">
        <v>11</v>
      </c>
      <c r="AA24" s="30">
        <v>10</v>
      </c>
      <c r="AB24" s="30">
        <v>8</v>
      </c>
      <c r="AC24" s="30">
        <v>6</v>
      </c>
      <c r="AD24" s="30">
        <v>5</v>
      </c>
      <c r="AE24" s="29">
        <v>3</v>
      </c>
      <c r="AF24" s="29">
        <v>2</v>
      </c>
      <c r="AG24" s="29">
        <v>1</v>
      </c>
      <c r="AH24" s="29">
        <v>-2</v>
      </c>
      <c r="AI24" s="30">
        <v>-5</v>
      </c>
      <c r="AJ24" s="30">
        <v>-7</v>
      </c>
      <c r="AK24" s="30">
        <v>-9</v>
      </c>
      <c r="AL24" s="30">
        <v>-12</v>
      </c>
      <c r="AM24" s="30">
        <v>-15</v>
      </c>
      <c r="AN24" s="30">
        <v>-17</v>
      </c>
      <c r="AO24" s="30">
        <v>-20</v>
      </c>
      <c r="AP24" s="30">
        <v>-22</v>
      </c>
      <c r="AQ24" s="31">
        <v>-24</v>
      </c>
      <c r="AR24" s="31">
        <v>-26</v>
      </c>
      <c r="AS24" s="31">
        <v>-27</v>
      </c>
      <c r="AT24" s="31">
        <v>-30</v>
      </c>
      <c r="AU24" s="31">
        <v>-31</v>
      </c>
      <c r="AV24" s="31">
        <v>-31</v>
      </c>
      <c r="AW24" s="31">
        <v>-31</v>
      </c>
      <c r="AX24" s="31">
        <v>-31</v>
      </c>
      <c r="AY24" s="31">
        <v>-31</v>
      </c>
      <c r="AZ24" s="31">
        <v>-31</v>
      </c>
      <c r="BA24" s="31">
        <v>-31</v>
      </c>
      <c r="BB24" s="31">
        <v>-31</v>
      </c>
      <c r="BC24" s="31">
        <v>-30</v>
      </c>
      <c r="BD24" s="31">
        <v>-29</v>
      </c>
      <c r="BE24" s="31">
        <v>-28</v>
      </c>
      <c r="BF24" s="31">
        <v>-28</v>
      </c>
      <c r="BG24" s="31">
        <v>-28</v>
      </c>
      <c r="BH24" s="31">
        <v>-28</v>
      </c>
      <c r="BI24" s="31">
        <v>-28</v>
      </c>
      <c r="BJ24" s="31">
        <v>-27</v>
      </c>
      <c r="BK24" s="31">
        <v>-27</v>
      </c>
      <c r="BL24" s="31">
        <v>-27</v>
      </c>
      <c r="BM24" s="31">
        <v>-27</v>
      </c>
      <c r="BN24" s="31">
        <v>-26</v>
      </c>
      <c r="BO24" s="31">
        <v>-25</v>
      </c>
      <c r="BP24" s="31">
        <v>-25</v>
      </c>
      <c r="BQ24" s="31">
        <v>-25</v>
      </c>
      <c r="BR24" s="31">
        <v>-24</v>
      </c>
      <c r="BS24" s="31">
        <v>-24</v>
      </c>
      <c r="BT24" s="31">
        <v>-22</v>
      </c>
      <c r="BU24" s="30">
        <v>-20</v>
      </c>
      <c r="BV24" s="30">
        <v>-19</v>
      </c>
      <c r="BW24" s="30">
        <v>-19</v>
      </c>
      <c r="BX24" s="30">
        <v>-18</v>
      </c>
      <c r="BY24" s="30">
        <v>-17</v>
      </c>
      <c r="BZ24" s="30">
        <v>-16</v>
      </c>
      <c r="CA24" s="30">
        <v>-16</v>
      </c>
      <c r="CB24" s="30">
        <v>-15</v>
      </c>
      <c r="CC24" s="30">
        <v>-15</v>
      </c>
      <c r="CD24" s="30">
        <v>-13</v>
      </c>
      <c r="CE24" s="30">
        <v>-11</v>
      </c>
      <c r="CF24" s="30">
        <v>-10</v>
      </c>
      <c r="CG24" s="30">
        <v>-9</v>
      </c>
      <c r="CH24" s="30">
        <v>-4</v>
      </c>
      <c r="CI24" s="29">
        <v>0</v>
      </c>
      <c r="CJ24" s="29"/>
      <c r="CK24" s="90"/>
      <c r="CL24" s="90"/>
      <c r="CM24" s="90"/>
      <c r="CN24" s="90"/>
      <c r="CO24" s="74">
        <f t="shared" si="0"/>
        <v>17.240000000000002</v>
      </c>
      <c r="CQ24"/>
      <c r="CV24" s="27"/>
    </row>
    <row r="25" spans="1:100" ht="15" customHeight="1">
      <c r="D25" s="28">
        <v>13</v>
      </c>
      <c r="H25" s="73">
        <v>22</v>
      </c>
      <c r="I25" s="73">
        <v>33</v>
      </c>
      <c r="J25" s="29"/>
      <c r="K25" s="29">
        <v>0</v>
      </c>
      <c r="L25" s="29">
        <v>-1</v>
      </c>
      <c r="M25" s="29">
        <v>3</v>
      </c>
      <c r="N25" s="29">
        <v>3</v>
      </c>
      <c r="O25" s="29">
        <v>2</v>
      </c>
      <c r="P25" s="29">
        <v>2</v>
      </c>
      <c r="Q25" s="29">
        <v>2</v>
      </c>
      <c r="R25" s="29">
        <v>3</v>
      </c>
      <c r="S25" s="29">
        <v>3</v>
      </c>
      <c r="T25" s="29">
        <v>4</v>
      </c>
      <c r="U25" s="29">
        <v>4</v>
      </c>
      <c r="V25" s="29">
        <v>4</v>
      </c>
      <c r="W25" s="29">
        <v>4</v>
      </c>
      <c r="X25" s="29">
        <v>5</v>
      </c>
      <c r="Y25" s="30">
        <v>5</v>
      </c>
      <c r="Z25" s="30">
        <v>6</v>
      </c>
      <c r="AA25" s="30">
        <v>6</v>
      </c>
      <c r="AB25" s="30">
        <v>5</v>
      </c>
      <c r="AC25" s="29">
        <v>4</v>
      </c>
      <c r="AD25" s="29">
        <v>4</v>
      </c>
      <c r="AE25" s="29">
        <v>4</v>
      </c>
      <c r="AF25" s="29">
        <v>4</v>
      </c>
      <c r="AG25" s="29">
        <v>3</v>
      </c>
      <c r="AH25" s="29">
        <v>2</v>
      </c>
      <c r="AI25" s="29">
        <v>1</v>
      </c>
      <c r="AJ25" s="29">
        <v>1</v>
      </c>
      <c r="AK25" s="29">
        <v>0</v>
      </c>
      <c r="AL25" s="29">
        <v>-1</v>
      </c>
      <c r="AM25" s="29">
        <v>-2</v>
      </c>
      <c r="AN25" s="29">
        <v>-2</v>
      </c>
      <c r="AO25" s="29">
        <v>-3</v>
      </c>
      <c r="AP25" s="29">
        <v>-3</v>
      </c>
      <c r="AQ25" s="29">
        <v>-4</v>
      </c>
      <c r="AR25" s="29">
        <v>-4</v>
      </c>
      <c r="AS25" s="29">
        <v>-4</v>
      </c>
      <c r="AT25" s="29">
        <v>-5</v>
      </c>
      <c r="AU25" s="30">
        <v>-6</v>
      </c>
      <c r="AV25" s="30">
        <v>-6</v>
      </c>
      <c r="AW25" s="30">
        <v>-6</v>
      </c>
      <c r="AX25" s="30">
        <v>-6</v>
      </c>
      <c r="AY25" s="30">
        <v>-6</v>
      </c>
      <c r="AZ25" s="30">
        <v>-7</v>
      </c>
      <c r="BA25" s="30">
        <v>-8</v>
      </c>
      <c r="BB25" s="30">
        <v>-8</v>
      </c>
      <c r="BC25" s="30">
        <v>-8</v>
      </c>
      <c r="BD25" s="30">
        <v>-8</v>
      </c>
      <c r="BE25" s="30">
        <v>-8</v>
      </c>
      <c r="BF25" s="30">
        <v>-8</v>
      </c>
      <c r="BG25" s="30">
        <v>-8</v>
      </c>
      <c r="BH25" s="30">
        <v>-7</v>
      </c>
      <c r="BI25" s="30">
        <v>-7</v>
      </c>
      <c r="BJ25" s="30">
        <v>-7</v>
      </c>
      <c r="BK25" s="30">
        <v>-7</v>
      </c>
      <c r="BL25" s="30">
        <v>-6</v>
      </c>
      <c r="BM25" s="30">
        <v>-6</v>
      </c>
      <c r="BN25" s="30">
        <v>-6</v>
      </c>
      <c r="BO25" s="30">
        <v>-6</v>
      </c>
      <c r="BP25" s="30">
        <v>-5</v>
      </c>
      <c r="BQ25" s="30">
        <v>-5</v>
      </c>
      <c r="BR25" s="30">
        <v>-4</v>
      </c>
      <c r="BS25" s="29">
        <v>-3</v>
      </c>
      <c r="BT25" s="29">
        <v>-3</v>
      </c>
      <c r="BU25" s="29">
        <v>-2</v>
      </c>
      <c r="BV25" s="29">
        <v>-2</v>
      </c>
      <c r="BW25" s="29">
        <v>-2</v>
      </c>
      <c r="BX25" s="29">
        <v>-1</v>
      </c>
      <c r="BY25" s="29">
        <v>-1</v>
      </c>
      <c r="BZ25" s="29">
        <v>-1</v>
      </c>
      <c r="CA25" s="29">
        <v>-1</v>
      </c>
      <c r="CB25" s="29">
        <v>-1</v>
      </c>
      <c r="CC25" s="29">
        <v>-1</v>
      </c>
      <c r="CD25" s="29">
        <v>-1</v>
      </c>
      <c r="CE25" s="29">
        <v>-1</v>
      </c>
      <c r="CF25" s="29">
        <v>-1</v>
      </c>
      <c r="CG25" s="29">
        <v>-1</v>
      </c>
      <c r="CH25" s="29">
        <v>0</v>
      </c>
      <c r="CI25" s="29">
        <v>0</v>
      </c>
      <c r="CJ25" s="29"/>
      <c r="CK25" s="90"/>
      <c r="CL25" s="90"/>
      <c r="CM25" s="90"/>
      <c r="CN25" s="90"/>
      <c r="CO25" s="74">
        <f>PRODUCT(ABS(CH25)+ABS(CG25)+ABS(CF25)+ABS(CE25)+ABS(CD25)+ABS(CC25)+ABS(CB25)+ABS(CA25)+ABS(BZ25)+ABS(BY25)+ABS(BX25)+ABS(BW25)+ABS(BV25)+ABS(BU25)+ABS(BT25)+ABS(BS25)+ABS(BR25)+ABS(BQ25)+ABS(BP25)+ABS(BO25)+ABS(BN25)+ABS(BM25)+ABS(BL25)+ABS(BK25)+ABS(BJ25)+ABS(BI25)+ABS(BH25)+ABS(BG25)+ABS(BF25)+ABS(BE25)+ABS(BD25)+ABS(BC25)+ABS(BB25)+ABS(BA25)+ABS(AZ25)+ABS(AY25)+ABS(AX25)+ABS(AW25)+ABS(AV25)+ABS(AU25)+ABS(AT25)+ABS(AS25)+ABS(AR25)+ABS(AQ25)+ABS(AP25)+ABS(AO25)+ABS(AN25)+ABS(AM25)+ABS(AL25)+ABS(AK25)+ABS(AJ25)+ABS(AI25)+ABS(AH25)+ABS(AG25)+ABS(AF25)+ABS(AE25)+ABS(AD25)+ABS(AC25)+ABS(AB25)+ABS(AA25)+ABS(Z25)+ABS(Y25)+ABS(X25)+ABS(W25)+ABS(V25)+ABS(U25)+ABS(T25)+ABS(S25)+ABS(R25)+ABS(Q25)+ABS(P25)+ABS(O25)+ABS(N25)+ABS(M25)+ABS(L25),1/75)</f>
        <v>3.9200000000000004</v>
      </c>
      <c r="CQ25"/>
      <c r="CV25" s="27"/>
    </row>
    <row r="26" spans="1:100" ht="15" customHeight="1">
      <c r="A26">
        <v>15</v>
      </c>
      <c r="B26" t="s">
        <v>59</v>
      </c>
      <c r="C26" t="s">
        <v>60</v>
      </c>
      <c r="D26" s="28">
        <v>11</v>
      </c>
      <c r="E26">
        <v>4</v>
      </c>
      <c r="F26" t="s">
        <v>61</v>
      </c>
      <c r="G26" t="s">
        <v>62</v>
      </c>
      <c r="H26" s="73">
        <v>27</v>
      </c>
      <c r="I26" s="73">
        <v>14</v>
      </c>
      <c r="J26" s="29"/>
      <c r="K26" s="29">
        <v>0</v>
      </c>
      <c r="L26" s="29">
        <v>0</v>
      </c>
      <c r="M26" s="29">
        <v>0</v>
      </c>
      <c r="N26" s="29">
        <v>2</v>
      </c>
      <c r="O26" s="29">
        <v>2</v>
      </c>
      <c r="P26" s="29">
        <v>2</v>
      </c>
      <c r="Q26" s="29">
        <v>4</v>
      </c>
      <c r="R26" s="29">
        <v>4</v>
      </c>
      <c r="S26" s="30">
        <v>5</v>
      </c>
      <c r="T26" s="30">
        <v>5</v>
      </c>
      <c r="U26" s="30">
        <v>5</v>
      </c>
      <c r="V26" s="30">
        <v>4</v>
      </c>
      <c r="W26" s="29">
        <v>3</v>
      </c>
      <c r="X26" s="29">
        <v>2</v>
      </c>
      <c r="Y26" s="29">
        <v>1</v>
      </c>
      <c r="Z26" s="29">
        <v>0</v>
      </c>
      <c r="AA26" s="29">
        <v>-2</v>
      </c>
      <c r="AB26" s="29">
        <v>-4</v>
      </c>
      <c r="AC26" s="30">
        <v>-7</v>
      </c>
      <c r="AD26" s="30">
        <v>-10</v>
      </c>
      <c r="AE26" s="30">
        <v>-14</v>
      </c>
      <c r="AF26" s="30">
        <v>-16</v>
      </c>
      <c r="AG26" s="30">
        <v>-19</v>
      </c>
      <c r="AH26" s="30">
        <v>-21</v>
      </c>
      <c r="AI26" s="31">
        <v>-23</v>
      </c>
      <c r="AJ26" s="31">
        <v>-25</v>
      </c>
      <c r="AK26" s="31">
        <v>-29</v>
      </c>
      <c r="AL26" s="31">
        <v>-31</v>
      </c>
      <c r="AM26" s="31">
        <v>-34</v>
      </c>
      <c r="AN26" s="31">
        <v>-35</v>
      </c>
      <c r="AO26" s="31">
        <v>-39</v>
      </c>
      <c r="AP26" s="31">
        <v>-39</v>
      </c>
      <c r="AQ26" s="31">
        <v>-40</v>
      </c>
      <c r="AR26" s="31">
        <v>-40</v>
      </c>
      <c r="AS26" s="32">
        <v>-41</v>
      </c>
      <c r="AT26" s="32">
        <v>-42</v>
      </c>
      <c r="AU26" s="32">
        <v>-43</v>
      </c>
      <c r="AV26" s="32">
        <v>-43</v>
      </c>
      <c r="AW26" s="32">
        <v>-43</v>
      </c>
      <c r="AX26" s="32">
        <v>-43</v>
      </c>
      <c r="AY26" s="32">
        <v>-43</v>
      </c>
      <c r="AZ26" s="32">
        <v>-43</v>
      </c>
      <c r="BA26" s="32">
        <v>-43</v>
      </c>
      <c r="BB26" s="32">
        <v>-43</v>
      </c>
      <c r="BC26" s="32">
        <v>-43</v>
      </c>
      <c r="BD26" s="32">
        <v>-42</v>
      </c>
      <c r="BE26" s="32">
        <v>-42</v>
      </c>
      <c r="BF26" s="32">
        <v>-42</v>
      </c>
      <c r="BG26" s="32">
        <v>-43</v>
      </c>
      <c r="BH26" s="32">
        <v>-44</v>
      </c>
      <c r="BI26" s="32">
        <v>-44</v>
      </c>
      <c r="BJ26" s="32">
        <v>-45</v>
      </c>
      <c r="BK26" s="32">
        <v>-45</v>
      </c>
      <c r="BL26" s="32">
        <v>-46</v>
      </c>
      <c r="BM26" s="32">
        <v>-46</v>
      </c>
      <c r="BN26" s="32">
        <v>-47</v>
      </c>
      <c r="BO26" s="32">
        <v>-48</v>
      </c>
      <c r="BP26" s="32">
        <v>-49</v>
      </c>
      <c r="BQ26" s="32">
        <v>-50</v>
      </c>
      <c r="BR26" s="32">
        <v>-50</v>
      </c>
      <c r="BS26" s="32">
        <v>-49</v>
      </c>
      <c r="BT26" s="32">
        <v>-48</v>
      </c>
      <c r="BU26" s="32">
        <v>-46</v>
      </c>
      <c r="BV26" s="32">
        <v>-44</v>
      </c>
      <c r="BW26" s="32">
        <v>-42</v>
      </c>
      <c r="BX26" s="32">
        <v>-40</v>
      </c>
      <c r="BY26" s="31">
        <v>-36</v>
      </c>
      <c r="BZ26" s="31">
        <v>-33</v>
      </c>
      <c r="CA26" s="31">
        <v>-30</v>
      </c>
      <c r="CB26" s="31">
        <v>-25</v>
      </c>
      <c r="CC26" s="30">
        <v>-19</v>
      </c>
      <c r="CD26" s="30">
        <v>-17</v>
      </c>
      <c r="CE26" s="30">
        <v>-14</v>
      </c>
      <c r="CF26" s="30">
        <v>-12</v>
      </c>
      <c r="CG26" s="30">
        <v>-10</v>
      </c>
      <c r="CH26" s="30">
        <v>-5</v>
      </c>
      <c r="CI26" s="29">
        <v>0</v>
      </c>
      <c r="CJ26" s="29"/>
      <c r="CK26" s="90"/>
      <c r="CL26" s="90"/>
      <c r="CM26" s="90"/>
      <c r="CN26" s="90"/>
      <c r="CO26" s="74">
        <f t="shared" si="0"/>
        <v>27.866666666666667</v>
      </c>
      <c r="CQ26"/>
      <c r="CV26" s="27"/>
    </row>
    <row r="27" spans="1:100" ht="15" customHeight="1">
      <c r="D27" s="28">
        <v>9</v>
      </c>
      <c r="H27" s="73">
        <v>22</v>
      </c>
      <c r="I27" s="73">
        <v>-29</v>
      </c>
      <c r="J27" s="29"/>
      <c r="K27" s="29">
        <v>0</v>
      </c>
      <c r="L27" s="29">
        <v>-1</v>
      </c>
      <c r="M27" s="29">
        <v>3</v>
      </c>
      <c r="N27" s="29">
        <v>3</v>
      </c>
      <c r="O27" s="29">
        <v>2</v>
      </c>
      <c r="P27" s="29">
        <v>2</v>
      </c>
      <c r="Q27" s="29">
        <v>2</v>
      </c>
      <c r="R27" s="29">
        <v>3</v>
      </c>
      <c r="S27" s="29">
        <v>3</v>
      </c>
      <c r="T27" s="29">
        <v>4</v>
      </c>
      <c r="U27" s="29">
        <v>4</v>
      </c>
      <c r="V27" s="29">
        <v>4</v>
      </c>
      <c r="W27" s="29">
        <v>4</v>
      </c>
      <c r="X27" s="29">
        <v>5</v>
      </c>
      <c r="Y27" s="30">
        <v>5</v>
      </c>
      <c r="Z27" s="30">
        <v>6</v>
      </c>
      <c r="AA27" s="30">
        <v>6</v>
      </c>
      <c r="AB27" s="30">
        <v>5</v>
      </c>
      <c r="AC27" s="29">
        <v>4</v>
      </c>
      <c r="AD27" s="29">
        <v>4</v>
      </c>
      <c r="AE27" s="29">
        <v>4</v>
      </c>
      <c r="AF27" s="29">
        <v>4</v>
      </c>
      <c r="AG27" s="29">
        <v>3</v>
      </c>
      <c r="AH27" s="29">
        <v>2</v>
      </c>
      <c r="AI27" s="29">
        <v>1</v>
      </c>
      <c r="AJ27" s="29">
        <v>1</v>
      </c>
      <c r="AK27" s="29">
        <v>0</v>
      </c>
      <c r="AL27" s="29">
        <v>-1</v>
      </c>
      <c r="AM27" s="29">
        <v>-2</v>
      </c>
      <c r="AN27" s="29">
        <v>-2</v>
      </c>
      <c r="AO27" s="29">
        <v>-3</v>
      </c>
      <c r="AP27" s="29">
        <v>-3</v>
      </c>
      <c r="AQ27" s="29">
        <v>-4</v>
      </c>
      <c r="AR27" s="29">
        <v>-4</v>
      </c>
      <c r="AS27" s="29">
        <v>-4</v>
      </c>
      <c r="AT27" s="29">
        <v>-5</v>
      </c>
      <c r="AU27" s="30">
        <v>-6</v>
      </c>
      <c r="AV27" s="30">
        <v>-6</v>
      </c>
      <c r="AW27" s="30">
        <v>-6</v>
      </c>
      <c r="AX27" s="30">
        <v>-6</v>
      </c>
      <c r="AY27" s="30">
        <v>-6</v>
      </c>
      <c r="AZ27" s="30">
        <v>-7</v>
      </c>
      <c r="BA27" s="30">
        <v>-8</v>
      </c>
      <c r="BB27" s="30">
        <v>-8</v>
      </c>
      <c r="BC27" s="30">
        <v>-8</v>
      </c>
      <c r="BD27" s="30">
        <v>-8</v>
      </c>
      <c r="BE27" s="30">
        <v>-8</v>
      </c>
      <c r="BF27" s="30">
        <v>-8</v>
      </c>
      <c r="BG27" s="30">
        <v>-8</v>
      </c>
      <c r="BH27" s="30">
        <v>-7</v>
      </c>
      <c r="BI27" s="30">
        <v>-7</v>
      </c>
      <c r="BJ27" s="30">
        <v>-7</v>
      </c>
      <c r="BK27" s="30">
        <v>-7</v>
      </c>
      <c r="BL27" s="30">
        <v>-6</v>
      </c>
      <c r="BM27" s="30">
        <v>-6</v>
      </c>
      <c r="BN27" s="30">
        <v>-6</v>
      </c>
      <c r="BO27" s="30">
        <v>-6</v>
      </c>
      <c r="BP27" s="30">
        <v>-5</v>
      </c>
      <c r="BQ27" s="30">
        <v>-5</v>
      </c>
      <c r="BR27" s="30">
        <v>-4</v>
      </c>
      <c r="BS27" s="29">
        <v>-3</v>
      </c>
      <c r="BT27" s="29">
        <v>-3</v>
      </c>
      <c r="BU27" s="29">
        <v>-2</v>
      </c>
      <c r="BV27" s="29">
        <v>-2</v>
      </c>
      <c r="BW27" s="29">
        <v>-2</v>
      </c>
      <c r="BX27" s="29">
        <v>-1</v>
      </c>
      <c r="BY27" s="29">
        <v>-1</v>
      </c>
      <c r="BZ27" s="29">
        <v>-1</v>
      </c>
      <c r="CA27" s="29">
        <v>-1</v>
      </c>
      <c r="CB27" s="29">
        <v>-1</v>
      </c>
      <c r="CC27" s="29">
        <v>-1</v>
      </c>
      <c r="CD27" s="29">
        <v>-1</v>
      </c>
      <c r="CE27" s="29">
        <v>-1</v>
      </c>
      <c r="CF27" s="29">
        <v>-1</v>
      </c>
      <c r="CG27" s="29">
        <v>-1</v>
      </c>
      <c r="CH27" s="29">
        <v>0</v>
      </c>
      <c r="CI27" s="29">
        <v>0</v>
      </c>
      <c r="CJ27" s="29"/>
      <c r="CK27" s="90"/>
      <c r="CL27" s="90"/>
      <c r="CM27" s="90"/>
      <c r="CN27" s="90"/>
      <c r="CO27" s="74">
        <f>PRODUCT(ABS(CH27)+ABS(CG27)+ABS(CF27)+ABS(CE27)+ABS(CD27)+ABS(CC27)+ABS(CB27)+ABS(CA27)+ABS(BZ27)+ABS(BY27)+ABS(BX27)+ABS(BW27)+ABS(BV27)+ABS(BU27)+ABS(BT27)+ABS(BS27)+ABS(BR27)+ABS(BQ27)+ABS(BP27)+ABS(BO27)+ABS(BN27)+ABS(BM27)+ABS(BL27)+ABS(BK27)+ABS(BJ27)+ABS(BI27)+ABS(BH27)+ABS(BG27)+ABS(BF27)+ABS(BE27)+ABS(BD27)+ABS(BC27)+ABS(BB27)+ABS(BA27)+ABS(AZ27)+ABS(AY27)+ABS(AX27)+ABS(AW27)+ABS(AV27)+ABS(AU27)+ABS(AT27)+ABS(AS27)+ABS(AR27)+ABS(AQ27)+ABS(AP27)+ABS(AO27)+ABS(AN27)+ABS(AM27)+ABS(AL27)+ABS(AK27)+ABS(AJ27)+ABS(AI27)+ABS(AH27)+ABS(AG27)+ABS(AF27)+ABS(AE27)+ABS(AD27)+ABS(AC27)+ABS(AB27)+ABS(AA27)+ABS(Z27)+ABS(Y27)+ABS(X27)+ABS(W27)+ABS(V27)+ABS(U27)+ABS(T27)+ABS(S27)+ABS(R27)+ABS(Q27)+ABS(P27)+ABS(O27)+ABS(N27)+ABS(M27)+ABS(L27),1/75)</f>
        <v>3.9200000000000004</v>
      </c>
      <c r="CQ27"/>
      <c r="CV27" s="27"/>
    </row>
    <row r="28" spans="1:100" ht="15" customHeight="1">
      <c r="A28">
        <v>16</v>
      </c>
      <c r="B28" t="s">
        <v>59</v>
      </c>
      <c r="C28" t="s">
        <v>60</v>
      </c>
      <c r="D28" s="28">
        <v>7</v>
      </c>
      <c r="E28">
        <v>3</v>
      </c>
      <c r="F28" t="s">
        <v>61</v>
      </c>
      <c r="G28" t="s">
        <v>62</v>
      </c>
      <c r="H28" s="73">
        <v>-9</v>
      </c>
      <c r="I28" s="73">
        <v>81</v>
      </c>
      <c r="J28" s="29"/>
      <c r="K28" s="29">
        <v>0</v>
      </c>
      <c r="L28" s="29">
        <v>0</v>
      </c>
      <c r="M28" s="29">
        <v>0</v>
      </c>
      <c r="N28" s="29">
        <v>0</v>
      </c>
      <c r="O28" s="29">
        <v>-1</v>
      </c>
      <c r="P28" s="29">
        <v>-1</v>
      </c>
      <c r="Q28" s="29">
        <v>-2</v>
      </c>
      <c r="R28" s="29">
        <v>-3</v>
      </c>
      <c r="S28" s="29">
        <v>-4</v>
      </c>
      <c r="T28" s="29">
        <v>-5</v>
      </c>
      <c r="U28" s="30">
        <v>-7</v>
      </c>
      <c r="V28" s="30">
        <v>-8</v>
      </c>
      <c r="W28" s="30">
        <v>-10</v>
      </c>
      <c r="X28" s="30">
        <v>-12</v>
      </c>
      <c r="Y28" s="30">
        <v>-14</v>
      </c>
      <c r="Z28" s="30">
        <v>-16</v>
      </c>
      <c r="AA28" s="30">
        <v>-19</v>
      </c>
      <c r="AB28" s="30">
        <v>-21</v>
      </c>
      <c r="AC28" s="31">
        <v>-25</v>
      </c>
      <c r="AD28" s="31">
        <v>-28</v>
      </c>
      <c r="AE28" s="31">
        <v>-31</v>
      </c>
      <c r="AF28" s="31">
        <v>-34</v>
      </c>
      <c r="AG28" s="31">
        <v>-38</v>
      </c>
      <c r="AH28" s="31">
        <v>-41</v>
      </c>
      <c r="AI28" s="32">
        <v>-44</v>
      </c>
      <c r="AJ28" s="32">
        <v>-46</v>
      </c>
      <c r="AK28" s="32">
        <v>-51</v>
      </c>
      <c r="AL28" s="32">
        <v>-54</v>
      </c>
      <c r="AM28" s="32">
        <v>-57</v>
      </c>
      <c r="AN28" s="32">
        <v>-60</v>
      </c>
      <c r="AO28" s="32">
        <v>-63</v>
      </c>
      <c r="AP28" s="32">
        <v>-64</v>
      </c>
      <c r="AQ28" s="32">
        <v>-65</v>
      </c>
      <c r="AR28" s="32">
        <v>-66</v>
      </c>
      <c r="AS28" s="32">
        <v>-68</v>
      </c>
      <c r="AT28" s="32">
        <v>-70</v>
      </c>
      <c r="AU28" s="32">
        <v>-71</v>
      </c>
      <c r="AV28" s="32">
        <v>-71</v>
      </c>
      <c r="AW28" s="32">
        <v>-70</v>
      </c>
      <c r="AX28" s="32">
        <v>-70</v>
      </c>
      <c r="AY28" s="32">
        <v>-71</v>
      </c>
      <c r="AZ28" s="32">
        <v>-72</v>
      </c>
      <c r="BA28" s="32">
        <v>-72</v>
      </c>
      <c r="BB28" s="32">
        <v>-71</v>
      </c>
      <c r="BC28" s="32">
        <v>-71</v>
      </c>
      <c r="BD28" s="32">
        <v>-70</v>
      </c>
      <c r="BE28" s="32">
        <v>-69</v>
      </c>
      <c r="BF28" s="32">
        <v>-68</v>
      </c>
      <c r="BG28" s="32">
        <v>-67</v>
      </c>
      <c r="BH28" s="32">
        <v>-66</v>
      </c>
      <c r="BI28" s="32">
        <v>-65</v>
      </c>
      <c r="BJ28" s="32">
        <v>-64</v>
      </c>
      <c r="BK28" s="32">
        <v>-63</v>
      </c>
      <c r="BL28" s="32">
        <v>-62</v>
      </c>
      <c r="BM28" s="32">
        <v>-62</v>
      </c>
      <c r="BN28" s="32">
        <v>-61</v>
      </c>
      <c r="BO28" s="32">
        <v>-61</v>
      </c>
      <c r="BP28" s="32">
        <v>-60</v>
      </c>
      <c r="BQ28" s="32">
        <v>-59</v>
      </c>
      <c r="BR28" s="32">
        <v>-57</v>
      </c>
      <c r="BS28" s="32">
        <v>-56</v>
      </c>
      <c r="BT28" s="32">
        <v>-53</v>
      </c>
      <c r="BU28" s="32">
        <v>-50</v>
      </c>
      <c r="BV28" s="32">
        <v>-46</v>
      </c>
      <c r="BW28" s="32">
        <v>-44</v>
      </c>
      <c r="BX28" s="32">
        <v>-40</v>
      </c>
      <c r="BY28" s="31">
        <v>-36</v>
      </c>
      <c r="BZ28" s="31">
        <v>-32</v>
      </c>
      <c r="CA28" s="31">
        <v>-28</v>
      </c>
      <c r="CB28" s="31">
        <v>-22</v>
      </c>
      <c r="CC28" s="30">
        <v>-19</v>
      </c>
      <c r="CD28" s="30">
        <v>-16</v>
      </c>
      <c r="CE28" s="30">
        <v>-13</v>
      </c>
      <c r="CF28" s="30">
        <v>-10</v>
      </c>
      <c r="CG28" s="30">
        <v>-7</v>
      </c>
      <c r="CH28" s="30">
        <v>-3</v>
      </c>
      <c r="CI28" s="29">
        <v>0</v>
      </c>
      <c r="CJ28" s="29"/>
      <c r="CK28" s="90"/>
      <c r="CL28" s="90"/>
      <c r="CM28" s="90"/>
      <c r="CN28" s="90"/>
      <c r="CO28" s="74">
        <f t="shared" si="0"/>
        <v>41.28</v>
      </c>
      <c r="CQ28"/>
      <c r="CV28" s="27"/>
    </row>
    <row r="29" spans="1:100" ht="15" customHeight="1">
      <c r="D29" s="28">
        <v>5</v>
      </c>
      <c r="H29" s="73">
        <v>22</v>
      </c>
      <c r="I29" s="73">
        <v>29</v>
      </c>
      <c r="J29" s="29"/>
      <c r="K29" s="29">
        <v>0</v>
      </c>
      <c r="L29" s="29">
        <v>-1</v>
      </c>
      <c r="M29" s="29">
        <v>3</v>
      </c>
      <c r="N29" s="29">
        <v>3</v>
      </c>
      <c r="O29" s="29">
        <v>2</v>
      </c>
      <c r="P29" s="29">
        <v>2</v>
      </c>
      <c r="Q29" s="29">
        <v>2</v>
      </c>
      <c r="R29" s="29">
        <v>3</v>
      </c>
      <c r="S29" s="29">
        <v>3</v>
      </c>
      <c r="T29" s="29">
        <v>4</v>
      </c>
      <c r="U29" s="29">
        <v>4</v>
      </c>
      <c r="V29" s="29">
        <v>4</v>
      </c>
      <c r="W29" s="29">
        <v>4</v>
      </c>
      <c r="X29" s="29">
        <v>5</v>
      </c>
      <c r="Y29" s="30">
        <v>5</v>
      </c>
      <c r="Z29" s="30">
        <v>6</v>
      </c>
      <c r="AA29" s="30">
        <v>6</v>
      </c>
      <c r="AB29" s="30">
        <v>5</v>
      </c>
      <c r="AC29" s="29">
        <v>4</v>
      </c>
      <c r="AD29" s="29">
        <v>4</v>
      </c>
      <c r="AE29" s="29">
        <v>4</v>
      </c>
      <c r="AF29" s="29">
        <v>4</v>
      </c>
      <c r="AG29" s="29">
        <v>3</v>
      </c>
      <c r="AH29" s="29">
        <v>2</v>
      </c>
      <c r="AI29" s="29">
        <v>1</v>
      </c>
      <c r="AJ29" s="29">
        <v>1</v>
      </c>
      <c r="AK29" s="29">
        <v>0</v>
      </c>
      <c r="AL29" s="29">
        <v>-1</v>
      </c>
      <c r="AM29" s="29">
        <v>-2</v>
      </c>
      <c r="AN29" s="29">
        <v>-2</v>
      </c>
      <c r="AO29" s="29">
        <v>-3</v>
      </c>
      <c r="AP29" s="29">
        <v>-3</v>
      </c>
      <c r="AQ29" s="29">
        <v>-4</v>
      </c>
      <c r="AR29" s="29">
        <v>-4</v>
      </c>
      <c r="AS29" s="29">
        <v>-4</v>
      </c>
      <c r="AT29" s="29">
        <v>-5</v>
      </c>
      <c r="AU29" s="30">
        <v>-6</v>
      </c>
      <c r="AV29" s="30">
        <v>-6</v>
      </c>
      <c r="AW29" s="30">
        <v>-6</v>
      </c>
      <c r="AX29" s="30">
        <v>-6</v>
      </c>
      <c r="AY29" s="30">
        <v>-6</v>
      </c>
      <c r="AZ29" s="30">
        <v>-7</v>
      </c>
      <c r="BA29" s="30">
        <v>-8</v>
      </c>
      <c r="BB29" s="30">
        <v>-8</v>
      </c>
      <c r="BC29" s="30">
        <v>-8</v>
      </c>
      <c r="BD29" s="30">
        <v>-8</v>
      </c>
      <c r="BE29" s="30">
        <v>-8</v>
      </c>
      <c r="BF29" s="30">
        <v>-8</v>
      </c>
      <c r="BG29" s="30">
        <v>-8</v>
      </c>
      <c r="BH29" s="30">
        <v>-7</v>
      </c>
      <c r="BI29" s="30">
        <v>-7</v>
      </c>
      <c r="BJ29" s="30">
        <v>-7</v>
      </c>
      <c r="BK29" s="30">
        <v>-7</v>
      </c>
      <c r="BL29" s="30">
        <v>-6</v>
      </c>
      <c r="BM29" s="30">
        <v>-6</v>
      </c>
      <c r="BN29" s="30">
        <v>-6</v>
      </c>
      <c r="BO29" s="30">
        <v>-6</v>
      </c>
      <c r="BP29" s="30">
        <v>-5</v>
      </c>
      <c r="BQ29" s="30">
        <v>-5</v>
      </c>
      <c r="BR29" s="30">
        <v>-4</v>
      </c>
      <c r="BS29" s="29">
        <v>-3</v>
      </c>
      <c r="BT29" s="29">
        <v>-3</v>
      </c>
      <c r="BU29" s="29">
        <v>-2</v>
      </c>
      <c r="BV29" s="29">
        <v>-2</v>
      </c>
      <c r="BW29" s="29">
        <v>-2</v>
      </c>
      <c r="BX29" s="29">
        <v>-1</v>
      </c>
      <c r="BY29" s="29">
        <v>-1</v>
      </c>
      <c r="BZ29" s="29">
        <v>-1</v>
      </c>
      <c r="CA29" s="29">
        <v>-1</v>
      </c>
      <c r="CB29" s="29">
        <v>-1</v>
      </c>
      <c r="CC29" s="29">
        <v>-1</v>
      </c>
      <c r="CD29" s="29">
        <v>-1</v>
      </c>
      <c r="CE29" s="29">
        <v>-1</v>
      </c>
      <c r="CF29" s="29">
        <v>-1</v>
      </c>
      <c r="CG29" s="29">
        <v>-1</v>
      </c>
      <c r="CH29" s="29">
        <v>0</v>
      </c>
      <c r="CI29" s="29">
        <v>0</v>
      </c>
      <c r="CJ29" s="29"/>
      <c r="CK29" s="90"/>
      <c r="CL29" s="90"/>
      <c r="CM29" s="90"/>
      <c r="CN29" s="90"/>
      <c r="CO29" s="74">
        <f>PRODUCT(ABS(CH29)+ABS(CG29)+ABS(CF29)+ABS(CE29)+ABS(CD29)+ABS(CC29)+ABS(CB29)+ABS(CA29)+ABS(BZ29)+ABS(BY29)+ABS(BX29)+ABS(BW29)+ABS(BV29)+ABS(BU29)+ABS(BT29)+ABS(BS29)+ABS(BR29)+ABS(BQ29)+ABS(BP29)+ABS(BO29)+ABS(BN29)+ABS(BM29)+ABS(BL29)+ABS(BK29)+ABS(BJ29)+ABS(BI29)+ABS(BH29)+ABS(BG29)+ABS(BF29)+ABS(BE29)+ABS(BD29)+ABS(BC29)+ABS(BB29)+ABS(BA29)+ABS(AZ29)+ABS(AY29)+ABS(AX29)+ABS(AW29)+ABS(AV29)+ABS(AU29)+ABS(AT29)+ABS(AS29)+ABS(AR29)+ABS(AQ29)+ABS(AP29)+ABS(AO29)+ABS(AN29)+ABS(AM29)+ABS(AL29)+ABS(AK29)+ABS(AJ29)+ABS(AI29)+ABS(AH29)+ABS(AG29)+ABS(AF29)+ABS(AE29)+ABS(AD29)+ABS(AC29)+ABS(AB29)+ABS(AA29)+ABS(Z29)+ABS(Y29)+ABS(X29)+ABS(W29)+ABS(V29)+ABS(U29)+ABS(T29)+ABS(S29)+ABS(R29)+ABS(Q29)+ABS(P29)+ABS(O29)+ABS(N29)+ABS(M29)+ABS(L29),1/75)</f>
        <v>3.9200000000000004</v>
      </c>
      <c r="CQ29"/>
      <c r="CV29" s="27"/>
    </row>
    <row r="30" spans="1:100" ht="15" customHeight="1">
      <c r="A30">
        <v>17</v>
      </c>
      <c r="B30" t="s">
        <v>59</v>
      </c>
      <c r="C30" t="s">
        <v>60</v>
      </c>
      <c r="D30" s="28">
        <v>3</v>
      </c>
      <c r="E30">
        <v>2</v>
      </c>
      <c r="F30" t="s">
        <v>61</v>
      </c>
      <c r="G30" t="s">
        <v>62</v>
      </c>
      <c r="H30" s="73">
        <v>-1</v>
      </c>
      <c r="I30" s="73">
        <v>-43</v>
      </c>
      <c r="J30" s="29"/>
      <c r="K30" s="29">
        <v>0</v>
      </c>
      <c r="L30" s="29">
        <v>-1</v>
      </c>
      <c r="M30" s="29">
        <v>0</v>
      </c>
      <c r="N30" s="29">
        <v>0</v>
      </c>
      <c r="O30" s="29">
        <v>0</v>
      </c>
      <c r="P30" s="29">
        <v>0</v>
      </c>
      <c r="Q30" s="29">
        <v>-1</v>
      </c>
      <c r="R30" s="29">
        <v>-1</v>
      </c>
      <c r="S30" s="29">
        <v>-2</v>
      </c>
      <c r="T30" s="29">
        <v>-2</v>
      </c>
      <c r="U30" s="29">
        <v>-2</v>
      </c>
      <c r="V30" s="29">
        <v>-3</v>
      </c>
      <c r="W30" s="30">
        <v>-5</v>
      </c>
      <c r="X30" s="30">
        <v>-6</v>
      </c>
      <c r="Y30" s="30">
        <v>-6</v>
      </c>
      <c r="Z30" s="30">
        <v>-7</v>
      </c>
      <c r="AA30" s="30">
        <v>-8</v>
      </c>
      <c r="AB30" s="30">
        <v>-10</v>
      </c>
      <c r="AC30" s="30">
        <v>-12</v>
      </c>
      <c r="AD30" s="30">
        <v>-13</v>
      </c>
      <c r="AE30" s="30">
        <v>-14</v>
      </c>
      <c r="AF30" s="30">
        <v>-15</v>
      </c>
      <c r="AG30" s="30">
        <v>-17</v>
      </c>
      <c r="AH30" s="30">
        <v>-18</v>
      </c>
      <c r="AI30" s="30">
        <v>-20</v>
      </c>
      <c r="AJ30" s="30">
        <v>-22</v>
      </c>
      <c r="AK30" s="31">
        <v>-24</v>
      </c>
      <c r="AL30" s="31">
        <v>-26</v>
      </c>
      <c r="AM30" s="31">
        <v>-28</v>
      </c>
      <c r="AN30" s="31">
        <v>-29</v>
      </c>
      <c r="AO30" s="31">
        <v>-31</v>
      </c>
      <c r="AP30" s="31">
        <v>-32</v>
      </c>
      <c r="AQ30" s="31">
        <v>-34</v>
      </c>
      <c r="AR30" s="31">
        <v>-35</v>
      </c>
      <c r="AS30" s="31">
        <v>-36</v>
      </c>
      <c r="AT30" s="31">
        <v>-37</v>
      </c>
      <c r="AU30" s="31">
        <v>-38</v>
      </c>
      <c r="AV30" s="31">
        <v>-39</v>
      </c>
      <c r="AW30" s="31">
        <v>-39</v>
      </c>
      <c r="AX30" s="31">
        <v>-40</v>
      </c>
      <c r="AY30" s="31">
        <v>-40</v>
      </c>
      <c r="AZ30" s="31">
        <v>-41</v>
      </c>
      <c r="BA30" s="32">
        <v>-41</v>
      </c>
      <c r="BB30" s="32">
        <v>-41</v>
      </c>
      <c r="BC30" s="31">
        <v>-40</v>
      </c>
      <c r="BD30" s="31">
        <v>-40</v>
      </c>
      <c r="BE30" s="31">
        <v>-39</v>
      </c>
      <c r="BF30" s="31">
        <v>-38</v>
      </c>
      <c r="BG30" s="31">
        <v>-38</v>
      </c>
      <c r="BH30" s="31">
        <v>-36</v>
      </c>
      <c r="BI30" s="31">
        <v>-35</v>
      </c>
      <c r="BJ30" s="31">
        <v>-34</v>
      </c>
      <c r="BK30" s="31">
        <v>-33</v>
      </c>
      <c r="BL30" s="31">
        <v>-32</v>
      </c>
      <c r="BM30" s="31">
        <v>-31</v>
      </c>
      <c r="BN30" s="31">
        <v>-30</v>
      </c>
      <c r="BO30" s="31">
        <v>-29</v>
      </c>
      <c r="BP30" s="31">
        <v>-28</v>
      </c>
      <c r="BQ30" s="31">
        <v>-27</v>
      </c>
      <c r="BR30" s="31">
        <v>-25</v>
      </c>
      <c r="BS30" s="31">
        <v>-24</v>
      </c>
      <c r="BT30" s="31">
        <v>-22</v>
      </c>
      <c r="BU30" s="31">
        <v>-21</v>
      </c>
      <c r="BV30" s="31">
        <v>-20</v>
      </c>
      <c r="BW30" s="30">
        <v>-19</v>
      </c>
      <c r="BX30" s="30">
        <v>-17</v>
      </c>
      <c r="BY30" s="30">
        <v>-15</v>
      </c>
      <c r="BZ30" s="30">
        <v>-13</v>
      </c>
      <c r="CA30" s="30">
        <v>-12</v>
      </c>
      <c r="CB30" s="30">
        <v>-10</v>
      </c>
      <c r="CC30" s="30">
        <v>-7</v>
      </c>
      <c r="CD30" s="30">
        <v>-6</v>
      </c>
      <c r="CE30" s="30">
        <v>-5</v>
      </c>
      <c r="CF30" s="30">
        <v>-4</v>
      </c>
      <c r="CG30" s="29">
        <v>-3</v>
      </c>
      <c r="CH30" s="29">
        <v>-1</v>
      </c>
      <c r="CI30" s="29">
        <v>0</v>
      </c>
      <c r="CJ30" s="29"/>
      <c r="CK30" s="90"/>
      <c r="CL30" s="90"/>
      <c r="CM30" s="90"/>
      <c r="CN30" s="90"/>
      <c r="CO30" s="74">
        <f t="shared" si="0"/>
        <v>20.666666666666668</v>
      </c>
      <c r="CQ30"/>
      <c r="CV30" s="27"/>
    </row>
    <row r="31" spans="1:100" ht="15" customHeight="1">
      <c r="A31">
        <v>18</v>
      </c>
      <c r="B31" t="s">
        <v>59</v>
      </c>
      <c r="C31" t="s">
        <v>60</v>
      </c>
      <c r="D31" s="28">
        <v>1</v>
      </c>
      <c r="E31">
        <v>1</v>
      </c>
      <c r="F31" t="s">
        <v>61</v>
      </c>
      <c r="G31" t="s">
        <v>62</v>
      </c>
      <c r="H31" s="73">
        <v>-30</v>
      </c>
      <c r="I31" s="73">
        <v>50</v>
      </c>
      <c r="J31" s="29"/>
      <c r="K31" s="29">
        <v>0</v>
      </c>
      <c r="L31" s="29">
        <v>0</v>
      </c>
      <c r="M31" s="29">
        <v>3</v>
      </c>
      <c r="N31" s="29">
        <v>3</v>
      </c>
      <c r="O31" s="29">
        <v>4</v>
      </c>
      <c r="P31" s="29">
        <v>5</v>
      </c>
      <c r="Q31" s="30">
        <v>6</v>
      </c>
      <c r="R31" s="30">
        <v>8</v>
      </c>
      <c r="S31" s="30">
        <v>9</v>
      </c>
      <c r="T31" s="30">
        <v>10</v>
      </c>
      <c r="U31" s="30">
        <v>12</v>
      </c>
      <c r="V31" s="30">
        <v>12</v>
      </c>
      <c r="W31" s="30">
        <v>12</v>
      </c>
      <c r="X31" s="30">
        <v>13</v>
      </c>
      <c r="Y31" s="30">
        <v>13</v>
      </c>
      <c r="Z31" s="30">
        <v>13</v>
      </c>
      <c r="AA31" s="30">
        <v>13</v>
      </c>
      <c r="AB31" s="30">
        <v>12</v>
      </c>
      <c r="AC31" s="30">
        <v>11</v>
      </c>
      <c r="AD31" s="30">
        <v>10</v>
      </c>
      <c r="AE31" s="30">
        <v>9</v>
      </c>
      <c r="AF31" s="30">
        <v>7</v>
      </c>
      <c r="AG31" s="30">
        <v>5</v>
      </c>
      <c r="AH31" s="30">
        <v>3</v>
      </c>
      <c r="AI31" s="29">
        <v>2</v>
      </c>
      <c r="AJ31" s="29">
        <v>0</v>
      </c>
      <c r="AK31" s="29">
        <v>-3</v>
      </c>
      <c r="AL31" s="29">
        <v>-7</v>
      </c>
      <c r="AM31" s="30">
        <v>-10</v>
      </c>
      <c r="AN31" s="30">
        <v>-13</v>
      </c>
      <c r="AO31" s="30">
        <v>-16</v>
      </c>
      <c r="AP31" s="30">
        <v>-18</v>
      </c>
      <c r="AQ31" s="31">
        <v>-21</v>
      </c>
      <c r="AR31" s="31">
        <v>-25</v>
      </c>
      <c r="AS31" s="31">
        <v>-28</v>
      </c>
      <c r="AT31" s="31">
        <v>-30</v>
      </c>
      <c r="AU31" s="31">
        <v>-33</v>
      </c>
      <c r="AV31" s="31">
        <v>-34</v>
      </c>
      <c r="AW31" s="31">
        <v>-35</v>
      </c>
      <c r="AX31" s="31">
        <v>-36</v>
      </c>
      <c r="AY31" s="31">
        <v>-37</v>
      </c>
      <c r="AZ31" s="31">
        <v>-38</v>
      </c>
      <c r="BA31" s="31">
        <v>-38</v>
      </c>
      <c r="BB31" s="31">
        <v>-39</v>
      </c>
      <c r="BC31" s="31">
        <v>-39</v>
      </c>
      <c r="BD31" s="31">
        <v>-38</v>
      </c>
      <c r="BE31" s="31">
        <v>-38</v>
      </c>
      <c r="BF31" s="31">
        <v>-38</v>
      </c>
      <c r="BG31" s="31">
        <v>-37</v>
      </c>
      <c r="BH31" s="31">
        <v>-37</v>
      </c>
      <c r="BI31" s="31">
        <v>-37</v>
      </c>
      <c r="BJ31" s="31">
        <v>-35</v>
      </c>
      <c r="BK31" s="31">
        <v>-34</v>
      </c>
      <c r="BL31" s="31">
        <v>-33</v>
      </c>
      <c r="BM31" s="31">
        <v>-33</v>
      </c>
      <c r="BN31" s="31">
        <v>-31</v>
      </c>
      <c r="BO31" s="31">
        <v>-29</v>
      </c>
      <c r="BP31" s="31">
        <v>-28</v>
      </c>
      <c r="BQ31" s="31">
        <v>-27</v>
      </c>
      <c r="BR31" s="31">
        <v>-26</v>
      </c>
      <c r="BS31" s="31">
        <v>-25</v>
      </c>
      <c r="BT31" s="31">
        <v>-23</v>
      </c>
      <c r="BU31" s="31">
        <v>-21</v>
      </c>
      <c r="BV31" s="31">
        <v>-20</v>
      </c>
      <c r="BW31" s="30">
        <v>-19</v>
      </c>
      <c r="BX31" s="30">
        <v>-18</v>
      </c>
      <c r="BY31" s="30">
        <v>-17</v>
      </c>
      <c r="BZ31" s="30">
        <v>-15</v>
      </c>
      <c r="CA31" s="30">
        <v>-14</v>
      </c>
      <c r="CB31" s="30">
        <v>-12</v>
      </c>
      <c r="CC31" s="30">
        <v>-10</v>
      </c>
      <c r="CD31" s="30">
        <v>-9</v>
      </c>
      <c r="CE31" s="30">
        <v>-8</v>
      </c>
      <c r="CF31" s="30">
        <v>-7</v>
      </c>
      <c r="CG31" s="30">
        <v>-7</v>
      </c>
      <c r="CH31" s="30">
        <v>-3</v>
      </c>
      <c r="CI31" s="29">
        <v>0</v>
      </c>
      <c r="CJ31" s="29"/>
      <c r="CK31" s="90"/>
      <c r="CL31" s="90"/>
      <c r="CM31" s="90"/>
      <c r="CN31" s="90"/>
      <c r="CO31" s="74">
        <f t="shared" si="0"/>
        <v>18.986666666666668</v>
      </c>
      <c r="CQ31"/>
      <c r="CV31" s="27"/>
    </row>
    <row r="32" spans="1:100" ht="15" customHeight="1">
      <c r="D32" s="28"/>
      <c r="H32" s="73"/>
      <c r="I32" s="73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1"/>
      <c r="BG32" s="91"/>
      <c r="BH32" s="91"/>
      <c r="BI32" s="91"/>
      <c r="BJ32" s="91"/>
      <c r="BK32" s="91"/>
      <c r="BL32" s="91"/>
      <c r="BM32" s="91"/>
      <c r="BN32" s="91"/>
      <c r="BO32" s="91"/>
      <c r="BP32" s="91"/>
      <c r="BQ32" s="91"/>
      <c r="BR32" s="91"/>
      <c r="BS32" s="91"/>
      <c r="BT32" s="91"/>
      <c r="BU32" s="91"/>
      <c r="BV32" s="91"/>
      <c r="BW32" s="91"/>
      <c r="BX32" s="91"/>
      <c r="BY32" s="91"/>
      <c r="BZ32" s="91"/>
      <c r="CA32" s="91"/>
      <c r="CB32" s="91"/>
      <c r="CC32" s="91"/>
      <c r="CD32" s="91"/>
      <c r="CE32" s="91"/>
      <c r="CF32" s="91"/>
      <c r="CG32" s="91"/>
      <c r="CH32" s="91"/>
      <c r="CI32" s="91"/>
      <c r="CJ32" s="91"/>
      <c r="CK32" s="90"/>
      <c r="CL32" s="90"/>
      <c r="CM32" s="90"/>
      <c r="CN32" s="90"/>
      <c r="CO32" s="74"/>
      <c r="CQ32"/>
      <c r="CV32" s="27"/>
    </row>
    <row r="33" spans="4:100" ht="15" customHeight="1">
      <c r="D33" s="28"/>
      <c r="H33" s="73"/>
      <c r="I33" s="73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1"/>
      <c r="BR33" s="91"/>
      <c r="BS33" s="91"/>
      <c r="BT33" s="91"/>
      <c r="BU33" s="91"/>
      <c r="BV33" s="91"/>
      <c r="BW33" s="91"/>
      <c r="BX33" s="91"/>
      <c r="BY33" s="91"/>
      <c r="BZ33" s="91"/>
      <c r="CA33" s="91"/>
      <c r="CB33" s="91"/>
      <c r="CC33" s="91"/>
      <c r="CD33" s="91"/>
      <c r="CE33" s="91"/>
      <c r="CF33" s="91"/>
      <c r="CG33" s="91"/>
      <c r="CH33" s="91"/>
      <c r="CI33" s="91"/>
      <c r="CJ33" s="91"/>
      <c r="CK33" s="90"/>
      <c r="CL33" s="90"/>
      <c r="CM33" s="90"/>
      <c r="CN33" s="90"/>
      <c r="CO33" s="74"/>
      <c r="CQ33"/>
      <c r="CV33" s="27"/>
    </row>
    <row r="34" spans="4:100" ht="15" customHeight="1">
      <c r="D34" s="33"/>
      <c r="H34" s="4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P34" s="27"/>
      <c r="CQ34"/>
    </row>
    <row r="35" spans="4:100" ht="15" customHeight="1">
      <c r="D35" s="33"/>
      <c r="H35" s="4"/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P35" s="27"/>
      <c r="CQ35"/>
    </row>
    <row r="36" spans="4:100" ht="15" customHeight="1">
      <c r="D36" s="33"/>
      <c r="H36" s="4"/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P36" s="27"/>
      <c r="CQ36"/>
    </row>
    <row r="37" spans="4:100" ht="15" customHeight="1">
      <c r="D37" s="33" t="s">
        <v>48</v>
      </c>
      <c r="H37" s="81">
        <f>SUM(H2:H31)</f>
        <v>161</v>
      </c>
      <c r="I37" s="81">
        <f>SUM(I2:I31)</f>
        <v>282.97900000000004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P37" s="27"/>
      <c r="CQ37"/>
    </row>
    <row r="38" spans="4:100" ht="24.95" customHeight="1">
      <c r="D38" s="33" t="s">
        <v>49</v>
      </c>
      <c r="H38" s="81">
        <f>PRODUCT(H37,1/30)</f>
        <v>5.3666666666666663</v>
      </c>
      <c r="I38" s="81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34" t="s">
        <v>53</v>
      </c>
      <c r="AX38" s="34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</row>
    <row r="39" spans="4:100" s="1" customFormat="1" ht="20.25">
      <c r="D39" s="35"/>
      <c r="H39" s="36"/>
      <c r="I39" s="37" t="str">
        <f>IF(DA79&lt;1.1,"A+",IF(DA79&lt;2.1,"A",IF(DA79&lt;3.1,"A-",IF(DA79&lt;4.1,"B+",IF(DA79&lt;5.1,"B",IF(DA79&lt;6.1,"B-",IF(DA79&lt;7.1,"C+",IF(DA79&lt;8.1,"C",IF(DA79&lt;9.1,"C-",IF(DA79&lt;10.1,"D+",IF(DA79&lt;11.1,"D",IF(DA79&lt;12.1,"D-",IF(DA79&lt;13.1,"F")))))))))))))</f>
        <v>B-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Q39" s="27"/>
    </row>
    <row r="40" spans="4:100" s="1" customFormat="1" ht="12.75">
      <c r="D40" s="9"/>
      <c r="H40" s="38"/>
      <c r="I40" s="39" t="s">
        <v>63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Q40" s="27"/>
    </row>
    <row r="41" spans="4:100" s="1" customFormat="1" ht="69.95" customHeight="1">
      <c r="D41" t="s">
        <v>3</v>
      </c>
      <c r="H41" s="4"/>
      <c r="I41" s="2"/>
      <c r="J41" s="2" t="s">
        <v>47</v>
      </c>
      <c r="K41" s="26" t="s">
        <v>9</v>
      </c>
      <c r="L41" s="26" t="s">
        <v>71</v>
      </c>
      <c r="M41" s="26" t="s">
        <v>10</v>
      </c>
      <c r="N41" s="26" t="s">
        <v>72</v>
      </c>
      <c r="O41" s="26" t="s">
        <v>11</v>
      </c>
      <c r="P41" s="26" t="s">
        <v>73</v>
      </c>
      <c r="Q41" s="26" t="s">
        <v>12</v>
      </c>
      <c r="R41" s="26" t="s">
        <v>74</v>
      </c>
      <c r="S41" s="26" t="s">
        <v>13</v>
      </c>
      <c r="T41" s="26" t="s">
        <v>75</v>
      </c>
      <c r="U41" s="26" t="s">
        <v>14</v>
      </c>
      <c r="V41" s="26" t="s">
        <v>76</v>
      </c>
      <c r="W41" s="26" t="s">
        <v>15</v>
      </c>
      <c r="X41" s="26" t="s">
        <v>77</v>
      </c>
      <c r="Y41" s="26" t="s">
        <v>16</v>
      </c>
      <c r="Z41" s="26" t="s">
        <v>78</v>
      </c>
      <c r="AA41" s="26" t="s">
        <v>17</v>
      </c>
      <c r="AB41" s="26" t="s">
        <v>79</v>
      </c>
      <c r="AC41" s="26" t="s">
        <v>18</v>
      </c>
      <c r="AD41" s="26" t="s">
        <v>80</v>
      </c>
      <c r="AE41" s="26" t="s">
        <v>19</v>
      </c>
      <c r="AF41" s="26" t="s">
        <v>81</v>
      </c>
      <c r="AG41" s="26" t="s">
        <v>20</v>
      </c>
      <c r="AH41" s="26" t="s">
        <v>82</v>
      </c>
      <c r="AI41" s="26" t="s">
        <v>21</v>
      </c>
      <c r="AJ41" s="26" t="s">
        <v>83</v>
      </c>
      <c r="AK41" s="26" t="s">
        <v>22</v>
      </c>
      <c r="AL41" s="26" t="s">
        <v>84</v>
      </c>
      <c r="AM41" s="26" t="s">
        <v>23</v>
      </c>
      <c r="AN41" s="26" t="s">
        <v>85</v>
      </c>
      <c r="AO41" s="26" t="s">
        <v>24</v>
      </c>
      <c r="AP41" s="26" t="s">
        <v>86</v>
      </c>
      <c r="AQ41" s="26" t="s">
        <v>25</v>
      </c>
      <c r="AR41" s="26" t="s">
        <v>87</v>
      </c>
      <c r="AS41" s="26" t="s">
        <v>26</v>
      </c>
      <c r="AT41" s="26" t="s">
        <v>88</v>
      </c>
      <c r="AU41" s="26" t="s">
        <v>27</v>
      </c>
      <c r="AV41" s="5" t="s">
        <v>89</v>
      </c>
      <c r="AW41" s="107">
        <v>20</v>
      </c>
      <c r="AX41" s="108" t="s">
        <v>90</v>
      </c>
      <c r="AY41" s="26" t="s">
        <v>28</v>
      </c>
      <c r="AZ41" s="26" t="s">
        <v>91</v>
      </c>
      <c r="BA41" s="26" t="s">
        <v>29</v>
      </c>
      <c r="BB41" s="26" t="s">
        <v>92</v>
      </c>
      <c r="BC41" s="26" t="s">
        <v>30</v>
      </c>
      <c r="BD41" s="26" t="s">
        <v>93</v>
      </c>
      <c r="BE41" s="26" t="s">
        <v>31</v>
      </c>
      <c r="BF41" s="26" t="s">
        <v>94</v>
      </c>
      <c r="BG41" s="26" t="s">
        <v>32</v>
      </c>
      <c r="BH41" s="26" t="s">
        <v>95</v>
      </c>
      <c r="BI41" s="26" t="s">
        <v>33</v>
      </c>
      <c r="BJ41" s="26" t="s">
        <v>96</v>
      </c>
      <c r="BK41" s="26" t="s">
        <v>34</v>
      </c>
      <c r="BL41" s="26" t="s">
        <v>97</v>
      </c>
      <c r="BM41" s="26" t="s">
        <v>35</v>
      </c>
      <c r="BN41" s="26" t="s">
        <v>98</v>
      </c>
      <c r="BO41" s="26" t="s">
        <v>36</v>
      </c>
      <c r="BP41" s="26" t="s">
        <v>99</v>
      </c>
      <c r="BQ41" s="26" t="s">
        <v>37</v>
      </c>
      <c r="BR41" s="26" t="s">
        <v>100</v>
      </c>
      <c r="BS41" s="26" t="s">
        <v>38</v>
      </c>
      <c r="BT41" s="26" t="s">
        <v>101</v>
      </c>
      <c r="BU41" s="26" t="s">
        <v>39</v>
      </c>
      <c r="BV41" s="26" t="s">
        <v>102</v>
      </c>
      <c r="BW41" s="26" t="s">
        <v>40</v>
      </c>
      <c r="BX41" s="26" t="s">
        <v>103</v>
      </c>
      <c r="BY41" s="26" t="s">
        <v>41</v>
      </c>
      <c r="BZ41" s="26" t="s">
        <v>104</v>
      </c>
      <c r="CA41" s="26" t="s">
        <v>42</v>
      </c>
      <c r="CB41" s="26" t="s">
        <v>105</v>
      </c>
      <c r="CC41" s="26" t="s">
        <v>43</v>
      </c>
      <c r="CD41" s="26" t="s">
        <v>106</v>
      </c>
      <c r="CE41" s="26" t="s">
        <v>44</v>
      </c>
      <c r="CF41" s="26" t="s">
        <v>107</v>
      </c>
      <c r="CG41" s="26" t="s">
        <v>45</v>
      </c>
      <c r="CH41" s="26" t="s">
        <v>108</v>
      </c>
      <c r="CI41" s="26" t="s">
        <v>46</v>
      </c>
      <c r="CJ41" s="26" t="s">
        <v>54</v>
      </c>
      <c r="CL41" s="7" t="s">
        <v>50</v>
      </c>
      <c r="CR41" s="27"/>
    </row>
    <row r="42" spans="4:100" s="1" customFormat="1" ht="69.95" customHeight="1">
      <c r="D42" s="28">
        <v>59</v>
      </c>
      <c r="H42" s="4"/>
      <c r="I42" s="2"/>
      <c r="J42" s="81">
        <f t="shared" ref="J42:J65" si="1">PRODUCT(-H2,1/39)</f>
        <v>7.6923076923076927E-2</v>
      </c>
      <c r="K42" s="81">
        <f>SUM((0.5*$CJ42),0)</f>
        <v>3.8461538461538464E-2</v>
      </c>
      <c r="L42" s="81">
        <f t="shared" ref="L42:AQ42" si="2">SUM((0.5*$CJ42),K2,-L2)</f>
        <v>1.0384615384615385</v>
      </c>
      <c r="M42" s="81">
        <f t="shared" si="2"/>
        <v>-3.9615384615384617</v>
      </c>
      <c r="N42" s="81">
        <f t="shared" si="2"/>
        <v>3.8461538461538325E-2</v>
      </c>
      <c r="O42" s="81">
        <f t="shared" si="2"/>
        <v>1.0384615384615383</v>
      </c>
      <c r="P42" s="81">
        <f t="shared" si="2"/>
        <v>3.8461538461538325E-2</v>
      </c>
      <c r="Q42" s="81">
        <f t="shared" si="2"/>
        <v>3.8461538461538325E-2</v>
      </c>
      <c r="R42" s="81">
        <f t="shared" si="2"/>
        <v>-0.96153846153846168</v>
      </c>
      <c r="S42" s="81">
        <f t="shared" si="2"/>
        <v>3.8461538461538325E-2</v>
      </c>
      <c r="T42" s="81">
        <f t="shared" si="2"/>
        <v>-0.96153846153846168</v>
      </c>
      <c r="U42" s="81">
        <f t="shared" si="2"/>
        <v>3.8461538461538325E-2</v>
      </c>
      <c r="V42" s="81">
        <f t="shared" si="2"/>
        <v>3.8461538461538325E-2</v>
      </c>
      <c r="W42" s="81">
        <f t="shared" si="2"/>
        <v>3.8461538461538325E-2</v>
      </c>
      <c r="X42" s="81">
        <f t="shared" si="2"/>
        <v>-0.96153846153846168</v>
      </c>
      <c r="Y42" s="81">
        <f t="shared" si="2"/>
        <v>3.8461538461538325E-2</v>
      </c>
      <c r="Z42" s="81">
        <f t="shared" si="2"/>
        <v>-0.96153846153846168</v>
      </c>
      <c r="AA42" s="81">
        <f t="shared" si="2"/>
        <v>3.8461538461538325E-2</v>
      </c>
      <c r="AB42" s="81">
        <f t="shared" si="2"/>
        <v>1.0384615384615383</v>
      </c>
      <c r="AC42" s="81">
        <f t="shared" si="2"/>
        <v>1.0384615384615383</v>
      </c>
      <c r="AD42" s="81">
        <f t="shared" si="2"/>
        <v>3.8461538461538325E-2</v>
      </c>
      <c r="AE42" s="81">
        <f t="shared" si="2"/>
        <v>3.8461538461538325E-2</v>
      </c>
      <c r="AF42" s="81">
        <f t="shared" si="2"/>
        <v>3.8461538461538325E-2</v>
      </c>
      <c r="AG42" s="81">
        <f t="shared" si="2"/>
        <v>1.0384615384615383</v>
      </c>
      <c r="AH42" s="81">
        <f t="shared" si="2"/>
        <v>1.0384615384615383</v>
      </c>
      <c r="AI42" s="81">
        <f t="shared" si="2"/>
        <v>1.0384615384615383</v>
      </c>
      <c r="AJ42" s="81">
        <f t="shared" si="2"/>
        <v>3.8461538461538547E-2</v>
      </c>
      <c r="AK42" s="81">
        <f t="shared" si="2"/>
        <v>1.0384615384615385</v>
      </c>
      <c r="AL42" s="81">
        <f t="shared" si="2"/>
        <v>1.0384615384615385</v>
      </c>
      <c r="AM42" s="81">
        <f t="shared" si="2"/>
        <v>1.0384615384615383</v>
      </c>
      <c r="AN42" s="81">
        <f t="shared" si="2"/>
        <v>3.8461538461538547E-2</v>
      </c>
      <c r="AO42" s="81">
        <f t="shared" si="2"/>
        <v>1.0384615384615385</v>
      </c>
      <c r="AP42" s="81">
        <f t="shared" si="2"/>
        <v>3.8461538461538325E-2</v>
      </c>
      <c r="AQ42" s="81">
        <f t="shared" si="2"/>
        <v>1.0384615384615383</v>
      </c>
      <c r="AR42" s="81">
        <f t="shared" ref="AR42:BW42" si="3">SUM((0.5*$CJ42),AQ2,-AR2)</f>
        <v>3.8461538461538325E-2</v>
      </c>
      <c r="AS42" s="81">
        <f t="shared" si="3"/>
        <v>3.8461538461538325E-2</v>
      </c>
      <c r="AT42" s="81">
        <f t="shared" si="3"/>
        <v>1.0384615384615383</v>
      </c>
      <c r="AU42" s="81">
        <f t="shared" si="3"/>
        <v>1.0384615384615383</v>
      </c>
      <c r="AV42" s="81">
        <f t="shared" si="3"/>
        <v>3.8461538461538325E-2</v>
      </c>
      <c r="AW42" s="81">
        <f t="shared" si="3"/>
        <v>3.8461538461538325E-2</v>
      </c>
      <c r="AX42" s="81">
        <f t="shared" si="3"/>
        <v>3.8461538461538325E-2</v>
      </c>
      <c r="AY42" s="81">
        <f t="shared" si="3"/>
        <v>3.8461538461538325E-2</v>
      </c>
      <c r="AZ42" s="81">
        <f t="shared" si="3"/>
        <v>1.0384615384615383</v>
      </c>
      <c r="BA42" s="81">
        <f t="shared" si="3"/>
        <v>1.0384615384615383</v>
      </c>
      <c r="BB42" s="81">
        <f t="shared" si="3"/>
        <v>3.8461538461538325E-2</v>
      </c>
      <c r="BC42" s="81">
        <f t="shared" si="3"/>
        <v>3.8461538461538325E-2</v>
      </c>
      <c r="BD42" s="81">
        <f t="shared" si="3"/>
        <v>3.8461538461538325E-2</v>
      </c>
      <c r="BE42" s="81">
        <f t="shared" si="3"/>
        <v>3.8461538461538325E-2</v>
      </c>
      <c r="BF42" s="81">
        <f t="shared" si="3"/>
        <v>3.8461538461538325E-2</v>
      </c>
      <c r="BG42" s="81">
        <f t="shared" si="3"/>
        <v>3.8461538461538325E-2</v>
      </c>
      <c r="BH42" s="81">
        <f t="shared" si="3"/>
        <v>-0.96153846153846168</v>
      </c>
      <c r="BI42" s="81">
        <f t="shared" si="3"/>
        <v>3.8461538461538325E-2</v>
      </c>
      <c r="BJ42" s="81">
        <f t="shared" si="3"/>
        <v>3.8461538461538325E-2</v>
      </c>
      <c r="BK42" s="81">
        <f t="shared" si="3"/>
        <v>3.8461538461538325E-2</v>
      </c>
      <c r="BL42" s="81">
        <f t="shared" si="3"/>
        <v>-0.96153846153846168</v>
      </c>
      <c r="BM42" s="81">
        <f t="shared" si="3"/>
        <v>3.8461538461538325E-2</v>
      </c>
      <c r="BN42" s="81">
        <f t="shared" si="3"/>
        <v>3.8461538461538325E-2</v>
      </c>
      <c r="BO42" s="81">
        <f t="shared" si="3"/>
        <v>3.8461538461538325E-2</v>
      </c>
      <c r="BP42" s="81">
        <f t="shared" si="3"/>
        <v>-0.96153846153846168</v>
      </c>
      <c r="BQ42" s="81">
        <f t="shared" si="3"/>
        <v>3.8461538461538325E-2</v>
      </c>
      <c r="BR42" s="81">
        <f t="shared" si="3"/>
        <v>-0.96153846153846168</v>
      </c>
      <c r="BS42" s="81">
        <f t="shared" si="3"/>
        <v>-0.96153846153846168</v>
      </c>
      <c r="BT42" s="81">
        <f t="shared" si="3"/>
        <v>3.8461538461538325E-2</v>
      </c>
      <c r="BU42" s="81">
        <f t="shared" si="3"/>
        <v>-0.96153846153846168</v>
      </c>
      <c r="BV42" s="81">
        <f t="shared" si="3"/>
        <v>3.8461538461538547E-2</v>
      </c>
      <c r="BW42" s="81">
        <f t="shared" si="3"/>
        <v>3.8461538461538547E-2</v>
      </c>
      <c r="BX42" s="81">
        <f t="shared" ref="BX42:CI42" si="4">SUM((0.5*$CJ42),BW2,-BX2)</f>
        <v>-0.96153846153846145</v>
      </c>
      <c r="BY42" s="81">
        <f t="shared" si="4"/>
        <v>3.8461538461538436E-2</v>
      </c>
      <c r="BZ42" s="81">
        <f t="shared" si="4"/>
        <v>3.8461538461538436E-2</v>
      </c>
      <c r="CA42" s="81">
        <f t="shared" si="4"/>
        <v>3.8461538461538436E-2</v>
      </c>
      <c r="CB42" s="81">
        <f t="shared" si="4"/>
        <v>3.8461538461538436E-2</v>
      </c>
      <c r="CC42" s="81">
        <f t="shared" si="4"/>
        <v>3.8461538461538436E-2</v>
      </c>
      <c r="CD42" s="81">
        <f t="shared" si="4"/>
        <v>3.8461538461538436E-2</v>
      </c>
      <c r="CE42" s="81">
        <f t="shared" si="4"/>
        <v>3.8461538461538436E-2</v>
      </c>
      <c r="CF42" s="81">
        <f t="shared" si="4"/>
        <v>3.8461538461538436E-2</v>
      </c>
      <c r="CG42" s="81">
        <f t="shared" si="4"/>
        <v>3.8461538461538436E-2</v>
      </c>
      <c r="CH42" s="81">
        <f t="shared" si="4"/>
        <v>-0.96153846153846156</v>
      </c>
      <c r="CI42" s="81">
        <f t="shared" si="4"/>
        <v>3.8461538461538464E-2</v>
      </c>
      <c r="CJ42" s="81">
        <f t="shared" ref="CJ42:CJ65" si="5">PRODUCT(-H2,1/39)</f>
        <v>7.6923076923076927E-2</v>
      </c>
      <c r="CL42" s="74">
        <f t="shared" ref="CL42:CL65" si="6">CO2</f>
        <v>3.9200000000000004</v>
      </c>
      <c r="CR42" s="27"/>
    </row>
    <row r="43" spans="4:100" s="1" customFormat="1" ht="69.95" customHeight="1">
      <c r="D43" s="28">
        <v>57</v>
      </c>
      <c r="H43" s="4"/>
      <c r="I43" s="2"/>
      <c r="J43" s="81">
        <f t="shared" si="1"/>
        <v>-0.5641025641025641</v>
      </c>
      <c r="K43" s="81">
        <f>SUM((0.5*$CJ43),0)</f>
        <v>-0.28205128205128205</v>
      </c>
      <c r="L43" s="81">
        <f t="shared" ref="L43:BW43" si="7">SUM((0.5*$CJ43),K3,-L3)</f>
        <v>0.71794871794871795</v>
      </c>
      <c r="M43" s="81">
        <f t="shared" si="7"/>
        <v>-2.2820512820512819</v>
      </c>
      <c r="N43" s="81">
        <f t="shared" si="7"/>
        <v>-0.28205128205128205</v>
      </c>
      <c r="O43" s="81">
        <f t="shared" si="7"/>
        <v>-0.28205128205128205</v>
      </c>
      <c r="P43" s="81">
        <f t="shared" si="7"/>
        <v>-0.28205128205128205</v>
      </c>
      <c r="Q43" s="81">
        <f t="shared" si="7"/>
        <v>0.71794871794871795</v>
      </c>
      <c r="R43" s="81">
        <f t="shared" si="7"/>
        <v>-0.28205128205128205</v>
      </c>
      <c r="S43" s="81">
        <f t="shared" si="7"/>
        <v>0.71794871794871795</v>
      </c>
      <c r="T43" s="81">
        <f t="shared" si="7"/>
        <v>0.71794871794871806</v>
      </c>
      <c r="U43" s="81">
        <f t="shared" si="7"/>
        <v>-0.28205128205128194</v>
      </c>
      <c r="V43" s="81">
        <f t="shared" si="7"/>
        <v>0.71794871794871806</v>
      </c>
      <c r="W43" s="81">
        <f t="shared" si="7"/>
        <v>0.71794871794871806</v>
      </c>
      <c r="X43" s="81">
        <f t="shared" si="7"/>
        <v>0.71794871794871806</v>
      </c>
      <c r="Y43" s="81">
        <f t="shared" si="7"/>
        <v>-0.28205128205128194</v>
      </c>
      <c r="Z43" s="81">
        <f t="shared" si="7"/>
        <v>1.7179487179487181</v>
      </c>
      <c r="AA43" s="81">
        <f t="shared" si="7"/>
        <v>0.71794871794871806</v>
      </c>
      <c r="AB43" s="81">
        <f t="shared" si="7"/>
        <v>1.7179487179487172</v>
      </c>
      <c r="AC43" s="81">
        <f t="shared" si="7"/>
        <v>2.7179487179487172</v>
      </c>
      <c r="AD43" s="81">
        <f t="shared" si="7"/>
        <v>1.7179487179487172</v>
      </c>
      <c r="AE43" s="81">
        <f t="shared" si="7"/>
        <v>1.7179487179487172</v>
      </c>
      <c r="AF43" s="81">
        <f t="shared" si="7"/>
        <v>0.71794871794871895</v>
      </c>
      <c r="AG43" s="81">
        <f t="shared" si="7"/>
        <v>0.71794871794871895</v>
      </c>
      <c r="AH43" s="81">
        <f t="shared" si="7"/>
        <v>-0.28205128205128105</v>
      </c>
      <c r="AI43" s="81">
        <f t="shared" si="7"/>
        <v>0.71794871794871895</v>
      </c>
      <c r="AJ43" s="81">
        <f t="shared" si="7"/>
        <v>0.71794871794871895</v>
      </c>
      <c r="AK43" s="81">
        <f t="shared" si="7"/>
        <v>0.71794871794871895</v>
      </c>
      <c r="AL43" s="81">
        <f t="shared" si="7"/>
        <v>-0.28205128205128105</v>
      </c>
      <c r="AM43" s="81">
        <f t="shared" si="7"/>
        <v>-1.282051282051281</v>
      </c>
      <c r="AN43" s="81">
        <f t="shared" si="7"/>
        <v>-1.282051282051281</v>
      </c>
      <c r="AO43" s="81">
        <f t="shared" si="7"/>
        <v>-0.28205128205128105</v>
      </c>
      <c r="AP43" s="81">
        <f t="shared" si="7"/>
        <v>-0.28205128205128105</v>
      </c>
      <c r="AQ43" s="81">
        <f t="shared" si="7"/>
        <v>-1.282051282051281</v>
      </c>
      <c r="AR43" s="81">
        <f t="shared" si="7"/>
        <v>-0.28205128205128105</v>
      </c>
      <c r="AS43" s="81">
        <f t="shared" si="7"/>
        <v>-0.28205128205128105</v>
      </c>
      <c r="AT43" s="81">
        <f t="shared" si="7"/>
        <v>-1.282051282051281</v>
      </c>
      <c r="AU43" s="81">
        <f t="shared" si="7"/>
        <v>-0.28205128205128105</v>
      </c>
      <c r="AV43" s="81">
        <f t="shared" si="7"/>
        <v>-1.282051282051281</v>
      </c>
      <c r="AW43" s="81">
        <f t="shared" si="7"/>
        <v>-0.28205128205128105</v>
      </c>
      <c r="AX43" s="81">
        <f t="shared" si="7"/>
        <v>-0.28205128205128105</v>
      </c>
      <c r="AY43" s="81">
        <f t="shared" si="7"/>
        <v>-1.282051282051281</v>
      </c>
      <c r="AZ43" s="81">
        <f t="shared" si="7"/>
        <v>-0.28205128205128105</v>
      </c>
      <c r="BA43" s="81">
        <f t="shared" si="7"/>
        <v>-0.28205128205128105</v>
      </c>
      <c r="BB43" s="81">
        <f t="shared" si="7"/>
        <v>-1.282051282051281</v>
      </c>
      <c r="BC43" s="81">
        <f t="shared" si="7"/>
        <v>-0.28205128205128283</v>
      </c>
      <c r="BD43" s="81">
        <f t="shared" si="7"/>
        <v>-0.28205128205128283</v>
      </c>
      <c r="BE43" s="81">
        <f t="shared" si="7"/>
        <v>-0.28205128205128283</v>
      </c>
      <c r="BF43" s="81">
        <f t="shared" si="7"/>
        <v>-0.28205128205128283</v>
      </c>
      <c r="BG43" s="81">
        <f t="shared" si="7"/>
        <v>-0.28205128205128283</v>
      </c>
      <c r="BH43" s="81">
        <f t="shared" si="7"/>
        <v>0.71794871794871717</v>
      </c>
      <c r="BI43" s="81">
        <f t="shared" si="7"/>
        <v>-0.28205128205128105</v>
      </c>
      <c r="BJ43" s="81">
        <f t="shared" si="7"/>
        <v>0.71794871794871895</v>
      </c>
      <c r="BK43" s="81">
        <f t="shared" si="7"/>
        <v>-0.28205128205128105</v>
      </c>
      <c r="BL43" s="81">
        <f t="shared" si="7"/>
        <v>-2.282051282051281</v>
      </c>
      <c r="BM43" s="81">
        <f t="shared" si="7"/>
        <v>-1.2820512820512828</v>
      </c>
      <c r="BN43" s="81">
        <f t="shared" si="7"/>
        <v>-1.2820512820512828</v>
      </c>
      <c r="BO43" s="81">
        <f t="shared" si="7"/>
        <v>-0.28205128205128283</v>
      </c>
      <c r="BP43" s="81">
        <f t="shared" si="7"/>
        <v>-1.2820512820512828</v>
      </c>
      <c r="BQ43" s="81">
        <f t="shared" si="7"/>
        <v>-0.28205128205128283</v>
      </c>
      <c r="BR43" s="81">
        <f t="shared" si="7"/>
        <v>-3.2820512820512828</v>
      </c>
      <c r="BS43" s="81">
        <f t="shared" si="7"/>
        <v>-1.2820512820512828</v>
      </c>
      <c r="BT43" s="81">
        <f t="shared" si="7"/>
        <v>-2.2820512820512828</v>
      </c>
      <c r="BU43" s="81">
        <f t="shared" si="7"/>
        <v>-2.2820512820512819</v>
      </c>
      <c r="BV43" s="81">
        <f t="shared" si="7"/>
        <v>-1.2820512820512819</v>
      </c>
      <c r="BW43" s="81">
        <f t="shared" si="7"/>
        <v>-1.2820512820512819</v>
      </c>
      <c r="BX43" s="81">
        <f t="shared" ref="BX43:CI43" si="8">SUM((0.5*$CJ43),BW3,-BX3)</f>
        <v>-1.2820512820512819</v>
      </c>
      <c r="BY43" s="81">
        <f t="shared" si="8"/>
        <v>-1.2820512820512819</v>
      </c>
      <c r="BZ43" s="81">
        <f t="shared" si="8"/>
        <v>-0.28205128205128205</v>
      </c>
      <c r="CA43" s="81">
        <f t="shared" si="8"/>
        <v>-0.28205128205128205</v>
      </c>
      <c r="CB43" s="81">
        <f t="shared" si="8"/>
        <v>-0.28205128205128205</v>
      </c>
      <c r="CC43" s="81">
        <f t="shared" si="8"/>
        <v>-0.28205128205128205</v>
      </c>
      <c r="CD43" s="81">
        <f t="shared" si="8"/>
        <v>-0.28205128205128205</v>
      </c>
      <c r="CE43" s="81">
        <f t="shared" si="8"/>
        <v>-0.28205128205128205</v>
      </c>
      <c r="CF43" s="81">
        <f t="shared" si="8"/>
        <v>-0.28205128205128205</v>
      </c>
      <c r="CG43" s="81">
        <f t="shared" si="8"/>
        <v>-0.28205128205128205</v>
      </c>
      <c r="CH43" s="81">
        <f t="shared" si="8"/>
        <v>-0.28205128205128205</v>
      </c>
      <c r="CI43" s="81">
        <f t="shared" si="8"/>
        <v>-0.28205128205128205</v>
      </c>
      <c r="CJ43" s="81">
        <f t="shared" si="5"/>
        <v>-0.5641025641025641</v>
      </c>
      <c r="CL43" s="74">
        <f t="shared" si="6"/>
        <v>10.386666666666667</v>
      </c>
      <c r="CR43" s="27"/>
    </row>
    <row r="44" spans="4:100" s="1" customFormat="1" ht="69.95" customHeight="1">
      <c r="D44" s="28">
        <v>55</v>
      </c>
      <c r="H44" s="4"/>
      <c r="I44" s="2"/>
      <c r="J44" s="81">
        <f t="shared" si="1"/>
        <v>-0.58974358974358976</v>
      </c>
      <c r="K44" s="81">
        <f t="shared" ref="K44:K71" si="9">SUM((0.5*$CJ44),0)</f>
        <v>-0.29487179487179488</v>
      </c>
      <c r="L44" s="81">
        <f t="shared" ref="L44:AQ44" si="10">SUM((0.5*$CJ44),K4,-L4)</f>
        <v>-0.29487179487179488</v>
      </c>
      <c r="M44" s="81">
        <f t="shared" si="10"/>
        <v>-1.2948717948717949</v>
      </c>
      <c r="N44" s="81">
        <f t="shared" si="10"/>
        <v>-1.2948717948717949</v>
      </c>
      <c r="O44" s="81">
        <f t="shared" si="10"/>
        <v>-0.29487179487179493</v>
      </c>
      <c r="P44" s="81">
        <f t="shared" si="10"/>
        <v>-0.29487179487179493</v>
      </c>
      <c r="Q44" s="81">
        <f t="shared" si="10"/>
        <v>-1.2948717948717949</v>
      </c>
      <c r="R44" s="81">
        <f t="shared" si="10"/>
        <v>-1.2948717948717947</v>
      </c>
      <c r="S44" s="81">
        <f t="shared" si="10"/>
        <v>-1.2948717948717947</v>
      </c>
      <c r="T44" s="81">
        <f t="shared" si="10"/>
        <v>-1.2948717948717947</v>
      </c>
      <c r="U44" s="81">
        <f t="shared" si="10"/>
        <v>-1.2948717948717947</v>
      </c>
      <c r="V44" s="81">
        <f t="shared" si="10"/>
        <v>-0.29487179487179471</v>
      </c>
      <c r="W44" s="81">
        <f t="shared" si="10"/>
        <v>-0.29487179487179471</v>
      </c>
      <c r="X44" s="81">
        <f t="shared" si="10"/>
        <v>-1.2948717948717947</v>
      </c>
      <c r="Y44" s="81">
        <f t="shared" si="10"/>
        <v>-1.2948717948717947</v>
      </c>
      <c r="Z44" s="81">
        <f t="shared" si="10"/>
        <v>-1.2948717948717956</v>
      </c>
      <c r="AA44" s="81">
        <f t="shared" si="10"/>
        <v>-0.2948717948717956</v>
      </c>
      <c r="AB44" s="81">
        <f t="shared" si="10"/>
        <v>-0.2948717948717956</v>
      </c>
      <c r="AC44" s="81">
        <f t="shared" si="10"/>
        <v>0.7051282051282044</v>
      </c>
      <c r="AD44" s="81">
        <f t="shared" si="10"/>
        <v>-0.2948717948717956</v>
      </c>
      <c r="AE44" s="81">
        <f t="shared" si="10"/>
        <v>-0.2948717948717956</v>
      </c>
      <c r="AF44" s="81">
        <f t="shared" si="10"/>
        <v>0.7051282051282044</v>
      </c>
      <c r="AG44" s="81">
        <f t="shared" si="10"/>
        <v>-0.29487179487179471</v>
      </c>
      <c r="AH44" s="81">
        <f t="shared" si="10"/>
        <v>0.70512820512820529</v>
      </c>
      <c r="AI44" s="81">
        <f t="shared" si="10"/>
        <v>-0.29487179487179471</v>
      </c>
      <c r="AJ44" s="81">
        <f t="shared" si="10"/>
        <v>0.70512820512820529</v>
      </c>
      <c r="AK44" s="81">
        <f t="shared" si="10"/>
        <v>-0.29487179487179471</v>
      </c>
      <c r="AL44" s="81">
        <f t="shared" si="10"/>
        <v>0.70512820512820529</v>
      </c>
      <c r="AM44" s="81">
        <f t="shared" si="10"/>
        <v>0.70512820512820529</v>
      </c>
      <c r="AN44" s="81">
        <f t="shared" si="10"/>
        <v>-0.29487179487179471</v>
      </c>
      <c r="AO44" s="81">
        <f t="shared" si="10"/>
        <v>0.70512820512820529</v>
      </c>
      <c r="AP44" s="81">
        <f t="shared" si="10"/>
        <v>-0.29487179487179471</v>
      </c>
      <c r="AQ44" s="81">
        <f t="shared" si="10"/>
        <v>-0.29487179487179471</v>
      </c>
      <c r="AR44" s="81">
        <f t="shared" ref="AR44:BW44" si="11">SUM((0.5*$CJ44),AQ4,-AR4)</f>
        <v>-0.29487179487179471</v>
      </c>
      <c r="AS44" s="81">
        <f t="shared" si="11"/>
        <v>-0.29487179487179471</v>
      </c>
      <c r="AT44" s="81">
        <f t="shared" si="11"/>
        <v>0.70512820512820529</v>
      </c>
      <c r="AU44" s="81">
        <f t="shared" si="11"/>
        <v>-0.29487179487179493</v>
      </c>
      <c r="AV44" s="81">
        <f t="shared" si="11"/>
        <v>-0.29487179487179493</v>
      </c>
      <c r="AW44" s="81">
        <f t="shared" si="11"/>
        <v>-0.29487179487179493</v>
      </c>
      <c r="AX44" s="81">
        <f t="shared" si="11"/>
        <v>-0.29487179487179493</v>
      </c>
      <c r="AY44" s="81">
        <f t="shared" si="11"/>
        <v>-0.29487179487179493</v>
      </c>
      <c r="AZ44" s="81">
        <f t="shared" si="11"/>
        <v>0.70512820512820507</v>
      </c>
      <c r="BA44" s="81">
        <f t="shared" si="11"/>
        <v>-0.29487179487179493</v>
      </c>
      <c r="BB44" s="81">
        <f t="shared" si="11"/>
        <v>-0.29487179487179493</v>
      </c>
      <c r="BC44" s="81">
        <f t="shared" si="11"/>
        <v>-0.29487179487179493</v>
      </c>
      <c r="BD44" s="81">
        <f t="shared" si="11"/>
        <v>-0.29487179487179493</v>
      </c>
      <c r="BE44" s="81">
        <f t="shared" si="11"/>
        <v>-0.29487179487179493</v>
      </c>
      <c r="BF44" s="81">
        <f t="shared" si="11"/>
        <v>-1.2948717948717949</v>
      </c>
      <c r="BG44" s="81">
        <f t="shared" si="11"/>
        <v>-0.29487179487179493</v>
      </c>
      <c r="BH44" s="81">
        <f t="shared" si="11"/>
        <v>-0.29487179487179493</v>
      </c>
      <c r="BI44" s="81">
        <f t="shared" si="11"/>
        <v>-0.29487179487179493</v>
      </c>
      <c r="BJ44" s="81">
        <f t="shared" si="11"/>
        <v>-0.29487179487179493</v>
      </c>
      <c r="BK44" s="81">
        <f t="shared" si="11"/>
        <v>-0.29487179487179493</v>
      </c>
      <c r="BL44" s="81">
        <f t="shared" si="11"/>
        <v>-1.2948717948717949</v>
      </c>
      <c r="BM44" s="81">
        <f t="shared" si="11"/>
        <v>-0.29487179487179471</v>
      </c>
      <c r="BN44" s="81">
        <f t="shared" si="11"/>
        <v>-0.29487179487179471</v>
      </c>
      <c r="BO44" s="81">
        <f t="shared" si="11"/>
        <v>-0.29487179487179471</v>
      </c>
      <c r="BP44" s="81">
        <f t="shared" si="11"/>
        <v>-0.29487179487179471</v>
      </c>
      <c r="BQ44" s="81">
        <f t="shared" si="11"/>
        <v>0.70512820512820529</v>
      </c>
      <c r="BR44" s="81">
        <f t="shared" si="11"/>
        <v>-0.29487179487179493</v>
      </c>
      <c r="BS44" s="81">
        <f t="shared" si="11"/>
        <v>-1.2948717948717949</v>
      </c>
      <c r="BT44" s="81">
        <f t="shared" si="11"/>
        <v>-0.29487179487179471</v>
      </c>
      <c r="BU44" s="81">
        <f t="shared" si="11"/>
        <v>-1.2948717948717947</v>
      </c>
      <c r="BV44" s="81">
        <f t="shared" si="11"/>
        <v>0.70512820512820529</v>
      </c>
      <c r="BW44" s="81">
        <f t="shared" si="11"/>
        <v>-0.29487179487179471</v>
      </c>
      <c r="BX44" s="81">
        <f t="shared" ref="BX44:CI44" si="12">SUM((0.5*$CJ44),BW4,-BX4)</f>
        <v>0.70512820512820529</v>
      </c>
      <c r="BY44" s="81">
        <f t="shared" si="12"/>
        <v>-0.29487179487179493</v>
      </c>
      <c r="BZ44" s="81">
        <f t="shared" si="12"/>
        <v>-0.29487179487179493</v>
      </c>
      <c r="CA44" s="81">
        <f t="shared" si="12"/>
        <v>-0.29487179487179493</v>
      </c>
      <c r="CB44" s="81">
        <f t="shared" si="12"/>
        <v>0.70512820512820507</v>
      </c>
      <c r="CC44" s="81">
        <f t="shared" si="12"/>
        <v>0.70512820512820507</v>
      </c>
      <c r="CD44" s="81">
        <f t="shared" si="12"/>
        <v>-0.29487179487179488</v>
      </c>
      <c r="CE44" s="81">
        <f t="shared" si="12"/>
        <v>-0.29487179487179488</v>
      </c>
      <c r="CF44" s="81">
        <f t="shared" si="12"/>
        <v>-0.29487179487179488</v>
      </c>
      <c r="CG44" s="81">
        <f t="shared" si="12"/>
        <v>0.70512820512820507</v>
      </c>
      <c r="CH44" s="81">
        <f t="shared" si="12"/>
        <v>-1.2948717948717949</v>
      </c>
      <c r="CI44" s="81">
        <f t="shared" si="12"/>
        <v>-0.29487179487179488</v>
      </c>
      <c r="CJ44" s="81">
        <f t="shared" si="5"/>
        <v>-0.58974358974358976</v>
      </c>
      <c r="CL44" s="74">
        <f t="shared" si="6"/>
        <v>3.5333333333333337</v>
      </c>
      <c r="CR44" s="27"/>
    </row>
    <row r="45" spans="4:100" s="1" customFormat="1" ht="69.95" customHeight="1">
      <c r="D45" s="28">
        <v>53</v>
      </c>
      <c r="H45" s="4"/>
      <c r="I45" s="2"/>
      <c r="J45" s="81">
        <f t="shared" si="1"/>
        <v>0.76923076923076916</v>
      </c>
      <c r="K45" s="81">
        <f t="shared" si="9"/>
        <v>0.38461538461538458</v>
      </c>
      <c r="L45" s="81">
        <f t="shared" ref="L45:AQ45" si="13">SUM((0.5*$CJ45),K5,-L5)</f>
        <v>1.3846153846153846</v>
      </c>
      <c r="M45" s="81">
        <f t="shared" si="13"/>
        <v>-2.6153846153846154</v>
      </c>
      <c r="N45" s="81">
        <f t="shared" si="13"/>
        <v>-0.61538461538461542</v>
      </c>
      <c r="O45" s="81">
        <f t="shared" si="13"/>
        <v>0.38461538461538458</v>
      </c>
      <c r="P45" s="81">
        <f t="shared" si="13"/>
        <v>-0.61538461538461542</v>
      </c>
      <c r="Q45" s="81">
        <f t="shared" si="13"/>
        <v>-0.61538461538461497</v>
      </c>
      <c r="R45" s="81">
        <f t="shared" si="13"/>
        <v>-0.61538461538461497</v>
      </c>
      <c r="S45" s="81">
        <f t="shared" si="13"/>
        <v>-0.61538461538461497</v>
      </c>
      <c r="T45" s="81">
        <f t="shared" si="13"/>
        <v>-0.61538461538461497</v>
      </c>
      <c r="U45" s="81">
        <f t="shared" si="13"/>
        <v>-1.615384615384615</v>
      </c>
      <c r="V45" s="81">
        <f t="shared" si="13"/>
        <v>0.38461538461538503</v>
      </c>
      <c r="W45" s="81">
        <f t="shared" si="13"/>
        <v>-0.61538461538461497</v>
      </c>
      <c r="X45" s="81">
        <f t="shared" si="13"/>
        <v>-0.61538461538461497</v>
      </c>
      <c r="Y45" s="81">
        <f t="shared" si="13"/>
        <v>-0.61538461538461497</v>
      </c>
      <c r="Z45" s="81">
        <f t="shared" si="13"/>
        <v>-0.61538461538461497</v>
      </c>
      <c r="AA45" s="81">
        <f t="shared" si="13"/>
        <v>-0.61538461538461497</v>
      </c>
      <c r="AB45" s="81">
        <f t="shared" si="13"/>
        <v>0.38461538461538503</v>
      </c>
      <c r="AC45" s="81">
        <f t="shared" si="13"/>
        <v>0.38461538461538503</v>
      </c>
      <c r="AD45" s="81">
        <f t="shared" si="13"/>
        <v>-1.615384615384615</v>
      </c>
      <c r="AE45" s="81">
        <f t="shared" si="13"/>
        <v>-0.61538461538461675</v>
      </c>
      <c r="AF45" s="81">
        <f t="shared" si="13"/>
        <v>-0.61538461538461675</v>
      </c>
      <c r="AG45" s="81">
        <f t="shared" si="13"/>
        <v>-0.61538461538461675</v>
      </c>
      <c r="AH45" s="81">
        <f t="shared" si="13"/>
        <v>-0.61538461538461675</v>
      </c>
      <c r="AI45" s="81">
        <f t="shared" si="13"/>
        <v>-0.61538461538461675</v>
      </c>
      <c r="AJ45" s="81">
        <f t="shared" si="13"/>
        <v>-0.61538461538461675</v>
      </c>
      <c r="AK45" s="81">
        <f t="shared" si="13"/>
        <v>-0.61538461538461675</v>
      </c>
      <c r="AL45" s="81">
        <f t="shared" si="13"/>
        <v>-0.61538461538461675</v>
      </c>
      <c r="AM45" s="81">
        <f t="shared" si="13"/>
        <v>-0.61538461538461675</v>
      </c>
      <c r="AN45" s="81">
        <f t="shared" si="13"/>
        <v>-0.61538461538461675</v>
      </c>
      <c r="AO45" s="81">
        <f t="shared" si="13"/>
        <v>-0.61538461538461675</v>
      </c>
      <c r="AP45" s="81">
        <f t="shared" si="13"/>
        <v>-0.61538461538461675</v>
      </c>
      <c r="AQ45" s="81">
        <f t="shared" si="13"/>
        <v>-0.61538461538461675</v>
      </c>
      <c r="AR45" s="81">
        <f t="shared" ref="AR45:BW45" si="14">SUM((0.5*$CJ45),AQ5,-AR5)</f>
        <v>-1.6153846153846168</v>
      </c>
      <c r="AS45" s="81">
        <f t="shared" si="14"/>
        <v>-1.6153846153846132</v>
      </c>
      <c r="AT45" s="81">
        <f t="shared" si="14"/>
        <v>-1.6153846153846132</v>
      </c>
      <c r="AU45" s="81">
        <f t="shared" si="14"/>
        <v>-1.6153846153846132</v>
      </c>
      <c r="AV45" s="81">
        <f t="shared" si="14"/>
        <v>-1.6153846153846132</v>
      </c>
      <c r="AW45" s="81">
        <f t="shared" si="14"/>
        <v>-1.6153846153846132</v>
      </c>
      <c r="AX45" s="81">
        <f t="shared" si="14"/>
        <v>2.3846153846153868</v>
      </c>
      <c r="AY45" s="81">
        <f t="shared" si="14"/>
        <v>2.3846153846153868</v>
      </c>
      <c r="AZ45" s="81">
        <f t="shared" si="14"/>
        <v>2.3846153846153868</v>
      </c>
      <c r="BA45" s="81">
        <f t="shared" si="14"/>
        <v>1.3846153846153868</v>
      </c>
      <c r="BB45" s="81">
        <f t="shared" si="14"/>
        <v>1.3846153846153868</v>
      </c>
      <c r="BC45" s="81">
        <f t="shared" si="14"/>
        <v>2.3846153846153868</v>
      </c>
      <c r="BD45" s="81">
        <f t="shared" si="14"/>
        <v>2.3846153846153868</v>
      </c>
      <c r="BE45" s="81">
        <f t="shared" si="14"/>
        <v>1.3846153846153832</v>
      </c>
      <c r="BF45" s="81">
        <f t="shared" si="14"/>
        <v>2.3846153846153832</v>
      </c>
      <c r="BG45" s="81">
        <f t="shared" si="14"/>
        <v>2.3846153846153832</v>
      </c>
      <c r="BH45" s="81">
        <f t="shared" si="14"/>
        <v>3.3846153846153832</v>
      </c>
      <c r="BI45" s="81">
        <f t="shared" si="14"/>
        <v>1.3846153846153832</v>
      </c>
      <c r="BJ45" s="81">
        <f t="shared" si="14"/>
        <v>1.3846153846153832</v>
      </c>
      <c r="BK45" s="81">
        <f t="shared" si="14"/>
        <v>1.3846153846153832</v>
      </c>
      <c r="BL45" s="81">
        <f t="shared" si="14"/>
        <v>2.3846153846153832</v>
      </c>
      <c r="BM45" s="81">
        <f t="shared" si="14"/>
        <v>2.3846153846153832</v>
      </c>
      <c r="BN45" s="81">
        <f t="shared" si="14"/>
        <v>1.384615384615385</v>
      </c>
      <c r="BO45" s="81">
        <f t="shared" si="14"/>
        <v>2.384615384615385</v>
      </c>
      <c r="BP45" s="81">
        <f t="shared" si="14"/>
        <v>1.384615384615385</v>
      </c>
      <c r="BQ45" s="81">
        <f t="shared" si="14"/>
        <v>0.38461538461538503</v>
      </c>
      <c r="BR45" s="81">
        <f t="shared" si="14"/>
        <v>0.38461538461538503</v>
      </c>
      <c r="BS45" s="81">
        <f t="shared" si="14"/>
        <v>0.38461538461538503</v>
      </c>
      <c r="BT45" s="81">
        <f t="shared" si="14"/>
        <v>0.38461538461538503</v>
      </c>
      <c r="BU45" s="81">
        <f t="shared" si="14"/>
        <v>0.38461538461538503</v>
      </c>
      <c r="BV45" s="81">
        <f t="shared" si="14"/>
        <v>1.384615384615385</v>
      </c>
      <c r="BW45" s="81">
        <f t="shared" si="14"/>
        <v>1.384615384615385</v>
      </c>
      <c r="BX45" s="81">
        <f t="shared" ref="BX45:CI45" si="15">SUM((0.5*$CJ45),BW5,-BX5)</f>
        <v>0.38461538461538503</v>
      </c>
      <c r="BY45" s="81">
        <f t="shared" si="15"/>
        <v>0.38461538461538503</v>
      </c>
      <c r="BZ45" s="81">
        <f t="shared" si="15"/>
        <v>1.384615384615385</v>
      </c>
      <c r="CA45" s="81">
        <f t="shared" si="15"/>
        <v>2.384615384615385</v>
      </c>
      <c r="CB45" s="81">
        <f t="shared" si="15"/>
        <v>1.384615384615385</v>
      </c>
      <c r="CC45" s="81">
        <f t="shared" si="15"/>
        <v>1.384615384615385</v>
      </c>
      <c r="CD45" s="81">
        <f t="shared" si="15"/>
        <v>2.384615384615385</v>
      </c>
      <c r="CE45" s="81">
        <f t="shared" si="15"/>
        <v>1.3846153846153846</v>
      </c>
      <c r="CF45" s="81">
        <f t="shared" si="15"/>
        <v>1.3846153846153846</v>
      </c>
      <c r="CG45" s="81">
        <f t="shared" si="15"/>
        <v>0.38461538461538458</v>
      </c>
      <c r="CH45" s="81">
        <f t="shared" si="15"/>
        <v>0.38461538461538458</v>
      </c>
      <c r="CI45" s="81">
        <f t="shared" si="15"/>
        <v>0.38461538461538458</v>
      </c>
      <c r="CJ45" s="81">
        <f t="shared" si="5"/>
        <v>0.76923076923076916</v>
      </c>
      <c r="CL45" s="74">
        <f t="shared" si="6"/>
        <v>17.333333333333336</v>
      </c>
      <c r="CR45" s="27"/>
    </row>
    <row r="46" spans="4:100" s="1" customFormat="1" ht="69.95" customHeight="1">
      <c r="D46" s="28">
        <v>51</v>
      </c>
      <c r="H46" s="4"/>
      <c r="I46" s="2"/>
      <c r="J46" s="81">
        <f t="shared" si="1"/>
        <v>-0.5641025641025641</v>
      </c>
      <c r="K46" s="81">
        <f>SUM((0.5*$CJ46),0)</f>
        <v>-0.28205128205128205</v>
      </c>
      <c r="L46" s="81">
        <f t="shared" ref="L46:BW46" si="16">SUM((0.5*$CJ46),K6,-L6)</f>
        <v>0.71794871794871795</v>
      </c>
      <c r="M46" s="81">
        <f t="shared" si="16"/>
        <v>-2.2820512820512819</v>
      </c>
      <c r="N46" s="81">
        <f t="shared" si="16"/>
        <v>0.71794871794871795</v>
      </c>
      <c r="O46" s="81">
        <f t="shared" si="16"/>
        <v>2.7179487179487181</v>
      </c>
      <c r="P46" s="81">
        <f t="shared" si="16"/>
        <v>2.7179487179487181</v>
      </c>
      <c r="Q46" s="81">
        <f t="shared" si="16"/>
        <v>2.7179487179487181</v>
      </c>
      <c r="R46" s="81">
        <f t="shared" si="16"/>
        <v>2.7179487179487172</v>
      </c>
      <c r="S46" s="81">
        <f t="shared" si="16"/>
        <v>4.7179487179487172</v>
      </c>
      <c r="T46" s="81">
        <f t="shared" si="16"/>
        <v>2.717948717948719</v>
      </c>
      <c r="U46" s="81">
        <f t="shared" si="16"/>
        <v>4.717948717948719</v>
      </c>
      <c r="V46" s="81">
        <f t="shared" si="16"/>
        <v>1.717948717948719</v>
      </c>
      <c r="W46" s="81">
        <f t="shared" si="16"/>
        <v>2.717948717948719</v>
      </c>
      <c r="X46" s="81">
        <f t="shared" si="16"/>
        <v>1.717948717948719</v>
      </c>
      <c r="Y46" s="81">
        <f t="shared" si="16"/>
        <v>1.7179487179487154</v>
      </c>
      <c r="Z46" s="81">
        <f t="shared" si="16"/>
        <v>0.7179487179487154</v>
      </c>
      <c r="AA46" s="81">
        <f t="shared" si="16"/>
        <v>1.7179487179487154</v>
      </c>
      <c r="AB46" s="81">
        <f t="shared" si="16"/>
        <v>0.7179487179487154</v>
      </c>
      <c r="AC46" s="81">
        <f t="shared" si="16"/>
        <v>0.7179487179487154</v>
      </c>
      <c r="AD46" s="81">
        <f t="shared" si="16"/>
        <v>0.7179487179487154</v>
      </c>
      <c r="AE46" s="81">
        <f t="shared" si="16"/>
        <v>1.7179487179487154</v>
      </c>
      <c r="AF46" s="81">
        <f t="shared" si="16"/>
        <v>0.7179487179487154</v>
      </c>
      <c r="AG46" s="81">
        <f t="shared" si="16"/>
        <v>0.7179487179487154</v>
      </c>
      <c r="AH46" s="81">
        <f t="shared" si="16"/>
        <v>1.7179487179487154</v>
      </c>
      <c r="AI46" s="81">
        <f t="shared" si="16"/>
        <v>2.7179487179487154</v>
      </c>
      <c r="AJ46" s="81">
        <f t="shared" si="16"/>
        <v>1.7179487179487154</v>
      </c>
      <c r="AK46" s="81">
        <f t="shared" si="16"/>
        <v>1.7179487179487154</v>
      </c>
      <c r="AL46" s="81">
        <f t="shared" si="16"/>
        <v>0.7179487179487154</v>
      </c>
      <c r="AM46" s="81">
        <f t="shared" si="16"/>
        <v>3.7179487179487154</v>
      </c>
      <c r="AN46" s="81">
        <f t="shared" si="16"/>
        <v>1.7179487179487154</v>
      </c>
      <c r="AO46" s="81">
        <f t="shared" si="16"/>
        <v>2.7179487179487154</v>
      </c>
      <c r="AP46" s="81">
        <f t="shared" si="16"/>
        <v>1.7179487179487154</v>
      </c>
      <c r="AQ46" s="81">
        <f t="shared" si="16"/>
        <v>2.7179487179487154</v>
      </c>
      <c r="AR46" s="81">
        <f t="shared" si="16"/>
        <v>0.7179487179487154</v>
      </c>
      <c r="AS46" s="81">
        <f t="shared" si="16"/>
        <v>0.7179487179487154</v>
      </c>
      <c r="AT46" s="81">
        <f t="shared" si="16"/>
        <v>0.7179487179487154</v>
      </c>
      <c r="AU46" s="81">
        <f t="shared" si="16"/>
        <v>0.7179487179487154</v>
      </c>
      <c r="AV46" s="81">
        <f t="shared" si="16"/>
        <v>1.7179487179487154</v>
      </c>
      <c r="AW46" s="81">
        <f t="shared" si="16"/>
        <v>0.7179487179487154</v>
      </c>
      <c r="AX46" s="81">
        <f t="shared" si="16"/>
        <v>-0.2820512820512846</v>
      </c>
      <c r="AY46" s="81">
        <f t="shared" si="16"/>
        <v>-0.2820512820512846</v>
      </c>
      <c r="AZ46" s="81">
        <f t="shared" si="16"/>
        <v>-0.2820512820512846</v>
      </c>
      <c r="BA46" s="81">
        <f t="shared" si="16"/>
        <v>-1.2820512820512846</v>
      </c>
      <c r="BB46" s="81">
        <f t="shared" si="16"/>
        <v>-1.2820512820512846</v>
      </c>
      <c r="BC46" s="81">
        <f t="shared" si="16"/>
        <v>-0.2820512820512846</v>
      </c>
      <c r="BD46" s="81">
        <f t="shared" si="16"/>
        <v>-2.2820512820512846</v>
      </c>
      <c r="BE46" s="81">
        <f t="shared" si="16"/>
        <v>-2.2820512820512846</v>
      </c>
      <c r="BF46" s="81">
        <f t="shared" si="16"/>
        <v>-1.2820512820512846</v>
      </c>
      <c r="BG46" s="81">
        <f t="shared" si="16"/>
        <v>-2.2820512820512846</v>
      </c>
      <c r="BH46" s="81">
        <f t="shared" si="16"/>
        <v>-2.2820512820512846</v>
      </c>
      <c r="BI46" s="81">
        <f t="shared" si="16"/>
        <v>-3.2820512820512846</v>
      </c>
      <c r="BJ46" s="81">
        <f t="shared" si="16"/>
        <v>-3.2820512820512846</v>
      </c>
      <c r="BK46" s="81">
        <f t="shared" si="16"/>
        <v>-2.2820512820512846</v>
      </c>
      <c r="BL46" s="81">
        <f t="shared" si="16"/>
        <v>-3.2820512820512846</v>
      </c>
      <c r="BM46" s="81">
        <f t="shared" si="16"/>
        <v>-2.2820512820512846</v>
      </c>
      <c r="BN46" s="81">
        <f t="shared" si="16"/>
        <v>-5.2820512820512846</v>
      </c>
      <c r="BO46" s="81">
        <f t="shared" si="16"/>
        <v>-5.2820512820512846</v>
      </c>
      <c r="BP46" s="81">
        <f t="shared" si="16"/>
        <v>-3.2820512820512846</v>
      </c>
      <c r="BQ46" s="81">
        <f t="shared" si="16"/>
        <v>-3.2820512820512846</v>
      </c>
      <c r="BR46" s="81">
        <f t="shared" si="16"/>
        <v>-5.2820512820512846</v>
      </c>
      <c r="BS46" s="81">
        <f t="shared" si="16"/>
        <v>-4.282051282051281</v>
      </c>
      <c r="BT46" s="81">
        <f t="shared" si="16"/>
        <v>-5.282051282051281</v>
      </c>
      <c r="BU46" s="81">
        <f t="shared" si="16"/>
        <v>-6.282051282051281</v>
      </c>
      <c r="BV46" s="81">
        <f t="shared" si="16"/>
        <v>-3.2820512820512828</v>
      </c>
      <c r="BW46" s="81">
        <f t="shared" si="16"/>
        <v>-2.2820512820512828</v>
      </c>
      <c r="BX46" s="81">
        <f t="shared" ref="BX46:CI46" si="17">SUM((0.5*$CJ46),BW6,-BX6)</f>
        <v>-2.2820512820512828</v>
      </c>
      <c r="BY46" s="81">
        <f t="shared" si="17"/>
        <v>-3.2820512820512828</v>
      </c>
      <c r="BZ46" s="81">
        <f t="shared" si="17"/>
        <v>-2.2820512820512819</v>
      </c>
      <c r="CA46" s="81">
        <f t="shared" si="17"/>
        <v>-1.2820512820512819</v>
      </c>
      <c r="CB46" s="81">
        <f t="shared" si="17"/>
        <v>-2.2820512820512819</v>
      </c>
      <c r="CC46" s="81">
        <f t="shared" si="17"/>
        <v>-1.2820512820512819</v>
      </c>
      <c r="CD46" s="81">
        <f t="shared" si="17"/>
        <v>-0.28205128205128205</v>
      </c>
      <c r="CE46" s="81">
        <f t="shared" si="17"/>
        <v>-1.2820512820512819</v>
      </c>
      <c r="CF46" s="81">
        <f t="shared" si="17"/>
        <v>-1.2820512820512819</v>
      </c>
      <c r="CG46" s="81">
        <f t="shared" si="17"/>
        <v>-0.28205128205128194</v>
      </c>
      <c r="CH46" s="81">
        <f t="shared" si="17"/>
        <v>1.7179487179487181</v>
      </c>
      <c r="CI46" s="81">
        <f t="shared" si="17"/>
        <v>0.71794871794871795</v>
      </c>
      <c r="CJ46" s="81">
        <f t="shared" si="5"/>
        <v>-0.5641025641025641</v>
      </c>
      <c r="CL46" s="74">
        <f t="shared" si="6"/>
        <v>38.64</v>
      </c>
      <c r="CR46" s="27"/>
    </row>
    <row r="47" spans="4:100" s="1" customFormat="1" ht="69.95" customHeight="1">
      <c r="D47" s="28">
        <v>49</v>
      </c>
      <c r="H47" s="4"/>
      <c r="I47" s="2"/>
      <c r="J47" s="81">
        <f t="shared" si="1"/>
        <v>-5.128205128205128E-2</v>
      </c>
      <c r="K47" s="81">
        <f t="shared" si="9"/>
        <v>-2.564102564102564E-2</v>
      </c>
      <c r="L47" s="81">
        <f t="shared" ref="L47:AQ47" si="18">SUM((0.5*$CJ47),K7,-L7)</f>
        <v>-2.564102564102564E-2</v>
      </c>
      <c r="M47" s="81">
        <f t="shared" si="18"/>
        <v>-2.0256410256410255</v>
      </c>
      <c r="N47" s="81">
        <f t="shared" si="18"/>
        <v>-2.564102564102555E-2</v>
      </c>
      <c r="O47" s="81">
        <f t="shared" si="18"/>
        <v>-2.564102564102555E-2</v>
      </c>
      <c r="P47" s="81">
        <f t="shared" si="18"/>
        <v>-1.0256410256410255</v>
      </c>
      <c r="Q47" s="81">
        <f t="shared" si="18"/>
        <v>-1.0256410256410255</v>
      </c>
      <c r="R47" s="81">
        <f t="shared" si="18"/>
        <v>-2.564102564102555E-2</v>
      </c>
      <c r="S47" s="81">
        <f t="shared" si="18"/>
        <v>-2.564102564102555E-2</v>
      </c>
      <c r="T47" s="81">
        <f t="shared" si="18"/>
        <v>-1.0256410256410255</v>
      </c>
      <c r="U47" s="81">
        <f t="shared" si="18"/>
        <v>-1.0256410256410255</v>
      </c>
      <c r="V47" s="81">
        <f t="shared" si="18"/>
        <v>-2.564102564102555E-2</v>
      </c>
      <c r="W47" s="81">
        <f t="shared" si="18"/>
        <v>-2.564102564102555E-2</v>
      </c>
      <c r="X47" s="81">
        <f t="shared" si="18"/>
        <v>-1.0256410256410255</v>
      </c>
      <c r="Y47" s="81">
        <f t="shared" si="18"/>
        <v>-2.564102564102555E-2</v>
      </c>
      <c r="Z47" s="81">
        <f t="shared" si="18"/>
        <v>-1.0256410256410255</v>
      </c>
      <c r="AA47" s="81">
        <f t="shared" si="18"/>
        <v>-2.564102564102555E-2</v>
      </c>
      <c r="AB47" s="81">
        <f t="shared" si="18"/>
        <v>-2.564102564102555E-2</v>
      </c>
      <c r="AC47" s="81">
        <f t="shared" si="18"/>
        <v>0.97435897435897445</v>
      </c>
      <c r="AD47" s="81">
        <f t="shared" si="18"/>
        <v>-2.564102564102555E-2</v>
      </c>
      <c r="AE47" s="81">
        <f t="shared" si="18"/>
        <v>-1.0256410256410255</v>
      </c>
      <c r="AF47" s="81">
        <f t="shared" si="18"/>
        <v>-2.564102564102555E-2</v>
      </c>
      <c r="AG47" s="81">
        <f t="shared" si="18"/>
        <v>-2.564102564102555E-2</v>
      </c>
      <c r="AH47" s="81">
        <f t="shared" si="18"/>
        <v>-2.564102564102555E-2</v>
      </c>
      <c r="AI47" s="81">
        <f t="shared" si="18"/>
        <v>-2.564102564102555E-2</v>
      </c>
      <c r="AJ47" s="81">
        <f t="shared" si="18"/>
        <v>-2.564102564102555E-2</v>
      </c>
      <c r="AK47" s="81">
        <f t="shared" si="18"/>
        <v>-2.564102564102555E-2</v>
      </c>
      <c r="AL47" s="81">
        <f t="shared" si="18"/>
        <v>0.97435897435897445</v>
      </c>
      <c r="AM47" s="81">
        <f t="shared" si="18"/>
        <v>-2.564102564102555E-2</v>
      </c>
      <c r="AN47" s="81">
        <f t="shared" si="18"/>
        <v>-2.564102564102555E-2</v>
      </c>
      <c r="AO47" s="81">
        <f t="shared" si="18"/>
        <v>0.97435897435897445</v>
      </c>
      <c r="AP47" s="81">
        <f t="shared" si="18"/>
        <v>-1.0256410256410255</v>
      </c>
      <c r="AQ47" s="81">
        <f t="shared" si="18"/>
        <v>-2.564102564102555E-2</v>
      </c>
      <c r="AR47" s="81">
        <f t="shared" ref="AR47:BW47" si="19">SUM((0.5*$CJ47),AQ7,-AR7)</f>
        <v>0.97435897435897445</v>
      </c>
      <c r="AS47" s="81">
        <f t="shared" si="19"/>
        <v>-2.564102564102555E-2</v>
      </c>
      <c r="AT47" s="81">
        <f t="shared" si="19"/>
        <v>-2.564102564102555E-2</v>
      </c>
      <c r="AU47" s="81">
        <f t="shared" si="19"/>
        <v>0.97435897435897445</v>
      </c>
      <c r="AV47" s="81">
        <f t="shared" si="19"/>
        <v>-2.564102564102555E-2</v>
      </c>
      <c r="AW47" s="81">
        <f t="shared" si="19"/>
        <v>-1.0256410256410255</v>
      </c>
      <c r="AX47" s="81">
        <f t="shared" si="19"/>
        <v>-2.564102564102555E-2</v>
      </c>
      <c r="AY47" s="81">
        <f t="shared" si="19"/>
        <v>-2.564102564102555E-2</v>
      </c>
      <c r="AZ47" s="81">
        <f t="shared" si="19"/>
        <v>0.97435897435897445</v>
      </c>
      <c r="BA47" s="81">
        <f t="shared" si="19"/>
        <v>-2.564102564102555E-2</v>
      </c>
      <c r="BB47" s="81">
        <f t="shared" si="19"/>
        <v>-2.564102564102555E-2</v>
      </c>
      <c r="BC47" s="81">
        <f t="shared" si="19"/>
        <v>-1.0256410256410255</v>
      </c>
      <c r="BD47" s="81">
        <f t="shared" si="19"/>
        <v>-2.564102564102555E-2</v>
      </c>
      <c r="BE47" s="81">
        <f t="shared" si="19"/>
        <v>-2.564102564102555E-2</v>
      </c>
      <c r="BF47" s="81">
        <f t="shared" si="19"/>
        <v>-2.564102564102555E-2</v>
      </c>
      <c r="BG47" s="81">
        <f t="shared" si="19"/>
        <v>-2.564102564102555E-2</v>
      </c>
      <c r="BH47" s="81">
        <f t="shared" si="19"/>
        <v>-1.0256410256410255</v>
      </c>
      <c r="BI47" s="81">
        <f t="shared" si="19"/>
        <v>-2.564102564102555E-2</v>
      </c>
      <c r="BJ47" s="81">
        <f t="shared" si="19"/>
        <v>-2.564102564102555E-2</v>
      </c>
      <c r="BK47" s="81">
        <f t="shared" si="19"/>
        <v>-2.564102564102555E-2</v>
      </c>
      <c r="BL47" s="81">
        <f t="shared" si="19"/>
        <v>-1.0256410256410255</v>
      </c>
      <c r="BM47" s="81">
        <f t="shared" si="19"/>
        <v>-2.564102564102555E-2</v>
      </c>
      <c r="BN47" s="81">
        <f t="shared" si="19"/>
        <v>-2.564102564102555E-2</v>
      </c>
      <c r="BO47" s="81">
        <f t="shared" si="19"/>
        <v>-2.564102564102555E-2</v>
      </c>
      <c r="BP47" s="81">
        <f t="shared" si="19"/>
        <v>-2.564102564102555E-2</v>
      </c>
      <c r="BQ47" s="81">
        <f t="shared" si="19"/>
        <v>0.97435897435897445</v>
      </c>
      <c r="BR47" s="81">
        <f t="shared" si="19"/>
        <v>-2.564102564102555E-2</v>
      </c>
      <c r="BS47" s="81">
        <f t="shared" si="19"/>
        <v>-1.0256410256410255</v>
      </c>
      <c r="BT47" s="81">
        <f t="shared" si="19"/>
        <v>-2.564102564102555E-2</v>
      </c>
      <c r="BU47" s="81">
        <f t="shared" si="19"/>
        <v>0.97435897435897445</v>
      </c>
      <c r="BV47" s="81">
        <f t="shared" si="19"/>
        <v>0.97435897435897445</v>
      </c>
      <c r="BW47" s="81">
        <f t="shared" si="19"/>
        <v>-2.564102564102555E-2</v>
      </c>
      <c r="BX47" s="81">
        <f t="shared" ref="BX47:CI47" si="20">SUM((0.5*$CJ47),BW7,-BX7)</f>
        <v>-2.564102564102555E-2</v>
      </c>
      <c r="BY47" s="81">
        <f t="shared" si="20"/>
        <v>-2.564102564102555E-2</v>
      </c>
      <c r="BZ47" s="81">
        <f t="shared" si="20"/>
        <v>0.97435897435897445</v>
      </c>
      <c r="CA47" s="81">
        <f t="shared" si="20"/>
        <v>0.97435897435897445</v>
      </c>
      <c r="CB47" s="81">
        <f t="shared" si="20"/>
        <v>0.97435897435897445</v>
      </c>
      <c r="CC47" s="81">
        <f t="shared" si="20"/>
        <v>0.97435897435897445</v>
      </c>
      <c r="CD47" s="81">
        <f t="shared" si="20"/>
        <v>0.97435897435897445</v>
      </c>
      <c r="CE47" s="81">
        <f t="shared" si="20"/>
        <v>-2.5641025641025661E-2</v>
      </c>
      <c r="CF47" s="81">
        <f t="shared" si="20"/>
        <v>0.97435897435897434</v>
      </c>
      <c r="CG47" s="81">
        <f t="shared" si="20"/>
        <v>-2.564102564102564E-2</v>
      </c>
      <c r="CH47" s="81">
        <f t="shared" si="20"/>
        <v>-2.564102564102564E-2</v>
      </c>
      <c r="CI47" s="81">
        <f t="shared" si="20"/>
        <v>-2.564102564102564E-2</v>
      </c>
      <c r="CJ47" s="81">
        <f t="shared" si="5"/>
        <v>-5.128205128205128E-2</v>
      </c>
      <c r="CL47" s="74">
        <f t="shared" si="6"/>
        <v>5.7200000000000006</v>
      </c>
      <c r="CR47" s="27"/>
    </row>
    <row r="48" spans="4:100" s="1" customFormat="1" ht="69.95" customHeight="1">
      <c r="D48" s="28">
        <v>47</v>
      </c>
      <c r="H48" s="4"/>
      <c r="I48" s="2"/>
      <c r="J48" s="81">
        <f t="shared" si="1"/>
        <v>-0.5641025641025641</v>
      </c>
      <c r="K48" s="81">
        <f>SUM((0.5*$CJ48),0)</f>
        <v>-0.28205128205128205</v>
      </c>
      <c r="L48" s="81">
        <f t="shared" ref="L48:BW48" si="21">SUM((0.5*$CJ48),K8,-L8)</f>
        <v>0.71794871794871795</v>
      </c>
      <c r="M48" s="81">
        <f t="shared" si="21"/>
        <v>-4.2820512820512819</v>
      </c>
      <c r="N48" s="81">
        <f t="shared" si="21"/>
        <v>-0.28205128205128194</v>
      </c>
      <c r="O48" s="81">
        <f t="shared" si="21"/>
        <v>0.71794871794871806</v>
      </c>
      <c r="P48" s="81">
        <f t="shared" si="21"/>
        <v>-0.28205128205128194</v>
      </c>
      <c r="Q48" s="81">
        <f t="shared" si="21"/>
        <v>-0.28205128205128194</v>
      </c>
      <c r="R48" s="81">
        <f t="shared" si="21"/>
        <v>-1.2820512820512819</v>
      </c>
      <c r="S48" s="81">
        <f t="shared" si="21"/>
        <v>-0.28205128205128194</v>
      </c>
      <c r="T48" s="81">
        <f t="shared" si="21"/>
        <v>-1.2820512820512819</v>
      </c>
      <c r="U48" s="81">
        <f t="shared" si="21"/>
        <v>-0.28205128205128194</v>
      </c>
      <c r="V48" s="81">
        <f t="shared" si="21"/>
        <v>-0.28205128205128194</v>
      </c>
      <c r="W48" s="81">
        <f t="shared" si="21"/>
        <v>-0.28205128205128194</v>
      </c>
      <c r="X48" s="81">
        <f t="shared" si="21"/>
        <v>-1.2820512820512819</v>
      </c>
      <c r="Y48" s="81">
        <f t="shared" si="21"/>
        <v>-0.28205128205128194</v>
      </c>
      <c r="Z48" s="81">
        <f t="shared" si="21"/>
        <v>-1.2820512820512819</v>
      </c>
      <c r="AA48" s="81">
        <f t="shared" si="21"/>
        <v>-0.28205128205128194</v>
      </c>
      <c r="AB48" s="81">
        <f t="shared" si="21"/>
        <v>0.71794871794871806</v>
      </c>
      <c r="AC48" s="81">
        <f t="shared" si="21"/>
        <v>0.71794871794871806</v>
      </c>
      <c r="AD48" s="81">
        <f t="shared" si="21"/>
        <v>-0.28205128205128194</v>
      </c>
      <c r="AE48" s="81">
        <f t="shared" si="21"/>
        <v>-0.28205128205128194</v>
      </c>
      <c r="AF48" s="81">
        <f t="shared" si="21"/>
        <v>-0.28205128205128194</v>
      </c>
      <c r="AG48" s="81">
        <f t="shared" si="21"/>
        <v>0.71794871794871806</v>
      </c>
      <c r="AH48" s="81">
        <f t="shared" si="21"/>
        <v>0.71794871794871806</v>
      </c>
      <c r="AI48" s="81">
        <f t="shared" si="21"/>
        <v>0.71794871794871806</v>
      </c>
      <c r="AJ48" s="81">
        <f t="shared" si="21"/>
        <v>-0.28205128205128205</v>
      </c>
      <c r="AK48" s="81">
        <f t="shared" si="21"/>
        <v>0.71794871794871795</v>
      </c>
      <c r="AL48" s="81">
        <f t="shared" si="21"/>
        <v>0.71794871794871795</v>
      </c>
      <c r="AM48" s="81">
        <f t="shared" si="21"/>
        <v>0.71794871794871806</v>
      </c>
      <c r="AN48" s="81">
        <f t="shared" si="21"/>
        <v>-0.28205128205128194</v>
      </c>
      <c r="AO48" s="81">
        <f t="shared" si="21"/>
        <v>0.71794871794871806</v>
      </c>
      <c r="AP48" s="81">
        <f t="shared" si="21"/>
        <v>-0.28205128205128194</v>
      </c>
      <c r="AQ48" s="81">
        <f t="shared" si="21"/>
        <v>0.71794871794871806</v>
      </c>
      <c r="AR48" s="81">
        <f t="shared" si="21"/>
        <v>-0.28205128205128194</v>
      </c>
      <c r="AS48" s="81">
        <f t="shared" si="21"/>
        <v>-0.28205128205128194</v>
      </c>
      <c r="AT48" s="81">
        <f t="shared" si="21"/>
        <v>0.71794871794871806</v>
      </c>
      <c r="AU48" s="81">
        <f t="shared" si="21"/>
        <v>0.71794871794871806</v>
      </c>
      <c r="AV48" s="81">
        <f t="shared" si="21"/>
        <v>-0.28205128205128194</v>
      </c>
      <c r="AW48" s="81">
        <f t="shared" si="21"/>
        <v>-0.28205128205128194</v>
      </c>
      <c r="AX48" s="81">
        <f t="shared" si="21"/>
        <v>-0.28205128205128194</v>
      </c>
      <c r="AY48" s="81">
        <f t="shared" si="21"/>
        <v>-0.28205128205128194</v>
      </c>
      <c r="AZ48" s="81">
        <f t="shared" si="21"/>
        <v>0.71794871794871806</v>
      </c>
      <c r="BA48" s="81">
        <f t="shared" si="21"/>
        <v>0.71794871794871806</v>
      </c>
      <c r="BB48" s="81">
        <f t="shared" si="21"/>
        <v>-0.28205128205128283</v>
      </c>
      <c r="BC48" s="81">
        <f t="shared" si="21"/>
        <v>-0.28205128205128283</v>
      </c>
      <c r="BD48" s="81">
        <f t="shared" si="21"/>
        <v>-0.28205128205128283</v>
      </c>
      <c r="BE48" s="81">
        <f t="shared" si="21"/>
        <v>-0.28205128205128283</v>
      </c>
      <c r="BF48" s="81">
        <f t="shared" si="21"/>
        <v>-0.28205128205128283</v>
      </c>
      <c r="BG48" s="81">
        <f t="shared" si="21"/>
        <v>-0.28205128205128283</v>
      </c>
      <c r="BH48" s="81">
        <f t="shared" si="21"/>
        <v>-1.2820512820512828</v>
      </c>
      <c r="BI48" s="81">
        <f t="shared" si="21"/>
        <v>-0.28205128205128194</v>
      </c>
      <c r="BJ48" s="81">
        <f t="shared" si="21"/>
        <v>-0.28205128205128194</v>
      </c>
      <c r="BK48" s="81">
        <f t="shared" si="21"/>
        <v>-0.28205128205128194</v>
      </c>
      <c r="BL48" s="81">
        <f t="shared" si="21"/>
        <v>-1.2820512820512819</v>
      </c>
      <c r="BM48" s="81">
        <f t="shared" si="21"/>
        <v>-0.28205128205128194</v>
      </c>
      <c r="BN48" s="81">
        <f t="shared" si="21"/>
        <v>-0.28205128205128194</v>
      </c>
      <c r="BO48" s="81">
        <f t="shared" si="21"/>
        <v>-0.28205128205128194</v>
      </c>
      <c r="BP48" s="81">
        <f t="shared" si="21"/>
        <v>-1.2820512820512819</v>
      </c>
      <c r="BQ48" s="81">
        <f t="shared" si="21"/>
        <v>-0.28205128205128194</v>
      </c>
      <c r="BR48" s="81">
        <f t="shared" si="21"/>
        <v>-1.2820512820512819</v>
      </c>
      <c r="BS48" s="81">
        <f t="shared" si="21"/>
        <v>-1.2820512820512819</v>
      </c>
      <c r="BT48" s="81">
        <f t="shared" si="21"/>
        <v>-0.28205128205128194</v>
      </c>
      <c r="BU48" s="81">
        <f t="shared" si="21"/>
        <v>-1.2820512820512819</v>
      </c>
      <c r="BV48" s="81">
        <f t="shared" si="21"/>
        <v>-0.28205128205128194</v>
      </c>
      <c r="BW48" s="81">
        <f t="shared" si="21"/>
        <v>-0.28205128205128194</v>
      </c>
      <c r="BX48" s="81">
        <f t="shared" ref="BX48:CI48" si="22">SUM((0.5*$CJ48),BW8,-BX8)</f>
        <v>-1.2820512820512819</v>
      </c>
      <c r="BY48" s="81">
        <f t="shared" si="22"/>
        <v>-0.28205128205128194</v>
      </c>
      <c r="BZ48" s="81">
        <f t="shared" si="22"/>
        <v>-0.28205128205128194</v>
      </c>
      <c r="CA48" s="81">
        <f t="shared" si="22"/>
        <v>-0.28205128205128194</v>
      </c>
      <c r="CB48" s="81">
        <f t="shared" si="22"/>
        <v>-0.28205128205128194</v>
      </c>
      <c r="CC48" s="81">
        <f t="shared" si="22"/>
        <v>-0.28205128205128194</v>
      </c>
      <c r="CD48" s="81">
        <f t="shared" si="22"/>
        <v>-0.28205128205128194</v>
      </c>
      <c r="CE48" s="81">
        <f t="shared" si="22"/>
        <v>-0.28205128205128194</v>
      </c>
      <c r="CF48" s="81">
        <f t="shared" si="22"/>
        <v>-0.28205128205128194</v>
      </c>
      <c r="CG48" s="81">
        <f t="shared" si="22"/>
        <v>-0.28205128205128194</v>
      </c>
      <c r="CH48" s="81">
        <f t="shared" si="22"/>
        <v>-1.2820512820512819</v>
      </c>
      <c r="CI48" s="81">
        <f t="shared" si="22"/>
        <v>-0.28205128205128205</v>
      </c>
      <c r="CJ48" s="81">
        <f t="shared" si="5"/>
        <v>-0.5641025641025641</v>
      </c>
      <c r="CL48" s="74">
        <f t="shared" si="6"/>
        <v>3.9200000000000004</v>
      </c>
      <c r="CR48" s="27"/>
    </row>
    <row r="49" spans="4:96" s="1" customFormat="1" ht="69.95" customHeight="1">
      <c r="D49" s="28">
        <v>45</v>
      </c>
      <c r="H49" s="4"/>
      <c r="I49" s="2"/>
      <c r="J49" s="81">
        <f t="shared" si="1"/>
        <v>0.15384615384615385</v>
      </c>
      <c r="K49" s="81">
        <f t="shared" si="9"/>
        <v>7.6923076923076927E-2</v>
      </c>
      <c r="L49" s="81">
        <f t="shared" ref="L49:AQ49" si="23">SUM((0.5*$CJ49),K9,-L9)</f>
        <v>1.0769230769230769</v>
      </c>
      <c r="M49" s="81">
        <f t="shared" si="23"/>
        <v>-1.9230769230769231</v>
      </c>
      <c r="N49" s="81">
        <f t="shared" si="23"/>
        <v>7.6923076923076872E-2</v>
      </c>
      <c r="O49" s="81">
        <f t="shared" si="23"/>
        <v>-0.92307692307692313</v>
      </c>
      <c r="P49" s="81">
        <f t="shared" si="23"/>
        <v>-0.92307692307692291</v>
      </c>
      <c r="Q49" s="81">
        <f t="shared" si="23"/>
        <v>-0.92307692307692291</v>
      </c>
      <c r="R49" s="81">
        <f t="shared" si="23"/>
        <v>-0.92307692307692335</v>
      </c>
      <c r="S49" s="81">
        <f t="shared" si="23"/>
        <v>-0.92307692307692335</v>
      </c>
      <c r="T49" s="81">
        <f t="shared" si="23"/>
        <v>-0.92307692307692335</v>
      </c>
      <c r="U49" s="81">
        <f t="shared" si="23"/>
        <v>-0.92307692307692335</v>
      </c>
      <c r="V49" s="81">
        <f t="shared" si="23"/>
        <v>7.692307692307665E-2</v>
      </c>
      <c r="W49" s="81">
        <f t="shared" si="23"/>
        <v>7.692307692307665E-2</v>
      </c>
      <c r="X49" s="81">
        <f t="shared" si="23"/>
        <v>7.692307692307665E-2</v>
      </c>
      <c r="Y49" s="81">
        <f t="shared" si="23"/>
        <v>-0.92307692307692335</v>
      </c>
      <c r="Z49" s="81">
        <f t="shared" si="23"/>
        <v>-0.92307692307692335</v>
      </c>
      <c r="AA49" s="81">
        <f t="shared" si="23"/>
        <v>7.692307692307665E-2</v>
      </c>
      <c r="AB49" s="81">
        <f t="shared" si="23"/>
        <v>1.0769230769230766</v>
      </c>
      <c r="AC49" s="81">
        <f t="shared" si="23"/>
        <v>7.692307692307665E-2</v>
      </c>
      <c r="AD49" s="81">
        <f t="shared" si="23"/>
        <v>7.692307692307665E-2</v>
      </c>
      <c r="AE49" s="81">
        <f t="shared" si="23"/>
        <v>7.692307692307665E-2</v>
      </c>
      <c r="AF49" s="81">
        <f t="shared" si="23"/>
        <v>7.692307692307665E-2</v>
      </c>
      <c r="AG49" s="81">
        <f t="shared" si="23"/>
        <v>1.0769230769230766</v>
      </c>
      <c r="AH49" s="81">
        <f t="shared" si="23"/>
        <v>7.692307692307665E-2</v>
      </c>
      <c r="AI49" s="81">
        <f t="shared" si="23"/>
        <v>7.692307692307665E-2</v>
      </c>
      <c r="AJ49" s="81">
        <f t="shared" si="23"/>
        <v>7.692307692307665E-2</v>
      </c>
      <c r="AK49" s="81">
        <f t="shared" si="23"/>
        <v>1.0769230769230766</v>
      </c>
      <c r="AL49" s="81">
        <f t="shared" si="23"/>
        <v>7.692307692307665E-2</v>
      </c>
      <c r="AM49" s="81">
        <f t="shared" si="23"/>
        <v>7.692307692307665E-2</v>
      </c>
      <c r="AN49" s="81">
        <f t="shared" si="23"/>
        <v>1.0769230769230766</v>
      </c>
      <c r="AO49" s="81">
        <f t="shared" si="23"/>
        <v>7.692307692307665E-2</v>
      </c>
      <c r="AP49" s="81">
        <f t="shared" si="23"/>
        <v>7.692307692307665E-2</v>
      </c>
      <c r="AQ49" s="81">
        <f t="shared" si="23"/>
        <v>7.692307692307665E-2</v>
      </c>
      <c r="AR49" s="81">
        <f t="shared" ref="AR49:BW49" si="24">SUM((0.5*$CJ49),AQ9,-AR9)</f>
        <v>7.692307692307665E-2</v>
      </c>
      <c r="AS49" s="81">
        <f t="shared" si="24"/>
        <v>7.692307692307665E-2</v>
      </c>
      <c r="AT49" s="81">
        <f t="shared" si="24"/>
        <v>7.692307692307665E-2</v>
      </c>
      <c r="AU49" s="81">
        <f t="shared" si="24"/>
        <v>1.0769230769230766</v>
      </c>
      <c r="AV49" s="81">
        <f t="shared" si="24"/>
        <v>7.692307692307665E-2</v>
      </c>
      <c r="AW49" s="81">
        <f t="shared" si="24"/>
        <v>-0.92307692307692335</v>
      </c>
      <c r="AX49" s="81">
        <f t="shared" si="24"/>
        <v>1.0769230769230766</v>
      </c>
      <c r="AY49" s="81">
        <f t="shared" si="24"/>
        <v>7.692307692307665E-2</v>
      </c>
      <c r="AZ49" s="81">
        <f t="shared" si="24"/>
        <v>7.692307692307665E-2</v>
      </c>
      <c r="BA49" s="81">
        <f t="shared" si="24"/>
        <v>7.692307692307665E-2</v>
      </c>
      <c r="BB49" s="81">
        <f t="shared" si="24"/>
        <v>7.692307692307665E-2</v>
      </c>
      <c r="BC49" s="81">
        <f t="shared" si="24"/>
        <v>7.692307692307665E-2</v>
      </c>
      <c r="BD49" s="81">
        <f t="shared" si="24"/>
        <v>7.692307692307665E-2</v>
      </c>
      <c r="BE49" s="81">
        <f t="shared" si="24"/>
        <v>7.692307692307665E-2</v>
      </c>
      <c r="BF49" s="81">
        <f t="shared" si="24"/>
        <v>7.692307692307665E-2</v>
      </c>
      <c r="BG49" s="81">
        <f t="shared" si="24"/>
        <v>7.692307692307665E-2</v>
      </c>
      <c r="BH49" s="81">
        <f t="shared" si="24"/>
        <v>7.692307692307665E-2</v>
      </c>
      <c r="BI49" s="81">
        <f t="shared" si="24"/>
        <v>7.692307692307665E-2</v>
      </c>
      <c r="BJ49" s="81">
        <f t="shared" si="24"/>
        <v>7.692307692307665E-2</v>
      </c>
      <c r="BK49" s="81">
        <f t="shared" si="24"/>
        <v>7.692307692307665E-2</v>
      </c>
      <c r="BL49" s="81">
        <f t="shared" si="24"/>
        <v>7.692307692307665E-2</v>
      </c>
      <c r="BM49" s="81">
        <f t="shared" si="24"/>
        <v>7.692307692307665E-2</v>
      </c>
      <c r="BN49" s="81">
        <f t="shared" si="24"/>
        <v>7.692307692307665E-2</v>
      </c>
      <c r="BO49" s="81">
        <f t="shared" si="24"/>
        <v>7.692307692307665E-2</v>
      </c>
      <c r="BP49" s="81">
        <f t="shared" si="24"/>
        <v>7.692307692307665E-2</v>
      </c>
      <c r="BQ49" s="81">
        <f t="shared" si="24"/>
        <v>1.0769230769230766</v>
      </c>
      <c r="BR49" s="81">
        <f t="shared" si="24"/>
        <v>7.692307692307665E-2</v>
      </c>
      <c r="BS49" s="81">
        <f t="shared" si="24"/>
        <v>-0.92307692307692335</v>
      </c>
      <c r="BT49" s="81">
        <f t="shared" si="24"/>
        <v>7.692307692307665E-2</v>
      </c>
      <c r="BU49" s="81">
        <f t="shared" si="24"/>
        <v>7.692307692307665E-2</v>
      </c>
      <c r="BV49" s="81">
        <f t="shared" si="24"/>
        <v>1.0769230769230766</v>
      </c>
      <c r="BW49" s="81">
        <f t="shared" si="24"/>
        <v>1.0769230769230766</v>
      </c>
      <c r="BX49" s="81">
        <f t="shared" ref="BX49:CI49" si="25">SUM((0.5*$CJ49),BW9,-BX9)</f>
        <v>7.6923076923077094E-2</v>
      </c>
      <c r="BY49" s="81">
        <f t="shared" si="25"/>
        <v>7.6923076923077094E-2</v>
      </c>
      <c r="BZ49" s="81">
        <f t="shared" si="25"/>
        <v>1.0769230769230771</v>
      </c>
      <c r="CA49" s="81">
        <f t="shared" si="25"/>
        <v>7.6923076923077094E-2</v>
      </c>
      <c r="CB49" s="81">
        <f t="shared" si="25"/>
        <v>7.6923076923077094E-2</v>
      </c>
      <c r="CC49" s="81">
        <f t="shared" si="25"/>
        <v>1.0769230769230771</v>
      </c>
      <c r="CD49" s="81">
        <f t="shared" si="25"/>
        <v>7.6923076923076872E-2</v>
      </c>
      <c r="CE49" s="81">
        <f t="shared" si="25"/>
        <v>1.0769230769230769</v>
      </c>
      <c r="CF49" s="81">
        <f t="shared" si="25"/>
        <v>7.6923076923076927E-2</v>
      </c>
      <c r="CG49" s="81">
        <f t="shared" si="25"/>
        <v>1.0769230769230769</v>
      </c>
      <c r="CH49" s="81">
        <f t="shared" si="25"/>
        <v>7.6923076923076872E-2</v>
      </c>
      <c r="CI49" s="81">
        <f t="shared" si="25"/>
        <v>-0.92307692307692313</v>
      </c>
      <c r="CJ49" s="81">
        <f t="shared" si="5"/>
        <v>0.15384615384615385</v>
      </c>
      <c r="CL49" s="74">
        <f t="shared" si="6"/>
        <v>5.1733333333333338</v>
      </c>
      <c r="CR49" s="27"/>
    </row>
    <row r="50" spans="4:96" s="1" customFormat="1" ht="69.95" customHeight="1">
      <c r="D50" s="28">
        <v>43</v>
      </c>
      <c r="H50" s="4"/>
      <c r="I50" s="2"/>
      <c r="J50" s="81">
        <f t="shared" si="1"/>
        <v>-0.5641025641025641</v>
      </c>
      <c r="K50" s="81">
        <f>SUM((0.5*$CJ50),0)</f>
        <v>-0.28205128205128205</v>
      </c>
      <c r="L50" s="81">
        <f t="shared" ref="L50:BW50" si="26">SUM((0.5*$CJ50),K10,-L10)</f>
        <v>-0.28205128205128205</v>
      </c>
      <c r="M50" s="81">
        <f t="shared" si="26"/>
        <v>-0.28205128205128205</v>
      </c>
      <c r="N50" s="81">
        <f t="shared" si="26"/>
        <v>2.7179487179487181</v>
      </c>
      <c r="O50" s="81">
        <f t="shared" si="26"/>
        <v>4.7179487179487181</v>
      </c>
      <c r="P50" s="81">
        <f t="shared" si="26"/>
        <v>3.7179487179487172</v>
      </c>
      <c r="Q50" s="81">
        <f t="shared" si="26"/>
        <v>11.717948717948717</v>
      </c>
      <c r="R50" s="81">
        <f t="shared" si="26"/>
        <v>3.717948717948719</v>
      </c>
      <c r="S50" s="81">
        <f t="shared" si="26"/>
        <v>6.717948717948719</v>
      </c>
      <c r="T50" s="81">
        <f t="shared" si="26"/>
        <v>4.7179487179487154</v>
      </c>
      <c r="U50" s="81">
        <f t="shared" si="26"/>
        <v>7.7179487179487154</v>
      </c>
      <c r="V50" s="81">
        <f t="shared" si="26"/>
        <v>1.7179487179487154</v>
      </c>
      <c r="W50" s="81">
        <f t="shared" si="26"/>
        <v>5.7179487179487154</v>
      </c>
      <c r="X50" s="81">
        <f t="shared" si="26"/>
        <v>3.7179487179487154</v>
      </c>
      <c r="Y50" s="81">
        <f t="shared" si="26"/>
        <v>2.7179487179487154</v>
      </c>
      <c r="Z50" s="81">
        <f t="shared" si="26"/>
        <v>1.7179487179487154</v>
      </c>
      <c r="AA50" s="81">
        <f t="shared" si="26"/>
        <v>3.7179487179487154</v>
      </c>
      <c r="AB50" s="81">
        <f t="shared" si="26"/>
        <v>2.7179487179487154</v>
      </c>
      <c r="AC50" s="81">
        <f t="shared" si="26"/>
        <v>5.7179487179487154</v>
      </c>
      <c r="AD50" s="81">
        <f t="shared" si="26"/>
        <v>1.7179487179487154</v>
      </c>
      <c r="AE50" s="81">
        <f t="shared" si="26"/>
        <v>0.7179487179487154</v>
      </c>
      <c r="AF50" s="81">
        <f t="shared" si="26"/>
        <v>2.7179487179487154</v>
      </c>
      <c r="AG50" s="81">
        <f t="shared" si="26"/>
        <v>2.7179487179487154</v>
      </c>
      <c r="AH50" s="81">
        <f t="shared" si="26"/>
        <v>2.7179487179487154</v>
      </c>
      <c r="AI50" s="81">
        <f t="shared" si="26"/>
        <v>2.7179487179487154</v>
      </c>
      <c r="AJ50" s="81">
        <f t="shared" si="26"/>
        <v>0.7179487179487154</v>
      </c>
      <c r="AK50" s="81">
        <f t="shared" si="26"/>
        <v>0.7179487179487154</v>
      </c>
      <c r="AL50" s="81">
        <f t="shared" si="26"/>
        <v>0.7179487179487154</v>
      </c>
      <c r="AM50" s="81">
        <f t="shared" si="26"/>
        <v>2.7179487179487154</v>
      </c>
      <c r="AN50" s="81">
        <f t="shared" si="26"/>
        <v>0.7179487179487154</v>
      </c>
      <c r="AO50" s="81">
        <f t="shared" si="26"/>
        <v>1.7179487179487154</v>
      </c>
      <c r="AP50" s="81">
        <f t="shared" si="26"/>
        <v>-0.2820512820512846</v>
      </c>
      <c r="AQ50" s="81">
        <f t="shared" si="26"/>
        <v>-0.2820512820512846</v>
      </c>
      <c r="AR50" s="81">
        <f t="shared" si="26"/>
        <v>0.7179487179487154</v>
      </c>
      <c r="AS50" s="81">
        <f t="shared" si="26"/>
        <v>0.7179487179487154</v>
      </c>
      <c r="AT50" s="81">
        <f t="shared" si="26"/>
        <v>-0.2820512820512846</v>
      </c>
      <c r="AU50" s="81">
        <f t="shared" si="26"/>
        <v>-0.2820512820512846</v>
      </c>
      <c r="AV50" s="81">
        <f t="shared" si="26"/>
        <v>-1.2820512820512846</v>
      </c>
      <c r="AW50" s="81">
        <f t="shared" si="26"/>
        <v>-0.2820512820512846</v>
      </c>
      <c r="AX50" s="81">
        <f t="shared" si="26"/>
        <v>-1.2820512820512846</v>
      </c>
      <c r="AY50" s="81">
        <f t="shared" si="26"/>
        <v>-1.2820512820512846</v>
      </c>
      <c r="AZ50" s="81">
        <f t="shared" si="26"/>
        <v>-1.2820512820512846</v>
      </c>
      <c r="BA50" s="81">
        <f t="shared" si="26"/>
        <v>-1.2820512820512846</v>
      </c>
      <c r="BB50" s="81">
        <f t="shared" si="26"/>
        <v>-3.2820512820512846</v>
      </c>
      <c r="BC50" s="81">
        <f t="shared" si="26"/>
        <v>-2.2820512820512846</v>
      </c>
      <c r="BD50" s="81">
        <f t="shared" si="26"/>
        <v>-2.2820512820512846</v>
      </c>
      <c r="BE50" s="81">
        <f t="shared" si="26"/>
        <v>-2.2820512820512846</v>
      </c>
      <c r="BF50" s="81">
        <f t="shared" si="26"/>
        <v>-2.2820512820512846</v>
      </c>
      <c r="BG50" s="81">
        <f t="shared" si="26"/>
        <v>-2.2820512820512846</v>
      </c>
      <c r="BH50" s="81">
        <f t="shared" si="26"/>
        <v>-3.2820512820512846</v>
      </c>
      <c r="BI50" s="81">
        <f t="shared" si="26"/>
        <v>-1.2820512820512846</v>
      </c>
      <c r="BJ50" s="81">
        <f t="shared" si="26"/>
        <v>-2.2820512820512846</v>
      </c>
      <c r="BK50" s="81">
        <f t="shared" si="26"/>
        <v>-2.2820512820512846</v>
      </c>
      <c r="BL50" s="81">
        <f t="shared" si="26"/>
        <v>-2.2820512820512846</v>
      </c>
      <c r="BM50" s="81">
        <f t="shared" si="26"/>
        <v>-2.2820512820512846</v>
      </c>
      <c r="BN50" s="81">
        <f t="shared" si="26"/>
        <v>-3.2820512820512846</v>
      </c>
      <c r="BO50" s="81">
        <f t="shared" si="26"/>
        <v>-2.2820512820512846</v>
      </c>
      <c r="BP50" s="81">
        <f t="shared" si="26"/>
        <v>-4.2820512820512846</v>
      </c>
      <c r="BQ50" s="81">
        <f t="shared" si="26"/>
        <v>-5.2820512820512846</v>
      </c>
      <c r="BR50" s="81">
        <f t="shared" si="26"/>
        <v>-6.2820512820512846</v>
      </c>
      <c r="BS50" s="81">
        <f t="shared" si="26"/>
        <v>-6.2820512820512846</v>
      </c>
      <c r="BT50" s="81">
        <f t="shared" si="26"/>
        <v>-6.2820512820512846</v>
      </c>
      <c r="BU50" s="81">
        <f t="shared" si="26"/>
        <v>-5.2820512820512846</v>
      </c>
      <c r="BV50" s="81">
        <f t="shared" si="26"/>
        <v>-5.2820512820512846</v>
      </c>
      <c r="BW50" s="81">
        <f t="shared" si="26"/>
        <v>-3.2820512820512846</v>
      </c>
      <c r="BX50" s="81">
        <f t="shared" ref="BX50:CI50" si="27">SUM((0.5*$CJ50),BW10,-BX10)</f>
        <v>-4.282051282051281</v>
      </c>
      <c r="BY50" s="81">
        <f t="shared" si="27"/>
        <v>-6.282051282051281</v>
      </c>
      <c r="BZ50" s="81">
        <f t="shared" si="27"/>
        <v>-4.282051282051281</v>
      </c>
      <c r="CA50" s="81">
        <f t="shared" si="27"/>
        <v>-4.2820512820512828</v>
      </c>
      <c r="CB50" s="81">
        <f t="shared" si="27"/>
        <v>-3.2820512820512828</v>
      </c>
      <c r="CC50" s="81">
        <f t="shared" si="27"/>
        <v>-5.2820512820512828</v>
      </c>
      <c r="CD50" s="81">
        <f t="shared" si="27"/>
        <v>-3.2820512820512819</v>
      </c>
      <c r="CE50" s="81">
        <f t="shared" si="27"/>
        <v>-3.2820512820512819</v>
      </c>
      <c r="CF50" s="81">
        <f t="shared" si="27"/>
        <v>-2.2820512820512819</v>
      </c>
      <c r="CG50" s="81">
        <f t="shared" si="27"/>
        <v>-2.2820512820512819</v>
      </c>
      <c r="CH50" s="81">
        <f t="shared" si="27"/>
        <v>3.7179487179487181</v>
      </c>
      <c r="CI50" s="81">
        <f t="shared" si="27"/>
        <v>2.7179487179487181</v>
      </c>
      <c r="CJ50" s="81">
        <f t="shared" si="5"/>
        <v>-0.5641025641025641</v>
      </c>
      <c r="CL50" s="74">
        <f t="shared" si="6"/>
        <v>62.186666666666667</v>
      </c>
      <c r="CR50" s="27"/>
    </row>
    <row r="51" spans="4:96" s="1" customFormat="1" ht="69.95" customHeight="1">
      <c r="D51" s="28">
        <v>41</v>
      </c>
      <c r="H51" s="4"/>
      <c r="I51" s="2"/>
      <c r="J51" s="81">
        <f t="shared" si="1"/>
        <v>5.128205128205128E-2</v>
      </c>
      <c r="K51" s="81">
        <f t="shared" si="9"/>
        <v>2.564102564102564E-2</v>
      </c>
      <c r="L51" s="81">
        <f t="shared" ref="L51:AQ51" si="28">SUM((0.5*$CJ51),K11,-L11)</f>
        <v>1.0256410256410255</v>
      </c>
      <c r="M51" s="81">
        <f t="shared" si="28"/>
        <v>-2.9743589743589745</v>
      </c>
      <c r="N51" s="81">
        <f t="shared" si="28"/>
        <v>2.564102564102555E-2</v>
      </c>
      <c r="O51" s="81">
        <f t="shared" si="28"/>
        <v>2.564102564102555E-2</v>
      </c>
      <c r="P51" s="81">
        <f t="shared" si="28"/>
        <v>-0.97435897435897445</v>
      </c>
      <c r="Q51" s="81">
        <f t="shared" si="28"/>
        <v>-0.97435897435897445</v>
      </c>
      <c r="R51" s="81">
        <f t="shared" si="28"/>
        <v>-0.97435897435897445</v>
      </c>
      <c r="S51" s="81">
        <f t="shared" si="28"/>
        <v>-0.97435897435897445</v>
      </c>
      <c r="T51" s="81">
        <f t="shared" si="28"/>
        <v>-0.97435897435897445</v>
      </c>
      <c r="U51" s="81">
        <f t="shared" si="28"/>
        <v>-0.97435897435897445</v>
      </c>
      <c r="V51" s="81">
        <f t="shared" si="28"/>
        <v>2.564102564102555E-2</v>
      </c>
      <c r="W51" s="81">
        <f t="shared" si="28"/>
        <v>1.0256410256410255</v>
      </c>
      <c r="X51" s="81">
        <f t="shared" si="28"/>
        <v>-0.97435897435897445</v>
      </c>
      <c r="Y51" s="81">
        <f t="shared" si="28"/>
        <v>2.564102564102555E-2</v>
      </c>
      <c r="Z51" s="81">
        <f t="shared" si="28"/>
        <v>2.564102564102555E-2</v>
      </c>
      <c r="AA51" s="81">
        <f t="shared" si="28"/>
        <v>2.564102564102555E-2</v>
      </c>
      <c r="AB51" s="81">
        <f t="shared" si="28"/>
        <v>1.0256410256410255</v>
      </c>
      <c r="AC51" s="81">
        <f t="shared" si="28"/>
        <v>1.0256410256410255</v>
      </c>
      <c r="AD51" s="81">
        <f t="shared" si="28"/>
        <v>1.0256410256410255</v>
      </c>
      <c r="AE51" s="81">
        <f t="shared" si="28"/>
        <v>2.564102564102555E-2</v>
      </c>
      <c r="AF51" s="81">
        <f t="shared" si="28"/>
        <v>2.564102564102555E-2</v>
      </c>
      <c r="AG51" s="81">
        <f t="shared" si="28"/>
        <v>1.0256410256410255</v>
      </c>
      <c r="AH51" s="81">
        <f t="shared" si="28"/>
        <v>2.564102564102555E-2</v>
      </c>
      <c r="AI51" s="81">
        <f t="shared" si="28"/>
        <v>1.0256410256410255</v>
      </c>
      <c r="AJ51" s="81">
        <f t="shared" si="28"/>
        <v>2.564102564102555E-2</v>
      </c>
      <c r="AK51" s="81">
        <f t="shared" si="28"/>
        <v>2.564102564102555E-2</v>
      </c>
      <c r="AL51" s="81">
        <f t="shared" si="28"/>
        <v>2.564102564102555E-2</v>
      </c>
      <c r="AM51" s="81">
        <f t="shared" si="28"/>
        <v>2.564102564102555E-2</v>
      </c>
      <c r="AN51" s="81">
        <f t="shared" si="28"/>
        <v>2.564102564102555E-2</v>
      </c>
      <c r="AO51" s="81">
        <f t="shared" si="28"/>
        <v>2.564102564102555E-2</v>
      </c>
      <c r="AP51" s="81">
        <f t="shared" si="28"/>
        <v>2.564102564102555E-2</v>
      </c>
      <c r="AQ51" s="81">
        <f t="shared" si="28"/>
        <v>2.564102564102555E-2</v>
      </c>
      <c r="AR51" s="81">
        <f t="shared" ref="AR51:BW51" si="29">SUM((0.5*$CJ51),AQ11,-AR11)</f>
        <v>2.564102564102555E-2</v>
      </c>
      <c r="AS51" s="81">
        <f t="shared" si="29"/>
        <v>2.564102564102555E-2</v>
      </c>
      <c r="AT51" s="81">
        <f t="shared" si="29"/>
        <v>2.564102564102555E-2</v>
      </c>
      <c r="AU51" s="81">
        <f t="shared" si="29"/>
        <v>2.564102564102555E-2</v>
      </c>
      <c r="AV51" s="81">
        <f t="shared" si="29"/>
        <v>2.564102564102555E-2</v>
      </c>
      <c r="AW51" s="81">
        <f t="shared" si="29"/>
        <v>2.564102564102555E-2</v>
      </c>
      <c r="AX51" s="81">
        <f t="shared" si="29"/>
        <v>2.564102564102555E-2</v>
      </c>
      <c r="AY51" s="81">
        <f t="shared" si="29"/>
        <v>2.564102564102555E-2</v>
      </c>
      <c r="AZ51" s="81">
        <f t="shared" si="29"/>
        <v>2.564102564102555E-2</v>
      </c>
      <c r="BA51" s="81">
        <f t="shared" si="29"/>
        <v>1.0256410256410255</v>
      </c>
      <c r="BB51" s="81">
        <f t="shared" si="29"/>
        <v>2.564102564102555E-2</v>
      </c>
      <c r="BC51" s="81">
        <f t="shared" si="29"/>
        <v>1.0256410256410255</v>
      </c>
      <c r="BD51" s="81">
        <f t="shared" si="29"/>
        <v>2.564102564102555E-2</v>
      </c>
      <c r="BE51" s="81">
        <f t="shared" si="29"/>
        <v>2.564102564102555E-2</v>
      </c>
      <c r="BF51" s="81">
        <f t="shared" si="29"/>
        <v>2.564102564102555E-2</v>
      </c>
      <c r="BG51" s="81">
        <f t="shared" si="29"/>
        <v>2.564102564102555E-2</v>
      </c>
      <c r="BH51" s="81">
        <f t="shared" si="29"/>
        <v>2.564102564102555E-2</v>
      </c>
      <c r="BI51" s="81">
        <f t="shared" si="29"/>
        <v>1.0256410256410255</v>
      </c>
      <c r="BJ51" s="81">
        <f t="shared" si="29"/>
        <v>2.564102564102564E-2</v>
      </c>
      <c r="BK51" s="81">
        <f t="shared" si="29"/>
        <v>2.564102564102564E-2</v>
      </c>
      <c r="BL51" s="81">
        <f t="shared" si="29"/>
        <v>-0.97435897435897434</v>
      </c>
      <c r="BM51" s="81">
        <f t="shared" si="29"/>
        <v>2.564102564102555E-2</v>
      </c>
      <c r="BN51" s="81">
        <f t="shared" si="29"/>
        <v>2.564102564102555E-2</v>
      </c>
      <c r="BO51" s="81">
        <f t="shared" si="29"/>
        <v>2.564102564102555E-2</v>
      </c>
      <c r="BP51" s="81">
        <f t="shared" si="29"/>
        <v>2.564102564102555E-2</v>
      </c>
      <c r="BQ51" s="81">
        <f t="shared" si="29"/>
        <v>1.0256410256410255</v>
      </c>
      <c r="BR51" s="81">
        <f t="shared" si="29"/>
        <v>-0.97435897435897434</v>
      </c>
      <c r="BS51" s="81">
        <f t="shared" si="29"/>
        <v>2.564102564102555E-2</v>
      </c>
      <c r="BT51" s="81">
        <f t="shared" si="29"/>
        <v>2.564102564102555E-2</v>
      </c>
      <c r="BU51" s="81">
        <f t="shared" si="29"/>
        <v>2.564102564102555E-2</v>
      </c>
      <c r="BV51" s="81">
        <f t="shared" si="29"/>
        <v>2.564102564102555E-2</v>
      </c>
      <c r="BW51" s="81">
        <f t="shared" si="29"/>
        <v>1.0256410256410255</v>
      </c>
      <c r="BX51" s="81">
        <f t="shared" ref="BX51:CI51" si="30">SUM((0.5*$CJ51),BW11,-BX11)</f>
        <v>2.564102564102564E-2</v>
      </c>
      <c r="BY51" s="81">
        <f t="shared" si="30"/>
        <v>2.564102564102564E-2</v>
      </c>
      <c r="BZ51" s="81">
        <f t="shared" si="30"/>
        <v>2.564102564102564E-2</v>
      </c>
      <c r="CA51" s="81">
        <f t="shared" si="30"/>
        <v>1.0256410256410255</v>
      </c>
      <c r="CB51" s="81">
        <f t="shared" si="30"/>
        <v>2.5641025641025661E-2</v>
      </c>
      <c r="CC51" s="81">
        <f t="shared" si="30"/>
        <v>1.0256410256410255</v>
      </c>
      <c r="CD51" s="81">
        <f t="shared" si="30"/>
        <v>2.564102564102555E-2</v>
      </c>
      <c r="CE51" s="81">
        <f t="shared" si="30"/>
        <v>2.564102564102555E-2</v>
      </c>
      <c r="CF51" s="81">
        <f t="shared" si="30"/>
        <v>-0.97435897435897445</v>
      </c>
      <c r="CG51" s="81">
        <f t="shared" si="30"/>
        <v>1.0256410256410255</v>
      </c>
      <c r="CH51" s="81">
        <f t="shared" si="30"/>
        <v>-0.97435897435897445</v>
      </c>
      <c r="CI51" s="81">
        <f t="shared" si="30"/>
        <v>-0.97435897435897434</v>
      </c>
      <c r="CJ51" s="81">
        <f t="shared" si="5"/>
        <v>5.128205128205128E-2</v>
      </c>
      <c r="CL51" s="74">
        <f t="shared" si="6"/>
        <v>2.7866666666666666</v>
      </c>
      <c r="CR51" s="27"/>
    </row>
    <row r="52" spans="4:96" s="1" customFormat="1" ht="69.95" customHeight="1">
      <c r="D52" s="28">
        <v>39</v>
      </c>
      <c r="H52" s="4"/>
      <c r="I52" s="2"/>
      <c r="J52" s="81">
        <f t="shared" si="1"/>
        <v>-2.564102564102564E-2</v>
      </c>
      <c r="K52" s="81">
        <f t="shared" si="9"/>
        <v>-1.282051282051282E-2</v>
      </c>
      <c r="L52" s="81">
        <f t="shared" ref="L52:AQ52" si="31">SUM((0.5*$CJ52),K12,-L12)</f>
        <v>-1.282051282051282E-2</v>
      </c>
      <c r="M52" s="81">
        <f t="shared" si="31"/>
        <v>-2.0128205128205128</v>
      </c>
      <c r="N52" s="81">
        <f t="shared" si="31"/>
        <v>-1.0128205128205128</v>
      </c>
      <c r="O52" s="81">
        <f t="shared" si="31"/>
        <v>-1.2820512820512775E-2</v>
      </c>
      <c r="P52" s="81">
        <f t="shared" si="31"/>
        <v>-1.2820512820512775E-2</v>
      </c>
      <c r="Q52" s="81">
        <f t="shared" si="31"/>
        <v>-1.2820512820512775E-2</v>
      </c>
      <c r="R52" s="81">
        <f t="shared" si="31"/>
        <v>-1.2820512820512775E-2</v>
      </c>
      <c r="S52" s="81">
        <f t="shared" si="31"/>
        <v>-1.2820512820512775E-2</v>
      </c>
      <c r="T52" s="81">
        <f t="shared" si="31"/>
        <v>-1.0128205128205128</v>
      </c>
      <c r="U52" s="81">
        <f t="shared" si="31"/>
        <v>-1.0128205128205128</v>
      </c>
      <c r="V52" s="81">
        <f t="shared" si="31"/>
        <v>-1.2820512820512775E-2</v>
      </c>
      <c r="W52" s="81">
        <f t="shared" si="31"/>
        <v>-1.2820512820512775E-2</v>
      </c>
      <c r="X52" s="81">
        <f t="shared" si="31"/>
        <v>-1.2820512820512775E-2</v>
      </c>
      <c r="Y52" s="81">
        <f t="shared" si="31"/>
        <v>-1.2820512820512775E-2</v>
      </c>
      <c r="Z52" s="81">
        <f t="shared" si="31"/>
        <v>-1.2820512820512775E-2</v>
      </c>
      <c r="AA52" s="81">
        <f t="shared" si="31"/>
        <v>-1.0128205128205128</v>
      </c>
      <c r="AB52" s="81">
        <f t="shared" si="31"/>
        <v>1.9871794871794872</v>
      </c>
      <c r="AC52" s="81">
        <f t="shared" si="31"/>
        <v>0.98717948717948723</v>
      </c>
      <c r="AD52" s="81">
        <f t="shared" si="31"/>
        <v>0.98717948717948723</v>
      </c>
      <c r="AE52" s="81">
        <f t="shared" si="31"/>
        <v>0.98717948717948723</v>
      </c>
      <c r="AF52" s="81">
        <f t="shared" si="31"/>
        <v>-1.2820512820512775E-2</v>
      </c>
      <c r="AG52" s="81">
        <f t="shared" si="31"/>
        <v>-1.2820512820512775E-2</v>
      </c>
      <c r="AH52" s="81">
        <f t="shared" si="31"/>
        <v>-1.2820512820512775E-2</v>
      </c>
      <c r="AI52" s="81">
        <f t="shared" si="31"/>
        <v>-1.2820512820512775E-2</v>
      </c>
      <c r="AJ52" s="81">
        <f t="shared" si="31"/>
        <v>-1.2820512820512775E-2</v>
      </c>
      <c r="AK52" s="81">
        <f t="shared" si="31"/>
        <v>0.98717948717948723</v>
      </c>
      <c r="AL52" s="81">
        <f t="shared" si="31"/>
        <v>-1.282051282051282E-2</v>
      </c>
      <c r="AM52" s="81">
        <f t="shared" si="31"/>
        <v>-1.0128205128205128</v>
      </c>
      <c r="AN52" s="81">
        <f t="shared" si="31"/>
        <v>-1.0128205128205128</v>
      </c>
      <c r="AO52" s="81">
        <f t="shared" si="31"/>
        <v>-1.0128205128205128</v>
      </c>
      <c r="AP52" s="81">
        <f t="shared" si="31"/>
        <v>-1.0128205128205128</v>
      </c>
      <c r="AQ52" s="81">
        <f t="shared" si="31"/>
        <v>-1.0128205128205128</v>
      </c>
      <c r="AR52" s="81">
        <f t="shared" ref="AR52:BW52" si="32">SUM((0.5*$CJ52),AQ12,-AR12)</f>
        <v>-1.2820512820512775E-2</v>
      </c>
      <c r="AS52" s="81">
        <f t="shared" si="32"/>
        <v>-1.0128205128205128</v>
      </c>
      <c r="AT52" s="81">
        <f t="shared" si="32"/>
        <v>-1.2820512820512775E-2</v>
      </c>
      <c r="AU52" s="81">
        <f t="shared" si="32"/>
        <v>-1.2820512820512775E-2</v>
      </c>
      <c r="AV52" s="81">
        <f t="shared" si="32"/>
        <v>-1.2820512820512775E-2</v>
      </c>
      <c r="AW52" s="81">
        <f t="shared" si="32"/>
        <v>-1.0128205128205128</v>
      </c>
      <c r="AX52" s="81">
        <f t="shared" si="32"/>
        <v>0.98717948717948723</v>
      </c>
      <c r="AY52" s="81">
        <f t="shared" si="32"/>
        <v>-1.2820512820512775E-2</v>
      </c>
      <c r="AZ52" s="81">
        <f t="shared" si="32"/>
        <v>0.98717948717948723</v>
      </c>
      <c r="BA52" s="81">
        <f t="shared" si="32"/>
        <v>-1.2820512820512775E-2</v>
      </c>
      <c r="BB52" s="81">
        <f t="shared" si="32"/>
        <v>0.98717948717948723</v>
      </c>
      <c r="BC52" s="81">
        <f t="shared" si="32"/>
        <v>-1.2820512820512775E-2</v>
      </c>
      <c r="BD52" s="81">
        <f t="shared" si="32"/>
        <v>0.98717948717948723</v>
      </c>
      <c r="BE52" s="81">
        <f t="shared" si="32"/>
        <v>-1.2820512820512775E-2</v>
      </c>
      <c r="BF52" s="81">
        <f t="shared" si="32"/>
        <v>-1.2820512820512775E-2</v>
      </c>
      <c r="BG52" s="81">
        <f t="shared" si="32"/>
        <v>-1.2820512820512775E-2</v>
      </c>
      <c r="BH52" s="81">
        <f t="shared" si="32"/>
        <v>-1.2820512820512775E-2</v>
      </c>
      <c r="BI52" s="81">
        <f t="shared" si="32"/>
        <v>-1.2820512820512775E-2</v>
      </c>
      <c r="BJ52" s="81">
        <f t="shared" si="32"/>
        <v>-1.0128205128205128</v>
      </c>
      <c r="BK52" s="81">
        <f t="shared" si="32"/>
        <v>-1.2820512820512775E-2</v>
      </c>
      <c r="BL52" s="81">
        <f t="shared" si="32"/>
        <v>0.98717948717948723</v>
      </c>
      <c r="BM52" s="81">
        <f t="shared" si="32"/>
        <v>-1.2820512820512775E-2</v>
      </c>
      <c r="BN52" s="81">
        <f t="shared" si="32"/>
        <v>-1.0128205128205128</v>
      </c>
      <c r="BO52" s="81">
        <f t="shared" si="32"/>
        <v>-1.0128205128205128</v>
      </c>
      <c r="BP52" s="81">
        <f t="shared" si="32"/>
        <v>-1.2820512820512775E-2</v>
      </c>
      <c r="BQ52" s="81">
        <f t="shared" si="32"/>
        <v>0.98717948717948723</v>
      </c>
      <c r="BR52" s="81">
        <f t="shared" si="32"/>
        <v>-1.2820512820512775E-2</v>
      </c>
      <c r="BS52" s="81">
        <f t="shared" si="32"/>
        <v>-1.0128205128205128</v>
      </c>
      <c r="BT52" s="81">
        <f t="shared" si="32"/>
        <v>-1.2820512820512775E-2</v>
      </c>
      <c r="BU52" s="81">
        <f t="shared" si="32"/>
        <v>-1.0128205128205128</v>
      </c>
      <c r="BV52" s="81">
        <f t="shared" si="32"/>
        <v>-1.2820512820512775E-2</v>
      </c>
      <c r="BW52" s="81">
        <f t="shared" si="32"/>
        <v>0.98717948717948723</v>
      </c>
      <c r="BX52" s="81">
        <f t="shared" ref="BX52:CI52" si="33">SUM((0.5*$CJ52),BW12,-BX12)</f>
        <v>-1.2820512820512775E-2</v>
      </c>
      <c r="BY52" s="81">
        <f t="shared" si="33"/>
        <v>-1.2820512820512775E-2</v>
      </c>
      <c r="BZ52" s="81">
        <f t="shared" si="33"/>
        <v>0.98717948717948723</v>
      </c>
      <c r="CA52" s="81">
        <f t="shared" si="33"/>
        <v>0.98717948717948723</v>
      </c>
      <c r="CB52" s="81">
        <f t="shared" si="33"/>
        <v>0.98717948717948723</v>
      </c>
      <c r="CC52" s="81">
        <f t="shared" si="33"/>
        <v>-1.2820512820512775E-2</v>
      </c>
      <c r="CD52" s="81">
        <f t="shared" si="33"/>
        <v>0.98717948717948723</v>
      </c>
      <c r="CE52" s="81">
        <f t="shared" si="33"/>
        <v>-1.2820512820512775E-2</v>
      </c>
      <c r="CF52" s="81">
        <f t="shared" si="33"/>
        <v>0.98717948717948723</v>
      </c>
      <c r="CG52" s="81">
        <f t="shared" si="33"/>
        <v>-1.282051282051282E-2</v>
      </c>
      <c r="CH52" s="81">
        <f t="shared" si="33"/>
        <v>-1.282051282051282E-2</v>
      </c>
      <c r="CI52" s="81">
        <f t="shared" si="33"/>
        <v>-1.282051282051282E-2</v>
      </c>
      <c r="CJ52" s="81">
        <f t="shared" si="5"/>
        <v>-2.564102564102564E-2</v>
      </c>
      <c r="CL52" s="74">
        <f t="shared" si="6"/>
        <v>3.4666666666666668</v>
      </c>
      <c r="CR52" s="27"/>
    </row>
    <row r="53" spans="4:96" s="1" customFormat="1" ht="69.95" customHeight="1">
      <c r="D53" s="28">
        <v>37</v>
      </c>
      <c r="H53" s="4"/>
      <c r="I53" s="2"/>
      <c r="J53" s="81">
        <f t="shared" si="1"/>
        <v>-0.5641025641025641</v>
      </c>
      <c r="K53" s="81">
        <f>SUM((0.5*$CJ53),0)</f>
        <v>-0.28205128205128205</v>
      </c>
      <c r="L53" s="81">
        <f t="shared" ref="L53:BW53" si="34">SUM((0.5*$CJ53),K13,-L13)</f>
        <v>0.71794871794871795</v>
      </c>
      <c r="M53" s="81">
        <f t="shared" si="34"/>
        <v>-4.2820512820512819</v>
      </c>
      <c r="N53" s="81">
        <f t="shared" si="34"/>
        <v>-0.28205128205128194</v>
      </c>
      <c r="O53" s="81">
        <f t="shared" si="34"/>
        <v>0.71794871794871806</v>
      </c>
      <c r="P53" s="81">
        <f t="shared" si="34"/>
        <v>-0.28205128205128194</v>
      </c>
      <c r="Q53" s="81">
        <f t="shared" si="34"/>
        <v>-0.28205128205128194</v>
      </c>
      <c r="R53" s="81">
        <f t="shared" si="34"/>
        <v>-1.2820512820512819</v>
      </c>
      <c r="S53" s="81">
        <f t="shared" si="34"/>
        <v>-0.28205128205128194</v>
      </c>
      <c r="T53" s="81">
        <f t="shared" si="34"/>
        <v>-1.2820512820512819</v>
      </c>
      <c r="U53" s="81">
        <f t="shared" si="34"/>
        <v>-0.28205128205128194</v>
      </c>
      <c r="V53" s="81">
        <f t="shared" si="34"/>
        <v>-0.28205128205128194</v>
      </c>
      <c r="W53" s="81">
        <f t="shared" si="34"/>
        <v>-0.28205128205128194</v>
      </c>
      <c r="X53" s="81">
        <f t="shared" si="34"/>
        <v>-1.2820512820512819</v>
      </c>
      <c r="Y53" s="81">
        <f t="shared" si="34"/>
        <v>-0.28205128205128194</v>
      </c>
      <c r="Z53" s="81">
        <f t="shared" si="34"/>
        <v>-1.2820512820512819</v>
      </c>
      <c r="AA53" s="81">
        <f t="shared" si="34"/>
        <v>-0.28205128205128194</v>
      </c>
      <c r="AB53" s="81">
        <f t="shared" si="34"/>
        <v>0.71794871794871806</v>
      </c>
      <c r="AC53" s="81">
        <f t="shared" si="34"/>
        <v>0.71794871794871806</v>
      </c>
      <c r="AD53" s="81">
        <f t="shared" si="34"/>
        <v>-0.28205128205128194</v>
      </c>
      <c r="AE53" s="81">
        <f t="shared" si="34"/>
        <v>-0.28205128205128194</v>
      </c>
      <c r="AF53" s="81">
        <f t="shared" si="34"/>
        <v>-0.28205128205128194</v>
      </c>
      <c r="AG53" s="81">
        <f t="shared" si="34"/>
        <v>0.71794871794871806</v>
      </c>
      <c r="AH53" s="81">
        <f t="shared" si="34"/>
        <v>0.71794871794871806</v>
      </c>
      <c r="AI53" s="81">
        <f t="shared" si="34"/>
        <v>0.71794871794871806</v>
      </c>
      <c r="AJ53" s="81">
        <f t="shared" si="34"/>
        <v>-0.28205128205128205</v>
      </c>
      <c r="AK53" s="81">
        <f t="shared" si="34"/>
        <v>0.71794871794871795</v>
      </c>
      <c r="AL53" s="81">
        <f t="shared" si="34"/>
        <v>0.71794871794871795</v>
      </c>
      <c r="AM53" s="81">
        <f t="shared" si="34"/>
        <v>0.71794871794871806</v>
      </c>
      <c r="AN53" s="81">
        <f t="shared" si="34"/>
        <v>-0.28205128205128194</v>
      </c>
      <c r="AO53" s="81">
        <f t="shared" si="34"/>
        <v>0.71794871794871806</v>
      </c>
      <c r="AP53" s="81">
        <f t="shared" si="34"/>
        <v>-0.28205128205128194</v>
      </c>
      <c r="AQ53" s="81">
        <f t="shared" si="34"/>
        <v>0.71794871794871806</v>
      </c>
      <c r="AR53" s="81">
        <f t="shared" si="34"/>
        <v>-0.28205128205128194</v>
      </c>
      <c r="AS53" s="81">
        <f t="shared" si="34"/>
        <v>-0.28205128205128194</v>
      </c>
      <c r="AT53" s="81">
        <f t="shared" si="34"/>
        <v>0.71794871794871806</v>
      </c>
      <c r="AU53" s="81">
        <f t="shared" si="34"/>
        <v>0.71794871794871806</v>
      </c>
      <c r="AV53" s="81">
        <f t="shared" si="34"/>
        <v>-0.28205128205128194</v>
      </c>
      <c r="AW53" s="81">
        <f t="shared" si="34"/>
        <v>-0.28205128205128194</v>
      </c>
      <c r="AX53" s="81">
        <f t="shared" si="34"/>
        <v>-0.28205128205128194</v>
      </c>
      <c r="AY53" s="81">
        <f t="shared" si="34"/>
        <v>-0.28205128205128194</v>
      </c>
      <c r="AZ53" s="81">
        <f t="shared" si="34"/>
        <v>0.71794871794871806</v>
      </c>
      <c r="BA53" s="81">
        <f t="shared" si="34"/>
        <v>0.71794871794871806</v>
      </c>
      <c r="BB53" s="81">
        <f t="shared" si="34"/>
        <v>-0.28205128205128283</v>
      </c>
      <c r="BC53" s="81">
        <f t="shared" si="34"/>
        <v>-0.28205128205128283</v>
      </c>
      <c r="BD53" s="81">
        <f t="shared" si="34"/>
        <v>-0.28205128205128283</v>
      </c>
      <c r="BE53" s="81">
        <f t="shared" si="34"/>
        <v>-0.28205128205128283</v>
      </c>
      <c r="BF53" s="81">
        <f t="shared" si="34"/>
        <v>-0.28205128205128283</v>
      </c>
      <c r="BG53" s="81">
        <f t="shared" si="34"/>
        <v>-0.28205128205128283</v>
      </c>
      <c r="BH53" s="81">
        <f t="shared" si="34"/>
        <v>-1.2820512820512828</v>
      </c>
      <c r="BI53" s="81">
        <f t="shared" si="34"/>
        <v>-0.28205128205128194</v>
      </c>
      <c r="BJ53" s="81">
        <f t="shared" si="34"/>
        <v>-0.28205128205128194</v>
      </c>
      <c r="BK53" s="81">
        <f t="shared" si="34"/>
        <v>-0.28205128205128194</v>
      </c>
      <c r="BL53" s="81">
        <f t="shared" si="34"/>
        <v>-1.2820512820512819</v>
      </c>
      <c r="BM53" s="81">
        <f t="shared" si="34"/>
        <v>-0.28205128205128194</v>
      </c>
      <c r="BN53" s="81">
        <f t="shared" si="34"/>
        <v>-0.28205128205128194</v>
      </c>
      <c r="BO53" s="81">
        <f t="shared" si="34"/>
        <v>-0.28205128205128194</v>
      </c>
      <c r="BP53" s="81">
        <f t="shared" si="34"/>
        <v>-1.2820512820512819</v>
      </c>
      <c r="BQ53" s="81">
        <f t="shared" si="34"/>
        <v>-0.28205128205128194</v>
      </c>
      <c r="BR53" s="81">
        <f t="shared" si="34"/>
        <v>-1.2820512820512819</v>
      </c>
      <c r="BS53" s="81">
        <f t="shared" si="34"/>
        <v>-1.2820512820512819</v>
      </c>
      <c r="BT53" s="81">
        <f t="shared" si="34"/>
        <v>-0.28205128205128194</v>
      </c>
      <c r="BU53" s="81">
        <f t="shared" si="34"/>
        <v>-1.2820512820512819</v>
      </c>
      <c r="BV53" s="81">
        <f t="shared" si="34"/>
        <v>-0.28205128205128194</v>
      </c>
      <c r="BW53" s="81">
        <f t="shared" si="34"/>
        <v>-0.28205128205128194</v>
      </c>
      <c r="BX53" s="81">
        <f t="shared" ref="BX53:CI53" si="35">SUM((0.5*$CJ53),BW13,-BX13)</f>
        <v>-1.2820512820512819</v>
      </c>
      <c r="BY53" s="81">
        <f t="shared" si="35"/>
        <v>-0.28205128205128194</v>
      </c>
      <c r="BZ53" s="81">
        <f t="shared" si="35"/>
        <v>-0.28205128205128194</v>
      </c>
      <c r="CA53" s="81">
        <f t="shared" si="35"/>
        <v>-0.28205128205128194</v>
      </c>
      <c r="CB53" s="81">
        <f t="shared" si="35"/>
        <v>-0.28205128205128194</v>
      </c>
      <c r="CC53" s="81">
        <f t="shared" si="35"/>
        <v>-0.28205128205128194</v>
      </c>
      <c r="CD53" s="81">
        <f t="shared" si="35"/>
        <v>-0.28205128205128194</v>
      </c>
      <c r="CE53" s="81">
        <f t="shared" si="35"/>
        <v>-0.28205128205128194</v>
      </c>
      <c r="CF53" s="81">
        <f t="shared" si="35"/>
        <v>-0.28205128205128194</v>
      </c>
      <c r="CG53" s="81">
        <f t="shared" si="35"/>
        <v>-0.28205128205128194</v>
      </c>
      <c r="CH53" s="81">
        <f t="shared" si="35"/>
        <v>-1.2820512820512819</v>
      </c>
      <c r="CI53" s="81">
        <f t="shared" si="35"/>
        <v>-0.28205128205128205</v>
      </c>
      <c r="CJ53" s="81">
        <f t="shared" si="5"/>
        <v>-0.5641025641025641</v>
      </c>
      <c r="CL53" s="74">
        <f t="shared" si="6"/>
        <v>3.9200000000000004</v>
      </c>
      <c r="CR53" s="27"/>
    </row>
    <row r="54" spans="4:96" s="1" customFormat="1" ht="69.95" customHeight="1">
      <c r="D54" s="28">
        <v>35</v>
      </c>
      <c r="H54" s="4"/>
      <c r="I54" s="2"/>
      <c r="J54" s="81">
        <f t="shared" si="1"/>
        <v>0.74358974358974361</v>
      </c>
      <c r="K54" s="81">
        <f t="shared" si="9"/>
        <v>0.37179487179487181</v>
      </c>
      <c r="L54" s="81">
        <f t="shared" ref="L54:AQ54" si="36">SUM((0.5*$CJ54),K14,-L14)</f>
        <v>1.3717948717948718</v>
      </c>
      <c r="M54" s="81">
        <f t="shared" si="36"/>
        <v>-1.6282051282051282</v>
      </c>
      <c r="N54" s="81">
        <f t="shared" si="36"/>
        <v>0.37179487179487181</v>
      </c>
      <c r="O54" s="81">
        <f t="shared" si="36"/>
        <v>0.37179487179487181</v>
      </c>
      <c r="P54" s="81">
        <f t="shared" si="36"/>
        <v>0.37179487179487181</v>
      </c>
      <c r="Q54" s="81">
        <f t="shared" si="36"/>
        <v>0.37179487179487181</v>
      </c>
      <c r="R54" s="81">
        <f t="shared" si="36"/>
        <v>0.37179487179487181</v>
      </c>
      <c r="S54" s="81">
        <f t="shared" si="36"/>
        <v>0.37179487179487181</v>
      </c>
      <c r="T54" s="81">
        <f t="shared" si="36"/>
        <v>-0.62820512820512819</v>
      </c>
      <c r="U54" s="81">
        <f t="shared" si="36"/>
        <v>-0.62820512820512819</v>
      </c>
      <c r="V54" s="81">
        <f t="shared" si="36"/>
        <v>1.3717948717948718</v>
      </c>
      <c r="W54" s="81">
        <f t="shared" si="36"/>
        <v>0.37179487179487181</v>
      </c>
      <c r="X54" s="81">
        <f t="shared" si="36"/>
        <v>-0.62820512820512819</v>
      </c>
      <c r="Y54" s="81">
        <f t="shared" si="36"/>
        <v>-0.62820512820512819</v>
      </c>
      <c r="Z54" s="81">
        <f t="shared" si="36"/>
        <v>0.37179487179487225</v>
      </c>
      <c r="AA54" s="81">
        <f t="shared" si="36"/>
        <v>-0.62820512820512775</v>
      </c>
      <c r="AB54" s="81">
        <f t="shared" si="36"/>
        <v>0.37179487179487225</v>
      </c>
      <c r="AC54" s="81">
        <f t="shared" si="36"/>
        <v>1.3717948717948723</v>
      </c>
      <c r="AD54" s="81">
        <f t="shared" si="36"/>
        <v>-0.62820512820512775</v>
      </c>
      <c r="AE54" s="81">
        <f t="shared" si="36"/>
        <v>0.37179487179487225</v>
      </c>
      <c r="AF54" s="81">
        <f t="shared" si="36"/>
        <v>0.37179487179487225</v>
      </c>
      <c r="AG54" s="81">
        <f t="shared" si="36"/>
        <v>1.3717948717948723</v>
      </c>
      <c r="AH54" s="81">
        <f t="shared" si="36"/>
        <v>0.37179487179487225</v>
      </c>
      <c r="AI54" s="81">
        <f t="shared" si="36"/>
        <v>0.37179487179487225</v>
      </c>
      <c r="AJ54" s="81">
        <f t="shared" si="36"/>
        <v>1.3717948717948723</v>
      </c>
      <c r="AK54" s="81">
        <f t="shared" si="36"/>
        <v>0.37179487179487181</v>
      </c>
      <c r="AL54" s="81">
        <f t="shared" si="36"/>
        <v>0.37179487179487181</v>
      </c>
      <c r="AM54" s="81">
        <f t="shared" si="36"/>
        <v>0.37179487179487181</v>
      </c>
      <c r="AN54" s="81">
        <f t="shared" si="36"/>
        <v>0.37179487179487181</v>
      </c>
      <c r="AO54" s="81">
        <f t="shared" si="36"/>
        <v>1.3717948717948718</v>
      </c>
      <c r="AP54" s="81">
        <f t="shared" si="36"/>
        <v>0.37179487179487181</v>
      </c>
      <c r="AQ54" s="81">
        <f t="shared" si="36"/>
        <v>0.37179487179487181</v>
      </c>
      <c r="AR54" s="81">
        <f t="shared" ref="AR54:BW54" si="37">SUM((0.5*$CJ54),AQ14,-AR14)</f>
        <v>0.37179487179487181</v>
      </c>
      <c r="AS54" s="81">
        <f t="shared" si="37"/>
        <v>1.3717948717948718</v>
      </c>
      <c r="AT54" s="81">
        <f t="shared" si="37"/>
        <v>0.37179487179487181</v>
      </c>
      <c r="AU54" s="81">
        <f t="shared" si="37"/>
        <v>0.37179487179487181</v>
      </c>
      <c r="AV54" s="81">
        <f t="shared" si="37"/>
        <v>0.37179487179487181</v>
      </c>
      <c r="AW54" s="81">
        <f t="shared" si="37"/>
        <v>0.37179487179487181</v>
      </c>
      <c r="AX54" s="81">
        <f t="shared" si="37"/>
        <v>0.37179487179487181</v>
      </c>
      <c r="AY54" s="81">
        <f t="shared" si="37"/>
        <v>0.37179487179487181</v>
      </c>
      <c r="AZ54" s="81">
        <f t="shared" si="37"/>
        <v>0.37179487179487181</v>
      </c>
      <c r="BA54" s="81">
        <f t="shared" si="37"/>
        <v>1.3717948717948718</v>
      </c>
      <c r="BB54" s="81">
        <f t="shared" si="37"/>
        <v>0.37179487179487181</v>
      </c>
      <c r="BC54" s="81">
        <f t="shared" si="37"/>
        <v>0.37179487179487181</v>
      </c>
      <c r="BD54" s="81">
        <f t="shared" si="37"/>
        <v>0.37179487179487181</v>
      </c>
      <c r="BE54" s="81">
        <f t="shared" si="37"/>
        <v>1.3717948717948718</v>
      </c>
      <c r="BF54" s="81">
        <f t="shared" si="37"/>
        <v>0.37179487179487181</v>
      </c>
      <c r="BG54" s="81">
        <f t="shared" si="37"/>
        <v>0.37179487179487181</v>
      </c>
      <c r="BH54" s="81">
        <f t="shared" si="37"/>
        <v>-0.62820512820512819</v>
      </c>
      <c r="BI54" s="81">
        <f t="shared" si="37"/>
        <v>0.37179487179487181</v>
      </c>
      <c r="BJ54" s="81">
        <f t="shared" si="37"/>
        <v>0.37179487179487181</v>
      </c>
      <c r="BK54" s="81">
        <f t="shared" si="37"/>
        <v>0.37179487179487181</v>
      </c>
      <c r="BL54" s="81">
        <f t="shared" si="37"/>
        <v>0.37179487179487181</v>
      </c>
      <c r="BM54" s="81">
        <f t="shared" si="37"/>
        <v>0.37179487179487181</v>
      </c>
      <c r="BN54" s="81">
        <f t="shared" si="37"/>
        <v>0.37179487179487181</v>
      </c>
      <c r="BO54" s="81">
        <f t="shared" si="37"/>
        <v>0.37179487179487181</v>
      </c>
      <c r="BP54" s="81">
        <f t="shared" si="37"/>
        <v>0.37179487179487181</v>
      </c>
      <c r="BQ54" s="81">
        <f t="shared" si="37"/>
        <v>0.37179487179487181</v>
      </c>
      <c r="BR54" s="81">
        <f t="shared" si="37"/>
        <v>0.37179487179487181</v>
      </c>
      <c r="BS54" s="81">
        <f t="shared" si="37"/>
        <v>-0.62820512820512819</v>
      </c>
      <c r="BT54" s="81">
        <f t="shared" si="37"/>
        <v>0.37179487179487181</v>
      </c>
      <c r="BU54" s="81">
        <f t="shared" si="37"/>
        <v>0.37179487179487181</v>
      </c>
      <c r="BV54" s="81">
        <f t="shared" si="37"/>
        <v>0.37179487179487181</v>
      </c>
      <c r="BW54" s="81">
        <f t="shared" si="37"/>
        <v>1.3717948717948718</v>
      </c>
      <c r="BX54" s="81">
        <f t="shared" ref="BX54:CI54" si="38">SUM((0.5*$CJ54),BW14,-BX14)</f>
        <v>-0.62820512820512819</v>
      </c>
      <c r="BY54" s="81">
        <f t="shared" si="38"/>
        <v>0.37179487179487181</v>
      </c>
      <c r="BZ54" s="81">
        <f t="shared" si="38"/>
        <v>1.3717948717948718</v>
      </c>
      <c r="CA54" s="81">
        <f t="shared" si="38"/>
        <v>0.37179487179487181</v>
      </c>
      <c r="CB54" s="81">
        <f t="shared" si="38"/>
        <v>0.37179487179487181</v>
      </c>
      <c r="CC54" s="81">
        <f t="shared" si="38"/>
        <v>0.37179487179487181</v>
      </c>
      <c r="CD54" s="81">
        <f t="shared" si="38"/>
        <v>0.37179487179487181</v>
      </c>
      <c r="CE54" s="81">
        <f t="shared" si="38"/>
        <v>0.37179487179487181</v>
      </c>
      <c r="CF54" s="81">
        <f t="shared" si="38"/>
        <v>0.37179487179487181</v>
      </c>
      <c r="CG54" s="81">
        <f t="shared" si="38"/>
        <v>1.3717948717948718</v>
      </c>
      <c r="CH54" s="81">
        <f t="shared" si="38"/>
        <v>0.37179487179487181</v>
      </c>
      <c r="CI54" s="81">
        <f t="shared" si="38"/>
        <v>-0.62820512820512819</v>
      </c>
      <c r="CJ54" s="81">
        <f t="shared" si="5"/>
        <v>0.74358974358974361</v>
      </c>
      <c r="CL54" s="74">
        <f t="shared" si="6"/>
        <v>1.4800000000000002</v>
      </c>
      <c r="CR54" s="27"/>
    </row>
    <row r="55" spans="4:96" s="1" customFormat="1" ht="69.95" customHeight="1">
      <c r="D55" s="28">
        <v>33</v>
      </c>
      <c r="H55" s="4"/>
      <c r="I55" s="2"/>
      <c r="J55" s="81">
        <f t="shared" si="1"/>
        <v>-0.5641025641025641</v>
      </c>
      <c r="K55" s="81">
        <f>SUM((0.5*$CJ55),0)</f>
        <v>-0.28205128205128205</v>
      </c>
      <c r="L55" s="81">
        <f t="shared" ref="L55:BW55" si="39">SUM((0.5*$CJ55),K15,-L15)</f>
        <v>-0.28205128205128205</v>
      </c>
      <c r="M55" s="81">
        <f t="shared" si="39"/>
        <v>-0.28205128205128205</v>
      </c>
      <c r="N55" s="81">
        <f t="shared" si="39"/>
        <v>2.7179487179487181</v>
      </c>
      <c r="O55" s="81">
        <f t="shared" si="39"/>
        <v>4.7179487179487181</v>
      </c>
      <c r="P55" s="81">
        <f t="shared" si="39"/>
        <v>3.7179487179487172</v>
      </c>
      <c r="Q55" s="81">
        <f t="shared" si="39"/>
        <v>11.717948717948717</v>
      </c>
      <c r="R55" s="81">
        <f t="shared" si="39"/>
        <v>3.717948717948719</v>
      </c>
      <c r="S55" s="81">
        <f t="shared" si="39"/>
        <v>6.717948717948719</v>
      </c>
      <c r="T55" s="81">
        <f t="shared" si="39"/>
        <v>4.7179487179487154</v>
      </c>
      <c r="U55" s="81">
        <f t="shared" si="39"/>
        <v>7.7179487179487154</v>
      </c>
      <c r="V55" s="81">
        <f t="shared" si="39"/>
        <v>1.7179487179487154</v>
      </c>
      <c r="W55" s="81">
        <f t="shared" si="39"/>
        <v>5.7179487179487154</v>
      </c>
      <c r="X55" s="81">
        <f t="shared" si="39"/>
        <v>3.7179487179487154</v>
      </c>
      <c r="Y55" s="81">
        <f t="shared" si="39"/>
        <v>2.7179487179487154</v>
      </c>
      <c r="Z55" s="81">
        <f t="shared" si="39"/>
        <v>1.7179487179487154</v>
      </c>
      <c r="AA55" s="81">
        <f t="shared" si="39"/>
        <v>3.7179487179487154</v>
      </c>
      <c r="AB55" s="81">
        <f t="shared" si="39"/>
        <v>2.7179487179487154</v>
      </c>
      <c r="AC55" s="81">
        <f t="shared" si="39"/>
        <v>5.7179487179487154</v>
      </c>
      <c r="AD55" s="81">
        <f t="shared" si="39"/>
        <v>1.7179487179487154</v>
      </c>
      <c r="AE55" s="81">
        <f t="shared" si="39"/>
        <v>0.7179487179487154</v>
      </c>
      <c r="AF55" s="81">
        <f t="shared" si="39"/>
        <v>2.7179487179487154</v>
      </c>
      <c r="AG55" s="81">
        <f t="shared" si="39"/>
        <v>2.7179487179487154</v>
      </c>
      <c r="AH55" s="81">
        <f t="shared" si="39"/>
        <v>2.7179487179487154</v>
      </c>
      <c r="AI55" s="81">
        <f t="shared" si="39"/>
        <v>2.7179487179487154</v>
      </c>
      <c r="AJ55" s="81">
        <f t="shared" si="39"/>
        <v>0.7179487179487154</v>
      </c>
      <c r="AK55" s="81">
        <f t="shared" si="39"/>
        <v>0.7179487179487154</v>
      </c>
      <c r="AL55" s="81">
        <f t="shared" si="39"/>
        <v>0.7179487179487154</v>
      </c>
      <c r="AM55" s="81">
        <f t="shared" si="39"/>
        <v>2.7179487179487154</v>
      </c>
      <c r="AN55" s="81">
        <f t="shared" si="39"/>
        <v>0.7179487179487154</v>
      </c>
      <c r="AO55" s="81">
        <f t="shared" si="39"/>
        <v>1.7179487179487154</v>
      </c>
      <c r="AP55" s="81">
        <f t="shared" si="39"/>
        <v>-0.2820512820512846</v>
      </c>
      <c r="AQ55" s="81">
        <f t="shared" si="39"/>
        <v>-0.2820512820512846</v>
      </c>
      <c r="AR55" s="81">
        <f t="shared" si="39"/>
        <v>0.7179487179487154</v>
      </c>
      <c r="AS55" s="81">
        <f t="shared" si="39"/>
        <v>0.7179487179487154</v>
      </c>
      <c r="AT55" s="81">
        <f t="shared" si="39"/>
        <v>-0.2820512820512846</v>
      </c>
      <c r="AU55" s="81">
        <f t="shared" si="39"/>
        <v>-0.2820512820512846</v>
      </c>
      <c r="AV55" s="81">
        <f t="shared" si="39"/>
        <v>-1.2820512820512846</v>
      </c>
      <c r="AW55" s="81">
        <f t="shared" si="39"/>
        <v>-0.2820512820512846</v>
      </c>
      <c r="AX55" s="81">
        <f t="shared" si="39"/>
        <v>-1.2820512820512846</v>
      </c>
      <c r="AY55" s="81">
        <f t="shared" si="39"/>
        <v>-1.2820512820512846</v>
      </c>
      <c r="AZ55" s="81">
        <f t="shared" si="39"/>
        <v>-1.2820512820512846</v>
      </c>
      <c r="BA55" s="81">
        <f t="shared" si="39"/>
        <v>-1.2820512820512846</v>
      </c>
      <c r="BB55" s="81">
        <f t="shared" si="39"/>
        <v>-3.2820512820512846</v>
      </c>
      <c r="BC55" s="81">
        <f t="shared" si="39"/>
        <v>-2.2820512820512846</v>
      </c>
      <c r="BD55" s="81">
        <f t="shared" si="39"/>
        <v>-2.2820512820512846</v>
      </c>
      <c r="BE55" s="81">
        <f t="shared" si="39"/>
        <v>-2.2820512820512846</v>
      </c>
      <c r="BF55" s="81">
        <f t="shared" si="39"/>
        <v>-2.2820512820512846</v>
      </c>
      <c r="BG55" s="81">
        <f t="shared" si="39"/>
        <v>-2.2820512820512846</v>
      </c>
      <c r="BH55" s="81">
        <f t="shared" si="39"/>
        <v>-3.2820512820512846</v>
      </c>
      <c r="BI55" s="81">
        <f t="shared" si="39"/>
        <v>-1.2820512820512846</v>
      </c>
      <c r="BJ55" s="81">
        <f t="shared" si="39"/>
        <v>-2.2820512820512846</v>
      </c>
      <c r="BK55" s="81">
        <f t="shared" si="39"/>
        <v>-2.2820512820512846</v>
      </c>
      <c r="BL55" s="81">
        <f t="shared" si="39"/>
        <v>-2.2820512820512846</v>
      </c>
      <c r="BM55" s="81">
        <f t="shared" si="39"/>
        <v>-2.2820512820512846</v>
      </c>
      <c r="BN55" s="81">
        <f t="shared" si="39"/>
        <v>-3.2820512820512846</v>
      </c>
      <c r="BO55" s="81">
        <f t="shared" si="39"/>
        <v>-2.2820512820512846</v>
      </c>
      <c r="BP55" s="81">
        <f t="shared" si="39"/>
        <v>-4.2820512820512846</v>
      </c>
      <c r="BQ55" s="81">
        <f t="shared" si="39"/>
        <v>-5.2820512820512846</v>
      </c>
      <c r="BR55" s="81">
        <f t="shared" si="39"/>
        <v>-6.2820512820512846</v>
      </c>
      <c r="BS55" s="81">
        <f t="shared" si="39"/>
        <v>-6.2820512820512846</v>
      </c>
      <c r="BT55" s="81">
        <f t="shared" si="39"/>
        <v>-6.2820512820512846</v>
      </c>
      <c r="BU55" s="81">
        <f t="shared" si="39"/>
        <v>-5.2820512820512846</v>
      </c>
      <c r="BV55" s="81">
        <f t="shared" si="39"/>
        <v>-5.2820512820512846</v>
      </c>
      <c r="BW55" s="81">
        <f t="shared" si="39"/>
        <v>-3.2820512820512846</v>
      </c>
      <c r="BX55" s="81">
        <f t="shared" ref="BX55:CI55" si="40">SUM((0.5*$CJ55),BW15,-BX15)</f>
        <v>-4.282051282051281</v>
      </c>
      <c r="BY55" s="81">
        <f t="shared" si="40"/>
        <v>-6.282051282051281</v>
      </c>
      <c r="BZ55" s="81">
        <f t="shared" si="40"/>
        <v>-4.282051282051281</v>
      </c>
      <c r="CA55" s="81">
        <f t="shared" si="40"/>
        <v>-4.2820512820512828</v>
      </c>
      <c r="CB55" s="81">
        <f t="shared" si="40"/>
        <v>-3.2820512820512828</v>
      </c>
      <c r="CC55" s="81">
        <f t="shared" si="40"/>
        <v>-5.2820512820512828</v>
      </c>
      <c r="CD55" s="81">
        <f t="shared" si="40"/>
        <v>-3.2820512820512819</v>
      </c>
      <c r="CE55" s="81">
        <f t="shared" si="40"/>
        <v>-3.2820512820512819</v>
      </c>
      <c r="CF55" s="81">
        <f t="shared" si="40"/>
        <v>-2.2820512820512819</v>
      </c>
      <c r="CG55" s="81">
        <f t="shared" si="40"/>
        <v>-2.2820512820512819</v>
      </c>
      <c r="CH55" s="81">
        <f t="shared" si="40"/>
        <v>3.7179487179487181</v>
      </c>
      <c r="CI55" s="81">
        <f t="shared" si="40"/>
        <v>2.7179487179487181</v>
      </c>
      <c r="CJ55" s="81">
        <f t="shared" si="5"/>
        <v>-0.5641025641025641</v>
      </c>
      <c r="CL55" s="74">
        <f t="shared" si="6"/>
        <v>62.186666666666667</v>
      </c>
      <c r="CR55" s="27"/>
    </row>
    <row r="56" spans="4:96" s="1" customFormat="1" ht="69.95" customHeight="1">
      <c r="D56" s="28">
        <v>31</v>
      </c>
      <c r="H56" s="4"/>
      <c r="I56" s="2"/>
      <c r="J56" s="81">
        <f t="shared" si="1"/>
        <v>0.17948717948717949</v>
      </c>
      <c r="K56" s="81">
        <f t="shared" si="9"/>
        <v>8.9743589743589744E-2</v>
      </c>
      <c r="L56" s="81">
        <f t="shared" ref="L56:AQ56" si="41">SUM((0.5*$CJ56),K16,-L16)</f>
        <v>1.0897435897435896</v>
      </c>
      <c r="M56" s="81">
        <f t="shared" si="41"/>
        <v>-1.9102564102564101</v>
      </c>
      <c r="N56" s="81">
        <f t="shared" si="41"/>
        <v>-1.9102564102564104</v>
      </c>
      <c r="O56" s="81">
        <f t="shared" si="41"/>
        <v>8.9743589743589869E-2</v>
      </c>
      <c r="P56" s="81">
        <f t="shared" si="41"/>
        <v>8.9743589743589869E-2</v>
      </c>
      <c r="Q56" s="81">
        <f t="shared" si="41"/>
        <v>8.9743589743589869E-2</v>
      </c>
      <c r="R56" s="81">
        <f t="shared" si="41"/>
        <v>-0.91025641025641013</v>
      </c>
      <c r="S56" s="81">
        <f t="shared" si="41"/>
        <v>8.9743589743589425E-2</v>
      </c>
      <c r="T56" s="81">
        <f t="shared" si="41"/>
        <v>-0.91025641025641058</v>
      </c>
      <c r="U56" s="81">
        <f t="shared" si="41"/>
        <v>-0.91025641025641058</v>
      </c>
      <c r="V56" s="81">
        <f t="shared" si="41"/>
        <v>8.9743589743589425E-2</v>
      </c>
      <c r="W56" s="81">
        <f t="shared" si="41"/>
        <v>1.0897435897435894</v>
      </c>
      <c r="X56" s="81">
        <f t="shared" si="41"/>
        <v>8.9743589743589425E-2</v>
      </c>
      <c r="Y56" s="81">
        <f t="shared" si="41"/>
        <v>8.9743589743589425E-2</v>
      </c>
      <c r="Z56" s="81">
        <f t="shared" si="41"/>
        <v>8.9743589743589425E-2</v>
      </c>
      <c r="AA56" s="81">
        <f t="shared" si="41"/>
        <v>8.9743589743589425E-2</v>
      </c>
      <c r="AB56" s="81">
        <f t="shared" si="41"/>
        <v>1.0897435897435894</v>
      </c>
      <c r="AC56" s="81">
        <f t="shared" si="41"/>
        <v>1.0897435897435894</v>
      </c>
      <c r="AD56" s="81">
        <f t="shared" si="41"/>
        <v>8.9743589743589869E-2</v>
      </c>
      <c r="AE56" s="81">
        <f t="shared" si="41"/>
        <v>1.0897435897435899</v>
      </c>
      <c r="AF56" s="81">
        <f t="shared" si="41"/>
        <v>1.0897435897435899</v>
      </c>
      <c r="AG56" s="81">
        <f t="shared" si="41"/>
        <v>1.0897435897435896</v>
      </c>
      <c r="AH56" s="81">
        <f t="shared" si="41"/>
        <v>1.0897435897435896</v>
      </c>
      <c r="AI56" s="81">
        <f t="shared" si="41"/>
        <v>1.0897435897435899</v>
      </c>
      <c r="AJ56" s="81">
        <f t="shared" si="41"/>
        <v>8.9743589743589647E-2</v>
      </c>
      <c r="AK56" s="81">
        <f t="shared" si="41"/>
        <v>1.0897435897435896</v>
      </c>
      <c r="AL56" s="81">
        <f t="shared" si="41"/>
        <v>1.0897435897435899</v>
      </c>
      <c r="AM56" s="81">
        <f t="shared" si="41"/>
        <v>1.0897435897435899</v>
      </c>
      <c r="AN56" s="81">
        <f t="shared" si="41"/>
        <v>8.9743589743589425E-2</v>
      </c>
      <c r="AO56" s="81">
        <f t="shared" si="41"/>
        <v>1.0897435897435894</v>
      </c>
      <c r="AP56" s="81">
        <f t="shared" si="41"/>
        <v>8.9743589743589425E-2</v>
      </c>
      <c r="AQ56" s="81">
        <f t="shared" si="41"/>
        <v>8.9743589743589425E-2</v>
      </c>
      <c r="AR56" s="81">
        <f t="shared" ref="AR56:BW56" si="42">SUM((0.5*$CJ56),AQ16,-AR16)</f>
        <v>8.9743589743589425E-2</v>
      </c>
      <c r="AS56" s="81">
        <f t="shared" si="42"/>
        <v>8.9743589743589425E-2</v>
      </c>
      <c r="AT56" s="81">
        <f t="shared" si="42"/>
        <v>8.9743589743589425E-2</v>
      </c>
      <c r="AU56" s="81">
        <f t="shared" si="42"/>
        <v>8.9743589743589425E-2</v>
      </c>
      <c r="AV56" s="81">
        <f t="shared" si="42"/>
        <v>-0.91025641025641058</v>
      </c>
      <c r="AW56" s="81">
        <f t="shared" si="42"/>
        <v>8.9743589743589425E-2</v>
      </c>
      <c r="AX56" s="81">
        <f t="shared" si="42"/>
        <v>8.9743589743589425E-2</v>
      </c>
      <c r="AY56" s="81">
        <f t="shared" si="42"/>
        <v>8.9743589743589425E-2</v>
      </c>
      <c r="AZ56" s="81">
        <f t="shared" si="42"/>
        <v>8.9743589743589425E-2</v>
      </c>
      <c r="BA56" s="81">
        <f t="shared" si="42"/>
        <v>8.9743589743589425E-2</v>
      </c>
      <c r="BB56" s="81">
        <f t="shared" si="42"/>
        <v>8.9743589743589425E-2</v>
      </c>
      <c r="BC56" s="81">
        <f t="shared" si="42"/>
        <v>8.9743589743589425E-2</v>
      </c>
      <c r="BD56" s="81">
        <f t="shared" si="42"/>
        <v>8.9743589743589425E-2</v>
      </c>
      <c r="BE56" s="81">
        <f t="shared" si="42"/>
        <v>8.9743589743589425E-2</v>
      </c>
      <c r="BF56" s="81">
        <f t="shared" si="42"/>
        <v>8.9743589743589425E-2</v>
      </c>
      <c r="BG56" s="81">
        <f t="shared" si="42"/>
        <v>8.9743589743589425E-2</v>
      </c>
      <c r="BH56" s="81">
        <f t="shared" si="42"/>
        <v>-0.91025641025641058</v>
      </c>
      <c r="BI56" s="81">
        <f t="shared" si="42"/>
        <v>8.9743589743589869E-2</v>
      </c>
      <c r="BJ56" s="81">
        <f t="shared" si="42"/>
        <v>-0.91025641025641013</v>
      </c>
      <c r="BK56" s="81">
        <f t="shared" si="42"/>
        <v>8.9743589743589869E-2</v>
      </c>
      <c r="BL56" s="81">
        <f t="shared" si="42"/>
        <v>8.9743589743589869E-2</v>
      </c>
      <c r="BM56" s="81">
        <f t="shared" si="42"/>
        <v>8.9743589743589869E-2</v>
      </c>
      <c r="BN56" s="81">
        <f t="shared" si="42"/>
        <v>-0.91025641025641013</v>
      </c>
      <c r="BO56" s="81">
        <f t="shared" si="42"/>
        <v>-0.91025641025641035</v>
      </c>
      <c r="BP56" s="81">
        <f t="shared" si="42"/>
        <v>8.9743589743589758E-2</v>
      </c>
      <c r="BQ56" s="81">
        <f t="shared" si="42"/>
        <v>8.9743589743589758E-2</v>
      </c>
      <c r="BR56" s="81">
        <f t="shared" si="42"/>
        <v>-0.91025641025641024</v>
      </c>
      <c r="BS56" s="81">
        <f t="shared" si="42"/>
        <v>-1.9102564102564104</v>
      </c>
      <c r="BT56" s="81">
        <f t="shared" si="42"/>
        <v>-0.91025641025641013</v>
      </c>
      <c r="BU56" s="81">
        <f t="shared" si="42"/>
        <v>-0.91025641025641013</v>
      </c>
      <c r="BV56" s="81">
        <f t="shared" si="42"/>
        <v>1.0897435897435894</v>
      </c>
      <c r="BW56" s="81">
        <f t="shared" si="42"/>
        <v>1.0897435897435899</v>
      </c>
      <c r="BX56" s="81">
        <f t="shared" ref="BX56:CI56" si="43">SUM((0.5*$CJ56),BW16,-BX16)</f>
        <v>8.9743589743589869E-2</v>
      </c>
      <c r="BY56" s="81">
        <f t="shared" si="43"/>
        <v>-0.91025641025641013</v>
      </c>
      <c r="BZ56" s="81">
        <f t="shared" si="43"/>
        <v>1.0897435897435899</v>
      </c>
      <c r="CA56" s="81">
        <f t="shared" si="43"/>
        <v>8.9743589743589869E-2</v>
      </c>
      <c r="CB56" s="81">
        <f t="shared" si="43"/>
        <v>1.0897435897435899</v>
      </c>
      <c r="CC56" s="81">
        <f t="shared" si="43"/>
        <v>1.0897435897435896</v>
      </c>
      <c r="CD56" s="81">
        <f t="shared" si="43"/>
        <v>8.9743589743589744E-2</v>
      </c>
      <c r="CE56" s="81">
        <f t="shared" si="43"/>
        <v>8.9743589743589744E-2</v>
      </c>
      <c r="CF56" s="81">
        <f t="shared" si="43"/>
        <v>8.9743589743589744E-2</v>
      </c>
      <c r="CG56" s="81">
        <f t="shared" si="43"/>
        <v>1.0897435897435896</v>
      </c>
      <c r="CH56" s="81">
        <f t="shared" si="43"/>
        <v>8.9743589743589758E-2</v>
      </c>
      <c r="CI56" s="81">
        <f t="shared" si="43"/>
        <v>-0.91025641025641024</v>
      </c>
      <c r="CJ56" s="81">
        <f t="shared" si="5"/>
        <v>0.17948717948717949</v>
      </c>
      <c r="CL56" s="74">
        <f t="shared" si="6"/>
        <v>3.3600000000000003</v>
      </c>
      <c r="CR56" s="27"/>
    </row>
    <row r="57" spans="4:96" s="1" customFormat="1" ht="69.95" customHeight="1">
      <c r="D57" s="28">
        <v>29</v>
      </c>
      <c r="H57" s="4"/>
      <c r="I57" s="2"/>
      <c r="J57" s="81">
        <f t="shared" si="1"/>
        <v>-0.35897435897435898</v>
      </c>
      <c r="K57" s="81">
        <f t="shared" si="9"/>
        <v>-0.17948717948717949</v>
      </c>
      <c r="L57" s="81">
        <f t="shared" ref="L57:AQ57" si="44">SUM((0.5*$CJ57),K17,-L17)</f>
        <v>0.82051282051282048</v>
      </c>
      <c r="M57" s="81">
        <f t="shared" si="44"/>
        <v>-2.1794871794871797</v>
      </c>
      <c r="N57" s="81">
        <f t="shared" si="44"/>
        <v>-0.17948717948717952</v>
      </c>
      <c r="O57" s="81">
        <f t="shared" si="44"/>
        <v>-0.17948717948717952</v>
      </c>
      <c r="P57" s="81">
        <f t="shared" si="44"/>
        <v>-0.17948717948717952</v>
      </c>
      <c r="Q57" s="81">
        <f t="shared" si="44"/>
        <v>0.82051282051282048</v>
      </c>
      <c r="R57" s="81">
        <f t="shared" si="44"/>
        <v>-0.17948717948717949</v>
      </c>
      <c r="S57" s="81">
        <f t="shared" si="44"/>
        <v>0.82051282051282048</v>
      </c>
      <c r="T57" s="81">
        <f t="shared" si="44"/>
        <v>0.82051282051282048</v>
      </c>
      <c r="U57" s="81">
        <f t="shared" si="44"/>
        <v>-0.17948717948717929</v>
      </c>
      <c r="V57" s="81">
        <f t="shared" si="44"/>
        <v>0.82051282051282071</v>
      </c>
      <c r="W57" s="81">
        <f t="shared" si="44"/>
        <v>0.82051282051282071</v>
      </c>
      <c r="X57" s="81">
        <f t="shared" si="44"/>
        <v>0.82051282051282026</v>
      </c>
      <c r="Y57" s="81">
        <f t="shared" si="44"/>
        <v>-0.17948717948717974</v>
      </c>
      <c r="Z57" s="81">
        <f t="shared" si="44"/>
        <v>1.8205128205128203</v>
      </c>
      <c r="AA57" s="81">
        <f t="shared" si="44"/>
        <v>0.82051282051282026</v>
      </c>
      <c r="AB57" s="81">
        <f t="shared" si="44"/>
        <v>1.8205128205128212</v>
      </c>
      <c r="AC57" s="81">
        <f t="shared" si="44"/>
        <v>2.8205128205128212</v>
      </c>
      <c r="AD57" s="81">
        <f t="shared" si="44"/>
        <v>1.8205128205128212</v>
      </c>
      <c r="AE57" s="81">
        <f t="shared" si="44"/>
        <v>1.8205128205128212</v>
      </c>
      <c r="AF57" s="81">
        <f t="shared" si="44"/>
        <v>0.82051282051282115</v>
      </c>
      <c r="AG57" s="81">
        <f t="shared" si="44"/>
        <v>0.82051282051282115</v>
      </c>
      <c r="AH57" s="81">
        <f t="shared" si="44"/>
        <v>-0.17948717948717885</v>
      </c>
      <c r="AI57" s="81">
        <f t="shared" si="44"/>
        <v>0.82051282051282115</v>
      </c>
      <c r="AJ57" s="81">
        <f t="shared" si="44"/>
        <v>0.82051282051282115</v>
      </c>
      <c r="AK57" s="81">
        <f t="shared" si="44"/>
        <v>0.82051282051282115</v>
      </c>
      <c r="AL57" s="81">
        <f t="shared" si="44"/>
        <v>-0.17948717948717885</v>
      </c>
      <c r="AM57" s="81">
        <f t="shared" si="44"/>
        <v>-1.1794871794871788</v>
      </c>
      <c r="AN57" s="81">
        <f t="shared" si="44"/>
        <v>-1.1794871794871788</v>
      </c>
      <c r="AO57" s="81">
        <f t="shared" si="44"/>
        <v>-0.17948717948717885</v>
      </c>
      <c r="AP57" s="81">
        <f t="shared" si="44"/>
        <v>-0.17948717948717885</v>
      </c>
      <c r="AQ57" s="81">
        <f t="shared" si="44"/>
        <v>-1.1794871794871788</v>
      </c>
      <c r="AR57" s="81">
        <f t="shared" ref="AR57:BW57" si="45">SUM((0.5*$CJ57),AQ17,-AR17)</f>
        <v>-0.17948717948717885</v>
      </c>
      <c r="AS57" s="81">
        <f t="shared" si="45"/>
        <v>-0.17948717948717885</v>
      </c>
      <c r="AT57" s="81">
        <f t="shared" si="45"/>
        <v>-1.1794871794871788</v>
      </c>
      <c r="AU57" s="81">
        <f t="shared" si="45"/>
        <v>-0.17948717948717885</v>
      </c>
      <c r="AV57" s="81">
        <f t="shared" si="45"/>
        <v>-1.1794871794871788</v>
      </c>
      <c r="AW57" s="81">
        <f t="shared" si="45"/>
        <v>-0.17948717948717885</v>
      </c>
      <c r="AX57" s="81">
        <f t="shared" si="45"/>
        <v>-0.17948717948717885</v>
      </c>
      <c r="AY57" s="81">
        <f t="shared" si="45"/>
        <v>-1.1794871794871788</v>
      </c>
      <c r="AZ57" s="81">
        <f t="shared" si="45"/>
        <v>-0.17948717948717885</v>
      </c>
      <c r="BA57" s="81">
        <f t="shared" si="45"/>
        <v>-0.17948717948717885</v>
      </c>
      <c r="BB57" s="81">
        <f t="shared" si="45"/>
        <v>-1.1794871794871788</v>
      </c>
      <c r="BC57" s="81">
        <f t="shared" si="45"/>
        <v>-0.17948717948717885</v>
      </c>
      <c r="BD57" s="81">
        <f t="shared" si="45"/>
        <v>-0.17948717948717885</v>
      </c>
      <c r="BE57" s="81">
        <f t="shared" si="45"/>
        <v>-0.17948717948717885</v>
      </c>
      <c r="BF57" s="81">
        <f t="shared" si="45"/>
        <v>-0.17948717948717885</v>
      </c>
      <c r="BG57" s="81">
        <f t="shared" si="45"/>
        <v>-0.17948717948717885</v>
      </c>
      <c r="BH57" s="81">
        <f t="shared" si="45"/>
        <v>0.82051282051282115</v>
      </c>
      <c r="BI57" s="81">
        <f t="shared" si="45"/>
        <v>-0.17948717948717885</v>
      </c>
      <c r="BJ57" s="81">
        <f t="shared" si="45"/>
        <v>0.82051282051282115</v>
      </c>
      <c r="BK57" s="81">
        <f t="shared" si="45"/>
        <v>-0.17948717948717885</v>
      </c>
      <c r="BL57" s="81">
        <f t="shared" si="45"/>
        <v>-2.1794871794871788</v>
      </c>
      <c r="BM57" s="81">
        <f t="shared" si="45"/>
        <v>-1.1794871794871788</v>
      </c>
      <c r="BN57" s="81">
        <f t="shared" si="45"/>
        <v>-1.1794871794871788</v>
      </c>
      <c r="BO57" s="81">
        <f t="shared" si="45"/>
        <v>-0.17948717948717885</v>
      </c>
      <c r="BP57" s="81">
        <f t="shared" si="45"/>
        <v>-1.1794871794871788</v>
      </c>
      <c r="BQ57" s="81">
        <f t="shared" si="45"/>
        <v>-0.17948717948717885</v>
      </c>
      <c r="BR57" s="81">
        <f t="shared" si="45"/>
        <v>-3.1794871794871788</v>
      </c>
      <c r="BS57" s="81">
        <f t="shared" si="45"/>
        <v>-1.1794871794871788</v>
      </c>
      <c r="BT57" s="81">
        <f t="shared" si="45"/>
        <v>-2.1794871794871788</v>
      </c>
      <c r="BU57" s="81">
        <f t="shared" si="45"/>
        <v>-2.1794871794871797</v>
      </c>
      <c r="BV57" s="81">
        <f t="shared" si="45"/>
        <v>-1.1794871794871797</v>
      </c>
      <c r="BW57" s="81">
        <f t="shared" si="45"/>
        <v>-1.1794871794871793</v>
      </c>
      <c r="BX57" s="81">
        <f t="shared" ref="BX57:CI57" si="46">SUM((0.5*$CJ57),BW17,-BX17)</f>
        <v>-1.1794871794871793</v>
      </c>
      <c r="BY57" s="81">
        <f t="shared" si="46"/>
        <v>-1.1794871794871795</v>
      </c>
      <c r="BZ57" s="81">
        <f t="shared" si="46"/>
        <v>-0.17948717948717949</v>
      </c>
      <c r="CA57" s="81">
        <f t="shared" si="46"/>
        <v>-0.17948717948717949</v>
      </c>
      <c r="CB57" s="81">
        <f t="shared" si="46"/>
        <v>-0.17948717948717949</v>
      </c>
      <c r="CC57" s="81">
        <f t="shared" si="46"/>
        <v>-0.17948717948717949</v>
      </c>
      <c r="CD57" s="81">
        <f t="shared" si="46"/>
        <v>-0.17948717948717949</v>
      </c>
      <c r="CE57" s="81">
        <f t="shared" si="46"/>
        <v>-0.17948717948717949</v>
      </c>
      <c r="CF57" s="81">
        <f t="shared" si="46"/>
        <v>-0.17948717948717949</v>
      </c>
      <c r="CG57" s="81">
        <f t="shared" si="46"/>
        <v>-0.17948717948717949</v>
      </c>
      <c r="CH57" s="81">
        <f t="shared" si="46"/>
        <v>-0.17948717948717949</v>
      </c>
      <c r="CI57" s="81">
        <f t="shared" si="46"/>
        <v>-0.17948717948717949</v>
      </c>
      <c r="CJ57" s="81">
        <f t="shared" si="5"/>
        <v>-0.35897435897435898</v>
      </c>
      <c r="CL57" s="74">
        <f t="shared" si="6"/>
        <v>10.386666666666667</v>
      </c>
      <c r="CR57" s="27"/>
    </row>
    <row r="58" spans="4:96" s="1" customFormat="1" ht="69.95" customHeight="1">
      <c r="D58" s="28">
        <v>27</v>
      </c>
      <c r="H58" s="4"/>
      <c r="I58" s="2"/>
      <c r="J58" s="81">
        <f t="shared" si="1"/>
        <v>-0.5641025641025641</v>
      </c>
      <c r="K58" s="81">
        <f>SUM((0.5*$CJ58),0)</f>
        <v>-0.28205128205128205</v>
      </c>
      <c r="L58" s="81">
        <f t="shared" ref="L58:BW58" si="47">SUM((0.5*$CJ58),K18,-L18)</f>
        <v>0.71794871794871795</v>
      </c>
      <c r="M58" s="81">
        <f t="shared" si="47"/>
        <v>-4.2820512820512819</v>
      </c>
      <c r="N58" s="81">
        <f t="shared" si="47"/>
        <v>-0.28205128205128194</v>
      </c>
      <c r="O58" s="81">
        <f t="shared" si="47"/>
        <v>0.71794871794871806</v>
      </c>
      <c r="P58" s="81">
        <f t="shared" si="47"/>
        <v>-0.28205128205128194</v>
      </c>
      <c r="Q58" s="81">
        <f t="shared" si="47"/>
        <v>-0.28205128205128194</v>
      </c>
      <c r="R58" s="81">
        <f t="shared" si="47"/>
        <v>-1.2820512820512819</v>
      </c>
      <c r="S58" s="81">
        <f t="shared" si="47"/>
        <v>-0.28205128205128194</v>
      </c>
      <c r="T58" s="81">
        <f t="shared" si="47"/>
        <v>-1.2820512820512819</v>
      </c>
      <c r="U58" s="81">
        <f t="shared" si="47"/>
        <v>-0.28205128205128194</v>
      </c>
      <c r="V58" s="81">
        <f t="shared" si="47"/>
        <v>-0.28205128205128194</v>
      </c>
      <c r="W58" s="81">
        <f t="shared" si="47"/>
        <v>-0.28205128205128194</v>
      </c>
      <c r="X58" s="81">
        <f t="shared" si="47"/>
        <v>-1.2820512820512819</v>
      </c>
      <c r="Y58" s="81">
        <f t="shared" si="47"/>
        <v>-0.28205128205128194</v>
      </c>
      <c r="Z58" s="81">
        <f t="shared" si="47"/>
        <v>-1.2820512820512819</v>
      </c>
      <c r="AA58" s="81">
        <f t="shared" si="47"/>
        <v>-0.28205128205128194</v>
      </c>
      <c r="AB58" s="81">
        <f t="shared" si="47"/>
        <v>0.71794871794871806</v>
      </c>
      <c r="AC58" s="81">
        <f t="shared" si="47"/>
        <v>0.71794871794871806</v>
      </c>
      <c r="AD58" s="81">
        <f t="shared" si="47"/>
        <v>-0.28205128205128194</v>
      </c>
      <c r="AE58" s="81">
        <f t="shared" si="47"/>
        <v>-0.28205128205128194</v>
      </c>
      <c r="AF58" s="81">
        <f t="shared" si="47"/>
        <v>-0.28205128205128194</v>
      </c>
      <c r="AG58" s="81">
        <f t="shared" si="47"/>
        <v>0.71794871794871806</v>
      </c>
      <c r="AH58" s="81">
        <f t="shared" si="47"/>
        <v>0.71794871794871806</v>
      </c>
      <c r="AI58" s="81">
        <f t="shared" si="47"/>
        <v>0.71794871794871806</v>
      </c>
      <c r="AJ58" s="81">
        <f t="shared" si="47"/>
        <v>-0.28205128205128205</v>
      </c>
      <c r="AK58" s="81">
        <f t="shared" si="47"/>
        <v>0.71794871794871795</v>
      </c>
      <c r="AL58" s="81">
        <f t="shared" si="47"/>
        <v>0.71794871794871795</v>
      </c>
      <c r="AM58" s="81">
        <f t="shared" si="47"/>
        <v>0.71794871794871806</v>
      </c>
      <c r="AN58" s="81">
        <f t="shared" si="47"/>
        <v>-0.28205128205128194</v>
      </c>
      <c r="AO58" s="81">
        <f t="shared" si="47"/>
        <v>0.71794871794871806</v>
      </c>
      <c r="AP58" s="81">
        <f t="shared" si="47"/>
        <v>-0.28205128205128194</v>
      </c>
      <c r="AQ58" s="81">
        <f t="shared" si="47"/>
        <v>0.71794871794871806</v>
      </c>
      <c r="AR58" s="81">
        <f t="shared" si="47"/>
        <v>-0.28205128205128194</v>
      </c>
      <c r="AS58" s="81">
        <f t="shared" si="47"/>
        <v>-0.28205128205128194</v>
      </c>
      <c r="AT58" s="81">
        <f t="shared" si="47"/>
        <v>0.71794871794871806</v>
      </c>
      <c r="AU58" s="81">
        <f t="shared" si="47"/>
        <v>0.71794871794871806</v>
      </c>
      <c r="AV58" s="81">
        <f t="shared" si="47"/>
        <v>-0.28205128205128194</v>
      </c>
      <c r="AW58" s="81">
        <f t="shared" si="47"/>
        <v>-0.28205128205128194</v>
      </c>
      <c r="AX58" s="81">
        <f t="shared" si="47"/>
        <v>-0.28205128205128194</v>
      </c>
      <c r="AY58" s="81">
        <f t="shared" si="47"/>
        <v>-0.28205128205128194</v>
      </c>
      <c r="AZ58" s="81">
        <f t="shared" si="47"/>
        <v>0.71794871794871806</v>
      </c>
      <c r="BA58" s="81">
        <f t="shared" si="47"/>
        <v>0.71794871794871806</v>
      </c>
      <c r="BB58" s="81">
        <f t="shared" si="47"/>
        <v>-0.28205128205128283</v>
      </c>
      <c r="BC58" s="81">
        <f t="shared" si="47"/>
        <v>-0.28205128205128283</v>
      </c>
      <c r="BD58" s="81">
        <f t="shared" si="47"/>
        <v>-0.28205128205128283</v>
      </c>
      <c r="BE58" s="81">
        <f t="shared" si="47"/>
        <v>-0.28205128205128283</v>
      </c>
      <c r="BF58" s="81">
        <f t="shared" si="47"/>
        <v>-0.28205128205128283</v>
      </c>
      <c r="BG58" s="81">
        <f t="shared" si="47"/>
        <v>-0.28205128205128283</v>
      </c>
      <c r="BH58" s="81">
        <f t="shared" si="47"/>
        <v>-1.2820512820512828</v>
      </c>
      <c r="BI58" s="81">
        <f t="shared" si="47"/>
        <v>-0.28205128205128194</v>
      </c>
      <c r="BJ58" s="81">
        <f t="shared" si="47"/>
        <v>-0.28205128205128194</v>
      </c>
      <c r="BK58" s="81">
        <f t="shared" si="47"/>
        <v>-0.28205128205128194</v>
      </c>
      <c r="BL58" s="81">
        <f t="shared" si="47"/>
        <v>-1.2820512820512819</v>
      </c>
      <c r="BM58" s="81">
        <f t="shared" si="47"/>
        <v>-0.28205128205128194</v>
      </c>
      <c r="BN58" s="81">
        <f t="shared" si="47"/>
        <v>-0.28205128205128194</v>
      </c>
      <c r="BO58" s="81">
        <f t="shared" si="47"/>
        <v>-0.28205128205128194</v>
      </c>
      <c r="BP58" s="81">
        <f t="shared" si="47"/>
        <v>-1.2820512820512819</v>
      </c>
      <c r="BQ58" s="81">
        <f t="shared" si="47"/>
        <v>-0.28205128205128194</v>
      </c>
      <c r="BR58" s="81">
        <f t="shared" si="47"/>
        <v>-1.2820512820512819</v>
      </c>
      <c r="BS58" s="81">
        <f t="shared" si="47"/>
        <v>-1.2820512820512819</v>
      </c>
      <c r="BT58" s="81">
        <f t="shared" si="47"/>
        <v>-0.28205128205128194</v>
      </c>
      <c r="BU58" s="81">
        <f t="shared" si="47"/>
        <v>-1.2820512820512819</v>
      </c>
      <c r="BV58" s="81">
        <f t="shared" si="47"/>
        <v>-0.28205128205128194</v>
      </c>
      <c r="BW58" s="81">
        <f t="shared" si="47"/>
        <v>-0.28205128205128194</v>
      </c>
      <c r="BX58" s="81">
        <f t="shared" ref="BX58:CI58" si="48">SUM((0.5*$CJ58),BW18,-BX18)</f>
        <v>-1.2820512820512819</v>
      </c>
      <c r="BY58" s="81">
        <f t="shared" si="48"/>
        <v>-0.28205128205128194</v>
      </c>
      <c r="BZ58" s="81">
        <f t="shared" si="48"/>
        <v>-0.28205128205128194</v>
      </c>
      <c r="CA58" s="81">
        <f t="shared" si="48"/>
        <v>-0.28205128205128194</v>
      </c>
      <c r="CB58" s="81">
        <f t="shared" si="48"/>
        <v>-0.28205128205128194</v>
      </c>
      <c r="CC58" s="81">
        <f t="shared" si="48"/>
        <v>-0.28205128205128194</v>
      </c>
      <c r="CD58" s="81">
        <f t="shared" si="48"/>
        <v>-0.28205128205128194</v>
      </c>
      <c r="CE58" s="81">
        <f t="shared" si="48"/>
        <v>-0.28205128205128194</v>
      </c>
      <c r="CF58" s="81">
        <f t="shared" si="48"/>
        <v>-0.28205128205128194</v>
      </c>
      <c r="CG58" s="81">
        <f t="shared" si="48"/>
        <v>-0.28205128205128194</v>
      </c>
      <c r="CH58" s="81">
        <f t="shared" si="48"/>
        <v>-1.2820512820512819</v>
      </c>
      <c r="CI58" s="81">
        <f t="shared" si="48"/>
        <v>-0.28205128205128205</v>
      </c>
      <c r="CJ58" s="81">
        <f t="shared" si="5"/>
        <v>-0.5641025641025641</v>
      </c>
      <c r="CL58" s="74">
        <f t="shared" si="6"/>
        <v>3.9200000000000004</v>
      </c>
      <c r="CR58" s="27"/>
    </row>
    <row r="59" spans="4:96" s="1" customFormat="1" ht="69.95" customHeight="1">
      <c r="D59" s="28">
        <v>25</v>
      </c>
      <c r="H59" s="4"/>
      <c r="I59" s="2"/>
      <c r="J59" s="81">
        <f t="shared" si="1"/>
        <v>0.84615384615384615</v>
      </c>
      <c r="K59" s="81">
        <f t="shared" si="9"/>
        <v>0.42307692307692307</v>
      </c>
      <c r="L59" s="81">
        <f t="shared" ref="L59:AQ59" si="49">SUM((0.5*$CJ59),K19,-L19)</f>
        <v>1.4230769230769231</v>
      </c>
      <c r="M59" s="81">
        <f t="shared" si="49"/>
        <v>-1.5769230769230769</v>
      </c>
      <c r="N59" s="81">
        <f t="shared" si="49"/>
        <v>0.42307692307692313</v>
      </c>
      <c r="O59" s="81">
        <f t="shared" si="49"/>
        <v>0.42307692307692313</v>
      </c>
      <c r="P59" s="81">
        <f t="shared" si="49"/>
        <v>0.42307692307692313</v>
      </c>
      <c r="Q59" s="81">
        <f t="shared" si="49"/>
        <v>1.4230769230769231</v>
      </c>
      <c r="R59" s="81">
        <f t="shared" si="49"/>
        <v>0.42307692307692307</v>
      </c>
      <c r="S59" s="81">
        <f t="shared" si="49"/>
        <v>1.4230769230769231</v>
      </c>
      <c r="T59" s="81">
        <f t="shared" si="49"/>
        <v>1.4230769230769231</v>
      </c>
      <c r="U59" s="81">
        <f t="shared" si="49"/>
        <v>0.42307692307692313</v>
      </c>
      <c r="V59" s="81">
        <f t="shared" si="49"/>
        <v>1.4230769230769231</v>
      </c>
      <c r="W59" s="81">
        <f t="shared" si="49"/>
        <v>1.4230769230769229</v>
      </c>
      <c r="X59" s="81">
        <f t="shared" si="49"/>
        <v>1.4230769230769229</v>
      </c>
      <c r="Y59" s="81">
        <f t="shared" si="49"/>
        <v>0.42307692307692335</v>
      </c>
      <c r="Z59" s="81">
        <f t="shared" si="49"/>
        <v>2.4230769230769234</v>
      </c>
      <c r="AA59" s="81">
        <f t="shared" si="49"/>
        <v>1.4230769230769234</v>
      </c>
      <c r="AB59" s="81">
        <f t="shared" si="49"/>
        <v>2.4230769230769234</v>
      </c>
      <c r="AC59" s="81">
        <f t="shared" si="49"/>
        <v>3.4230769230769234</v>
      </c>
      <c r="AD59" s="81">
        <f t="shared" si="49"/>
        <v>2.4230769230769234</v>
      </c>
      <c r="AE59" s="81">
        <f t="shared" si="49"/>
        <v>2.4230769230769234</v>
      </c>
      <c r="AF59" s="81">
        <f t="shared" si="49"/>
        <v>1.4230769230769234</v>
      </c>
      <c r="AG59" s="81">
        <f t="shared" si="49"/>
        <v>1.4230769230769234</v>
      </c>
      <c r="AH59" s="81">
        <f t="shared" si="49"/>
        <v>0.42307692307692335</v>
      </c>
      <c r="AI59" s="81">
        <f t="shared" si="49"/>
        <v>1.4230769230769234</v>
      </c>
      <c r="AJ59" s="81">
        <f t="shared" si="49"/>
        <v>1.4230769230769234</v>
      </c>
      <c r="AK59" s="81">
        <f t="shared" si="49"/>
        <v>1.4230769230769234</v>
      </c>
      <c r="AL59" s="81">
        <f t="shared" si="49"/>
        <v>0.42307692307692335</v>
      </c>
      <c r="AM59" s="81">
        <f t="shared" si="49"/>
        <v>-0.57692307692307665</v>
      </c>
      <c r="AN59" s="81">
        <f t="shared" si="49"/>
        <v>-0.57692307692307665</v>
      </c>
      <c r="AO59" s="81">
        <f t="shared" si="49"/>
        <v>0.42307692307692335</v>
      </c>
      <c r="AP59" s="81">
        <f t="shared" si="49"/>
        <v>0.42307692307692335</v>
      </c>
      <c r="AQ59" s="81">
        <f t="shared" si="49"/>
        <v>-0.57692307692307665</v>
      </c>
      <c r="AR59" s="81">
        <f t="shared" ref="AR59:BW59" si="50">SUM((0.5*$CJ59),AQ19,-AR19)</f>
        <v>0.42307692307692335</v>
      </c>
      <c r="AS59" s="81">
        <f t="shared" si="50"/>
        <v>0.42307692307692335</v>
      </c>
      <c r="AT59" s="81">
        <f t="shared" si="50"/>
        <v>-0.57692307692307665</v>
      </c>
      <c r="AU59" s="81">
        <f t="shared" si="50"/>
        <v>0.42307692307692335</v>
      </c>
      <c r="AV59" s="81">
        <f t="shared" si="50"/>
        <v>-0.57692307692307665</v>
      </c>
      <c r="AW59" s="81">
        <f t="shared" si="50"/>
        <v>0.42307692307692335</v>
      </c>
      <c r="AX59" s="81">
        <f t="shared" si="50"/>
        <v>0.42307692307692335</v>
      </c>
      <c r="AY59" s="81">
        <f t="shared" si="50"/>
        <v>-0.57692307692307665</v>
      </c>
      <c r="AZ59" s="81">
        <f t="shared" si="50"/>
        <v>0.42307692307692335</v>
      </c>
      <c r="BA59" s="81">
        <f t="shared" si="50"/>
        <v>0.42307692307692335</v>
      </c>
      <c r="BB59" s="81">
        <f t="shared" si="50"/>
        <v>-0.57692307692307665</v>
      </c>
      <c r="BC59" s="81">
        <f t="shared" si="50"/>
        <v>0.42307692307692335</v>
      </c>
      <c r="BD59" s="81">
        <f t="shared" si="50"/>
        <v>0.42307692307692335</v>
      </c>
      <c r="BE59" s="81">
        <f t="shared" si="50"/>
        <v>0.42307692307692335</v>
      </c>
      <c r="BF59" s="81">
        <f t="shared" si="50"/>
        <v>0.42307692307692335</v>
      </c>
      <c r="BG59" s="81">
        <f t="shared" si="50"/>
        <v>0.42307692307692335</v>
      </c>
      <c r="BH59" s="81">
        <f t="shared" si="50"/>
        <v>1.4230769230769234</v>
      </c>
      <c r="BI59" s="81">
        <f t="shared" si="50"/>
        <v>0.42307692307692335</v>
      </c>
      <c r="BJ59" s="81">
        <f t="shared" si="50"/>
        <v>1.4230769230769234</v>
      </c>
      <c r="BK59" s="81">
        <f t="shared" si="50"/>
        <v>0.42307692307692335</v>
      </c>
      <c r="BL59" s="81">
        <f t="shared" si="50"/>
        <v>-1.5769230769230766</v>
      </c>
      <c r="BM59" s="81">
        <f t="shared" si="50"/>
        <v>-0.57692307692307665</v>
      </c>
      <c r="BN59" s="81">
        <f t="shared" si="50"/>
        <v>-0.57692307692307665</v>
      </c>
      <c r="BO59" s="81">
        <f t="shared" si="50"/>
        <v>0.42307692307692335</v>
      </c>
      <c r="BP59" s="81">
        <f t="shared" si="50"/>
        <v>-0.57692307692307665</v>
      </c>
      <c r="BQ59" s="81">
        <f t="shared" si="50"/>
        <v>0.42307692307692335</v>
      </c>
      <c r="BR59" s="81">
        <f t="shared" si="50"/>
        <v>-2.5769230769230766</v>
      </c>
      <c r="BS59" s="81">
        <f t="shared" si="50"/>
        <v>-0.57692307692307665</v>
      </c>
      <c r="BT59" s="81">
        <f t="shared" si="50"/>
        <v>-1.5769230769230766</v>
      </c>
      <c r="BU59" s="81">
        <f t="shared" si="50"/>
        <v>-1.5769230769230766</v>
      </c>
      <c r="BV59" s="81">
        <f t="shared" si="50"/>
        <v>-0.57692307692307709</v>
      </c>
      <c r="BW59" s="81">
        <f t="shared" si="50"/>
        <v>-0.57692307692307709</v>
      </c>
      <c r="BX59" s="81">
        <f t="shared" ref="BX59:CI59" si="51">SUM((0.5*$CJ59),BW19,-BX19)</f>
        <v>-0.57692307692307687</v>
      </c>
      <c r="BY59" s="81">
        <f t="shared" si="51"/>
        <v>-0.57692307692307687</v>
      </c>
      <c r="BZ59" s="81">
        <f t="shared" si="51"/>
        <v>0.42307692307692307</v>
      </c>
      <c r="CA59" s="81">
        <f t="shared" si="51"/>
        <v>0.42307692307692307</v>
      </c>
      <c r="CB59" s="81">
        <f t="shared" si="51"/>
        <v>0.42307692307692307</v>
      </c>
      <c r="CC59" s="81">
        <f t="shared" si="51"/>
        <v>0.42307692307692307</v>
      </c>
      <c r="CD59" s="81">
        <f t="shared" si="51"/>
        <v>0.42307692307692307</v>
      </c>
      <c r="CE59" s="81">
        <f t="shared" si="51"/>
        <v>0.42307692307692307</v>
      </c>
      <c r="CF59" s="81">
        <f t="shared" si="51"/>
        <v>0.42307692307692307</v>
      </c>
      <c r="CG59" s="81">
        <f t="shared" si="51"/>
        <v>0.42307692307692307</v>
      </c>
      <c r="CH59" s="81">
        <f t="shared" si="51"/>
        <v>0.42307692307692307</v>
      </c>
      <c r="CI59" s="81">
        <f t="shared" si="51"/>
        <v>0.42307692307692307</v>
      </c>
      <c r="CJ59" s="81">
        <f t="shared" si="5"/>
        <v>0.84615384615384615</v>
      </c>
      <c r="CL59" s="74">
        <f t="shared" si="6"/>
        <v>10.386666666666667</v>
      </c>
      <c r="CR59" s="27"/>
    </row>
    <row r="60" spans="4:96" s="1" customFormat="1" ht="69.95" customHeight="1">
      <c r="D60" s="28">
        <v>23</v>
      </c>
      <c r="H60" s="4"/>
      <c r="I60" s="2"/>
      <c r="J60" s="81">
        <f t="shared" si="1"/>
        <v>-0.5641025641025641</v>
      </c>
      <c r="K60" s="81">
        <f>SUM((0.5*$CJ60),0)</f>
        <v>-0.28205128205128205</v>
      </c>
      <c r="L60" s="81">
        <f t="shared" ref="L60:BW60" si="52">SUM((0.5*$CJ60),K20,-L20)</f>
        <v>0.71794871794871795</v>
      </c>
      <c r="M60" s="81">
        <f t="shared" si="52"/>
        <v>-4.2820512820512819</v>
      </c>
      <c r="N60" s="81">
        <f t="shared" si="52"/>
        <v>-0.28205128205128194</v>
      </c>
      <c r="O60" s="81">
        <f t="shared" si="52"/>
        <v>0.71794871794871806</v>
      </c>
      <c r="P60" s="81">
        <f t="shared" si="52"/>
        <v>-0.28205128205128194</v>
      </c>
      <c r="Q60" s="81">
        <f t="shared" si="52"/>
        <v>-0.28205128205128194</v>
      </c>
      <c r="R60" s="81">
        <f t="shared" si="52"/>
        <v>-1.2820512820512819</v>
      </c>
      <c r="S60" s="81">
        <f t="shared" si="52"/>
        <v>-0.28205128205128194</v>
      </c>
      <c r="T60" s="81">
        <f t="shared" si="52"/>
        <v>-1.2820512820512819</v>
      </c>
      <c r="U60" s="81">
        <f t="shared" si="52"/>
        <v>-0.28205128205128194</v>
      </c>
      <c r="V60" s="81">
        <f t="shared" si="52"/>
        <v>-0.28205128205128194</v>
      </c>
      <c r="W60" s="81">
        <f t="shared" si="52"/>
        <v>-0.28205128205128194</v>
      </c>
      <c r="X60" s="81">
        <f t="shared" si="52"/>
        <v>-1.2820512820512819</v>
      </c>
      <c r="Y60" s="81">
        <f t="shared" si="52"/>
        <v>-0.28205128205128194</v>
      </c>
      <c r="Z60" s="81">
        <f t="shared" si="52"/>
        <v>-1.2820512820512819</v>
      </c>
      <c r="AA60" s="81">
        <f t="shared" si="52"/>
        <v>-0.28205128205128194</v>
      </c>
      <c r="AB60" s="81">
        <f t="shared" si="52"/>
        <v>0.71794871794871806</v>
      </c>
      <c r="AC60" s="81">
        <f t="shared" si="52"/>
        <v>0.71794871794871806</v>
      </c>
      <c r="AD60" s="81">
        <f t="shared" si="52"/>
        <v>-0.28205128205128194</v>
      </c>
      <c r="AE60" s="81">
        <f t="shared" si="52"/>
        <v>-0.28205128205128194</v>
      </c>
      <c r="AF60" s="81">
        <f t="shared" si="52"/>
        <v>-0.28205128205128194</v>
      </c>
      <c r="AG60" s="81">
        <f t="shared" si="52"/>
        <v>0.71794871794871806</v>
      </c>
      <c r="AH60" s="81">
        <f t="shared" si="52"/>
        <v>0.71794871794871806</v>
      </c>
      <c r="AI60" s="81">
        <f t="shared" si="52"/>
        <v>0.71794871794871806</v>
      </c>
      <c r="AJ60" s="81">
        <f t="shared" si="52"/>
        <v>-0.28205128205128205</v>
      </c>
      <c r="AK60" s="81">
        <f t="shared" si="52"/>
        <v>0.71794871794871795</v>
      </c>
      <c r="AL60" s="81">
        <f t="shared" si="52"/>
        <v>0.71794871794871795</v>
      </c>
      <c r="AM60" s="81">
        <f t="shared" si="52"/>
        <v>0.71794871794871806</v>
      </c>
      <c r="AN60" s="81">
        <f t="shared" si="52"/>
        <v>-0.28205128205128194</v>
      </c>
      <c r="AO60" s="81">
        <f t="shared" si="52"/>
        <v>0.71794871794871806</v>
      </c>
      <c r="AP60" s="81">
        <f t="shared" si="52"/>
        <v>-0.28205128205128194</v>
      </c>
      <c r="AQ60" s="81">
        <f t="shared" si="52"/>
        <v>0.71794871794871806</v>
      </c>
      <c r="AR60" s="81">
        <f t="shared" si="52"/>
        <v>-0.28205128205128194</v>
      </c>
      <c r="AS60" s="81">
        <f t="shared" si="52"/>
        <v>-0.28205128205128194</v>
      </c>
      <c r="AT60" s="81">
        <f t="shared" si="52"/>
        <v>0.71794871794871806</v>
      </c>
      <c r="AU60" s="81">
        <f t="shared" si="52"/>
        <v>0.71794871794871806</v>
      </c>
      <c r="AV60" s="81">
        <f t="shared" si="52"/>
        <v>-0.28205128205128194</v>
      </c>
      <c r="AW60" s="81">
        <f t="shared" si="52"/>
        <v>-0.28205128205128194</v>
      </c>
      <c r="AX60" s="81">
        <f t="shared" si="52"/>
        <v>-0.28205128205128194</v>
      </c>
      <c r="AY60" s="81">
        <f t="shared" si="52"/>
        <v>-0.28205128205128194</v>
      </c>
      <c r="AZ60" s="81">
        <f t="shared" si="52"/>
        <v>0.71794871794871806</v>
      </c>
      <c r="BA60" s="81">
        <f t="shared" si="52"/>
        <v>0.71794871794871806</v>
      </c>
      <c r="BB60" s="81">
        <f t="shared" si="52"/>
        <v>-0.28205128205128283</v>
      </c>
      <c r="BC60" s="81">
        <f t="shared" si="52"/>
        <v>-0.28205128205128283</v>
      </c>
      <c r="BD60" s="81">
        <f t="shared" si="52"/>
        <v>-0.28205128205128283</v>
      </c>
      <c r="BE60" s="81">
        <f t="shared" si="52"/>
        <v>-0.28205128205128283</v>
      </c>
      <c r="BF60" s="81">
        <f t="shared" si="52"/>
        <v>-0.28205128205128283</v>
      </c>
      <c r="BG60" s="81">
        <f t="shared" si="52"/>
        <v>-0.28205128205128283</v>
      </c>
      <c r="BH60" s="81">
        <f t="shared" si="52"/>
        <v>-1.2820512820512828</v>
      </c>
      <c r="BI60" s="81">
        <f t="shared" si="52"/>
        <v>-0.28205128205128194</v>
      </c>
      <c r="BJ60" s="81">
        <f t="shared" si="52"/>
        <v>-0.28205128205128194</v>
      </c>
      <c r="BK60" s="81">
        <f t="shared" si="52"/>
        <v>-0.28205128205128194</v>
      </c>
      <c r="BL60" s="81">
        <f t="shared" si="52"/>
        <v>-1.2820512820512819</v>
      </c>
      <c r="BM60" s="81">
        <f t="shared" si="52"/>
        <v>-0.28205128205128194</v>
      </c>
      <c r="BN60" s="81">
        <f t="shared" si="52"/>
        <v>-0.28205128205128194</v>
      </c>
      <c r="BO60" s="81">
        <f t="shared" si="52"/>
        <v>-0.28205128205128194</v>
      </c>
      <c r="BP60" s="81">
        <f t="shared" si="52"/>
        <v>-1.2820512820512819</v>
      </c>
      <c r="BQ60" s="81">
        <f t="shared" si="52"/>
        <v>-0.28205128205128194</v>
      </c>
      <c r="BR60" s="81">
        <f t="shared" si="52"/>
        <v>-1.2820512820512819</v>
      </c>
      <c r="BS60" s="81">
        <f t="shared" si="52"/>
        <v>-1.2820512820512819</v>
      </c>
      <c r="BT60" s="81">
        <f t="shared" si="52"/>
        <v>-0.28205128205128194</v>
      </c>
      <c r="BU60" s="81">
        <f t="shared" si="52"/>
        <v>-1.2820512820512819</v>
      </c>
      <c r="BV60" s="81">
        <f t="shared" si="52"/>
        <v>-0.28205128205128194</v>
      </c>
      <c r="BW60" s="81">
        <f t="shared" si="52"/>
        <v>-0.28205128205128194</v>
      </c>
      <c r="BX60" s="81">
        <f t="shared" ref="BX60:CI60" si="53">SUM((0.5*$CJ60),BW20,-BX20)</f>
        <v>-1.2820512820512819</v>
      </c>
      <c r="BY60" s="81">
        <f t="shared" si="53"/>
        <v>-0.28205128205128194</v>
      </c>
      <c r="BZ60" s="81">
        <f t="shared" si="53"/>
        <v>-0.28205128205128194</v>
      </c>
      <c r="CA60" s="81">
        <f t="shared" si="53"/>
        <v>-0.28205128205128194</v>
      </c>
      <c r="CB60" s="81">
        <f t="shared" si="53"/>
        <v>-0.28205128205128194</v>
      </c>
      <c r="CC60" s="81">
        <f t="shared" si="53"/>
        <v>-0.28205128205128194</v>
      </c>
      <c r="CD60" s="81">
        <f t="shared" si="53"/>
        <v>-0.28205128205128194</v>
      </c>
      <c r="CE60" s="81">
        <f t="shared" si="53"/>
        <v>-0.28205128205128194</v>
      </c>
      <c r="CF60" s="81">
        <f t="shared" si="53"/>
        <v>-0.28205128205128194</v>
      </c>
      <c r="CG60" s="81">
        <f t="shared" si="53"/>
        <v>-0.28205128205128194</v>
      </c>
      <c r="CH60" s="81">
        <f t="shared" si="53"/>
        <v>-1.2820512820512819</v>
      </c>
      <c r="CI60" s="81">
        <f t="shared" si="53"/>
        <v>-0.28205128205128205</v>
      </c>
      <c r="CJ60" s="81">
        <f t="shared" si="5"/>
        <v>-0.5641025641025641</v>
      </c>
      <c r="CL60" s="74">
        <f t="shared" si="6"/>
        <v>3.9200000000000004</v>
      </c>
      <c r="CR60" s="27"/>
    </row>
    <row r="61" spans="4:96" s="1" customFormat="1" ht="69.95" customHeight="1">
      <c r="D61" s="28">
        <v>21</v>
      </c>
      <c r="H61" s="4"/>
      <c r="I61" s="2"/>
      <c r="J61" s="81">
        <f t="shared" si="1"/>
        <v>1.4871794871794872</v>
      </c>
      <c r="K61" s="81">
        <f t="shared" si="9"/>
        <v>0.74358974358974361</v>
      </c>
      <c r="L61" s="81">
        <f t="shared" ref="L61:AQ61" si="54">SUM((0.5*$CJ61),K21,-L21)</f>
        <v>1.7435897435897436</v>
      </c>
      <c r="M61" s="81">
        <f t="shared" si="54"/>
        <v>-1.2564102564102564</v>
      </c>
      <c r="N61" s="81">
        <f t="shared" si="54"/>
        <v>0.74358974358974361</v>
      </c>
      <c r="O61" s="81">
        <f t="shared" si="54"/>
        <v>0.74358974358974361</v>
      </c>
      <c r="P61" s="81">
        <f t="shared" si="54"/>
        <v>0.74358974358974361</v>
      </c>
      <c r="Q61" s="81">
        <f t="shared" si="54"/>
        <v>1.7435897435897436</v>
      </c>
      <c r="R61" s="81">
        <f t="shared" si="54"/>
        <v>0.74358974358974361</v>
      </c>
      <c r="S61" s="81">
        <f t="shared" si="54"/>
        <v>1.7435897435897436</v>
      </c>
      <c r="T61" s="81">
        <f t="shared" si="54"/>
        <v>1.7435897435897436</v>
      </c>
      <c r="U61" s="81">
        <f t="shared" si="54"/>
        <v>0.74358974358974361</v>
      </c>
      <c r="V61" s="81">
        <f t="shared" si="54"/>
        <v>1.7435897435897436</v>
      </c>
      <c r="W61" s="81">
        <f t="shared" si="54"/>
        <v>1.7435897435897436</v>
      </c>
      <c r="X61" s="81">
        <f t="shared" si="54"/>
        <v>1.7435897435897436</v>
      </c>
      <c r="Y61" s="81">
        <f t="shared" si="54"/>
        <v>0.74358974358974361</v>
      </c>
      <c r="Z61" s="81">
        <f t="shared" si="54"/>
        <v>2.7435897435897436</v>
      </c>
      <c r="AA61" s="81">
        <f t="shared" si="54"/>
        <v>1.7435897435897436</v>
      </c>
      <c r="AB61" s="81">
        <f t="shared" si="54"/>
        <v>2.7435897435897436</v>
      </c>
      <c r="AC61" s="81">
        <f t="shared" si="54"/>
        <v>3.7435897435897445</v>
      </c>
      <c r="AD61" s="81">
        <f t="shared" si="54"/>
        <v>2.7435897435897445</v>
      </c>
      <c r="AE61" s="81">
        <f t="shared" si="54"/>
        <v>2.7435897435897445</v>
      </c>
      <c r="AF61" s="81">
        <f t="shared" si="54"/>
        <v>1.7435897435897445</v>
      </c>
      <c r="AG61" s="81">
        <f t="shared" si="54"/>
        <v>1.7435897435897445</v>
      </c>
      <c r="AH61" s="81">
        <f t="shared" si="54"/>
        <v>0.7435897435897445</v>
      </c>
      <c r="AI61" s="81">
        <f t="shared" si="54"/>
        <v>1.7435897435897445</v>
      </c>
      <c r="AJ61" s="81">
        <f t="shared" si="54"/>
        <v>1.7435897435897445</v>
      </c>
      <c r="AK61" s="81">
        <f t="shared" si="54"/>
        <v>1.7435897435897445</v>
      </c>
      <c r="AL61" s="81">
        <f t="shared" si="54"/>
        <v>0.7435897435897445</v>
      </c>
      <c r="AM61" s="81">
        <f t="shared" si="54"/>
        <v>-0.2564102564102555</v>
      </c>
      <c r="AN61" s="81">
        <f t="shared" si="54"/>
        <v>-0.2564102564102555</v>
      </c>
      <c r="AO61" s="81">
        <f t="shared" si="54"/>
        <v>0.7435897435897445</v>
      </c>
      <c r="AP61" s="81">
        <f t="shared" si="54"/>
        <v>0.7435897435897445</v>
      </c>
      <c r="AQ61" s="81">
        <f t="shared" si="54"/>
        <v>-0.2564102564102555</v>
      </c>
      <c r="AR61" s="81">
        <f t="shared" ref="AR61:BW61" si="55">SUM((0.5*$CJ61),AQ21,-AR21)</f>
        <v>0.7435897435897445</v>
      </c>
      <c r="AS61" s="81">
        <f t="shared" si="55"/>
        <v>0.7435897435897445</v>
      </c>
      <c r="AT61" s="81">
        <f t="shared" si="55"/>
        <v>-0.2564102564102555</v>
      </c>
      <c r="AU61" s="81">
        <f t="shared" si="55"/>
        <v>0.7435897435897445</v>
      </c>
      <c r="AV61" s="81">
        <f t="shared" si="55"/>
        <v>-0.2564102564102555</v>
      </c>
      <c r="AW61" s="81">
        <f t="shared" si="55"/>
        <v>0.7435897435897445</v>
      </c>
      <c r="AX61" s="81">
        <f t="shared" si="55"/>
        <v>0.7435897435897445</v>
      </c>
      <c r="AY61" s="81">
        <f t="shared" si="55"/>
        <v>-0.2564102564102555</v>
      </c>
      <c r="AZ61" s="81">
        <f t="shared" si="55"/>
        <v>0.7435897435897445</v>
      </c>
      <c r="BA61" s="81">
        <f t="shared" si="55"/>
        <v>0.7435897435897445</v>
      </c>
      <c r="BB61" s="81">
        <f t="shared" si="55"/>
        <v>-0.2564102564102555</v>
      </c>
      <c r="BC61" s="81">
        <f t="shared" si="55"/>
        <v>0.7435897435897445</v>
      </c>
      <c r="BD61" s="81">
        <f t="shared" si="55"/>
        <v>0.7435897435897445</v>
      </c>
      <c r="BE61" s="81">
        <f t="shared" si="55"/>
        <v>0.7435897435897445</v>
      </c>
      <c r="BF61" s="81">
        <f t="shared" si="55"/>
        <v>0.7435897435897445</v>
      </c>
      <c r="BG61" s="81">
        <f t="shared" si="55"/>
        <v>0.7435897435897445</v>
      </c>
      <c r="BH61" s="81">
        <f t="shared" si="55"/>
        <v>1.7435897435897445</v>
      </c>
      <c r="BI61" s="81">
        <f t="shared" si="55"/>
        <v>0.7435897435897445</v>
      </c>
      <c r="BJ61" s="81">
        <f t="shared" si="55"/>
        <v>1.7435897435897445</v>
      </c>
      <c r="BK61" s="81">
        <f t="shared" si="55"/>
        <v>0.7435897435897445</v>
      </c>
      <c r="BL61" s="81">
        <f t="shared" si="55"/>
        <v>-1.2564102564102555</v>
      </c>
      <c r="BM61" s="81">
        <f t="shared" si="55"/>
        <v>-0.2564102564102555</v>
      </c>
      <c r="BN61" s="81">
        <f t="shared" si="55"/>
        <v>-0.2564102564102555</v>
      </c>
      <c r="BO61" s="81">
        <f t="shared" si="55"/>
        <v>0.7435897435897445</v>
      </c>
      <c r="BP61" s="81">
        <f t="shared" si="55"/>
        <v>-0.2564102564102555</v>
      </c>
      <c r="BQ61" s="81">
        <f t="shared" si="55"/>
        <v>0.7435897435897445</v>
      </c>
      <c r="BR61" s="81">
        <f t="shared" si="55"/>
        <v>-2.2564102564102555</v>
      </c>
      <c r="BS61" s="81">
        <f t="shared" si="55"/>
        <v>-0.2564102564102555</v>
      </c>
      <c r="BT61" s="81">
        <f t="shared" si="55"/>
        <v>-1.2564102564102564</v>
      </c>
      <c r="BU61" s="81">
        <f t="shared" si="55"/>
        <v>-1.2564102564102564</v>
      </c>
      <c r="BV61" s="81">
        <f t="shared" si="55"/>
        <v>-0.25641025641025639</v>
      </c>
      <c r="BW61" s="81">
        <f t="shared" si="55"/>
        <v>-0.25641025641025639</v>
      </c>
      <c r="BX61" s="81">
        <f t="shared" ref="BX61:CI61" si="56">SUM((0.5*$CJ61),BW21,-BX21)</f>
        <v>-0.25641025641025639</v>
      </c>
      <c r="BY61" s="81">
        <f t="shared" si="56"/>
        <v>-0.25641025641025639</v>
      </c>
      <c r="BZ61" s="81">
        <f t="shared" si="56"/>
        <v>0.74358974358974361</v>
      </c>
      <c r="CA61" s="81">
        <f t="shared" si="56"/>
        <v>0.74358974358974361</v>
      </c>
      <c r="CB61" s="81">
        <f t="shared" si="56"/>
        <v>0.74358974358974361</v>
      </c>
      <c r="CC61" s="81">
        <f t="shared" si="56"/>
        <v>0.74358974358974361</v>
      </c>
      <c r="CD61" s="81">
        <f t="shared" si="56"/>
        <v>0.74358974358974361</v>
      </c>
      <c r="CE61" s="81">
        <f t="shared" si="56"/>
        <v>0.74358974358974361</v>
      </c>
      <c r="CF61" s="81">
        <f t="shared" si="56"/>
        <v>0.74358974358974361</v>
      </c>
      <c r="CG61" s="81">
        <f t="shared" si="56"/>
        <v>0.74358974358974361</v>
      </c>
      <c r="CH61" s="81">
        <f t="shared" si="56"/>
        <v>0.74358974358974361</v>
      </c>
      <c r="CI61" s="81">
        <f t="shared" si="56"/>
        <v>0.74358974358974361</v>
      </c>
      <c r="CJ61" s="81">
        <f t="shared" si="5"/>
        <v>1.4871794871794872</v>
      </c>
      <c r="CL61" s="74">
        <f t="shared" si="6"/>
        <v>10.386666666666667</v>
      </c>
      <c r="CR61" s="27"/>
    </row>
    <row r="62" spans="4:96" s="1" customFormat="1" ht="69.95" customHeight="1">
      <c r="D62" s="28">
        <v>19</v>
      </c>
      <c r="H62" s="4"/>
      <c r="I62" s="2"/>
      <c r="J62" s="81">
        <f t="shared" si="1"/>
        <v>-0.5641025641025641</v>
      </c>
      <c r="K62" s="81">
        <f>SUM((0.5*$CJ62),0)</f>
        <v>-0.28205128205128205</v>
      </c>
      <c r="L62" s="81">
        <f t="shared" ref="L62:BW62" si="57">SUM((0.5*$CJ62),K22,-L22)</f>
        <v>0.71794871794871795</v>
      </c>
      <c r="M62" s="81">
        <f t="shared" si="57"/>
        <v>-4.2820512820512819</v>
      </c>
      <c r="N62" s="81">
        <f t="shared" si="57"/>
        <v>-0.28205128205128194</v>
      </c>
      <c r="O62" s="81">
        <f t="shared" si="57"/>
        <v>0.71794871794871806</v>
      </c>
      <c r="P62" s="81">
        <f t="shared" si="57"/>
        <v>-0.28205128205128194</v>
      </c>
      <c r="Q62" s="81">
        <f t="shared" si="57"/>
        <v>-0.28205128205128194</v>
      </c>
      <c r="R62" s="81">
        <f t="shared" si="57"/>
        <v>-1.2820512820512819</v>
      </c>
      <c r="S62" s="81">
        <f t="shared" si="57"/>
        <v>-0.28205128205128194</v>
      </c>
      <c r="T62" s="81">
        <f t="shared" si="57"/>
        <v>-1.2820512820512819</v>
      </c>
      <c r="U62" s="81">
        <f t="shared" si="57"/>
        <v>-0.28205128205128194</v>
      </c>
      <c r="V62" s="81">
        <f t="shared" si="57"/>
        <v>-0.28205128205128194</v>
      </c>
      <c r="W62" s="81">
        <f t="shared" si="57"/>
        <v>-0.28205128205128194</v>
      </c>
      <c r="X62" s="81">
        <f t="shared" si="57"/>
        <v>-1.2820512820512819</v>
      </c>
      <c r="Y62" s="81">
        <f t="shared" si="57"/>
        <v>-0.28205128205128194</v>
      </c>
      <c r="Z62" s="81">
        <f t="shared" si="57"/>
        <v>-1.2820512820512819</v>
      </c>
      <c r="AA62" s="81">
        <f t="shared" si="57"/>
        <v>-0.28205128205128194</v>
      </c>
      <c r="AB62" s="81">
        <f t="shared" si="57"/>
        <v>0.71794871794871806</v>
      </c>
      <c r="AC62" s="81">
        <f t="shared" si="57"/>
        <v>0.71794871794871806</v>
      </c>
      <c r="AD62" s="81">
        <f t="shared" si="57"/>
        <v>-0.28205128205128194</v>
      </c>
      <c r="AE62" s="81">
        <f t="shared" si="57"/>
        <v>-0.28205128205128194</v>
      </c>
      <c r="AF62" s="81">
        <f t="shared" si="57"/>
        <v>-0.28205128205128194</v>
      </c>
      <c r="AG62" s="81">
        <f t="shared" si="57"/>
        <v>0.71794871794871806</v>
      </c>
      <c r="AH62" s="81">
        <f t="shared" si="57"/>
        <v>0.71794871794871806</v>
      </c>
      <c r="AI62" s="81">
        <f t="shared" si="57"/>
        <v>0.71794871794871806</v>
      </c>
      <c r="AJ62" s="81">
        <f t="shared" si="57"/>
        <v>-0.28205128205128205</v>
      </c>
      <c r="AK62" s="81">
        <f t="shared" si="57"/>
        <v>0.71794871794871795</v>
      </c>
      <c r="AL62" s="81">
        <f t="shared" si="57"/>
        <v>0.71794871794871795</v>
      </c>
      <c r="AM62" s="81">
        <f t="shared" si="57"/>
        <v>0.71794871794871806</v>
      </c>
      <c r="AN62" s="81">
        <f t="shared" si="57"/>
        <v>-0.28205128205128194</v>
      </c>
      <c r="AO62" s="81">
        <f t="shared" si="57"/>
        <v>0.71794871794871806</v>
      </c>
      <c r="AP62" s="81">
        <f t="shared" si="57"/>
        <v>-0.28205128205128194</v>
      </c>
      <c r="AQ62" s="81">
        <f t="shared" si="57"/>
        <v>0.71794871794871806</v>
      </c>
      <c r="AR62" s="81">
        <f t="shared" si="57"/>
        <v>-0.28205128205128194</v>
      </c>
      <c r="AS62" s="81">
        <f t="shared" si="57"/>
        <v>-0.28205128205128194</v>
      </c>
      <c r="AT62" s="81">
        <f t="shared" si="57"/>
        <v>0.71794871794871806</v>
      </c>
      <c r="AU62" s="81">
        <f t="shared" si="57"/>
        <v>0.71794871794871806</v>
      </c>
      <c r="AV62" s="81">
        <f t="shared" si="57"/>
        <v>-0.28205128205128194</v>
      </c>
      <c r="AW62" s="81">
        <f t="shared" si="57"/>
        <v>-0.28205128205128194</v>
      </c>
      <c r="AX62" s="81">
        <f t="shared" si="57"/>
        <v>-0.28205128205128194</v>
      </c>
      <c r="AY62" s="81">
        <f t="shared" si="57"/>
        <v>-0.28205128205128194</v>
      </c>
      <c r="AZ62" s="81">
        <f t="shared" si="57"/>
        <v>0.71794871794871806</v>
      </c>
      <c r="BA62" s="81">
        <f t="shared" si="57"/>
        <v>0.71794871794871806</v>
      </c>
      <c r="BB62" s="81">
        <f t="shared" si="57"/>
        <v>-0.28205128205128283</v>
      </c>
      <c r="BC62" s="81">
        <f t="shared" si="57"/>
        <v>-0.28205128205128283</v>
      </c>
      <c r="BD62" s="81">
        <f t="shared" si="57"/>
        <v>-0.28205128205128283</v>
      </c>
      <c r="BE62" s="81">
        <f t="shared" si="57"/>
        <v>-0.28205128205128283</v>
      </c>
      <c r="BF62" s="81">
        <f t="shared" si="57"/>
        <v>-0.28205128205128283</v>
      </c>
      <c r="BG62" s="81">
        <f t="shared" si="57"/>
        <v>-0.28205128205128283</v>
      </c>
      <c r="BH62" s="81">
        <f t="shared" si="57"/>
        <v>-1.2820512820512828</v>
      </c>
      <c r="BI62" s="81">
        <f t="shared" si="57"/>
        <v>-0.28205128205128194</v>
      </c>
      <c r="BJ62" s="81">
        <f t="shared" si="57"/>
        <v>-0.28205128205128194</v>
      </c>
      <c r="BK62" s="81">
        <f t="shared" si="57"/>
        <v>-0.28205128205128194</v>
      </c>
      <c r="BL62" s="81">
        <f t="shared" si="57"/>
        <v>-1.2820512820512819</v>
      </c>
      <c r="BM62" s="81">
        <f t="shared" si="57"/>
        <v>-0.28205128205128194</v>
      </c>
      <c r="BN62" s="81">
        <f t="shared" si="57"/>
        <v>-0.28205128205128194</v>
      </c>
      <c r="BO62" s="81">
        <f t="shared" si="57"/>
        <v>-0.28205128205128194</v>
      </c>
      <c r="BP62" s="81">
        <f t="shared" si="57"/>
        <v>-1.2820512820512819</v>
      </c>
      <c r="BQ62" s="81">
        <f t="shared" si="57"/>
        <v>-0.28205128205128194</v>
      </c>
      <c r="BR62" s="81">
        <f t="shared" si="57"/>
        <v>-1.2820512820512819</v>
      </c>
      <c r="BS62" s="81">
        <f t="shared" si="57"/>
        <v>-1.2820512820512819</v>
      </c>
      <c r="BT62" s="81">
        <f t="shared" si="57"/>
        <v>-0.28205128205128194</v>
      </c>
      <c r="BU62" s="81">
        <f t="shared" si="57"/>
        <v>-1.2820512820512819</v>
      </c>
      <c r="BV62" s="81">
        <f t="shared" si="57"/>
        <v>-0.28205128205128194</v>
      </c>
      <c r="BW62" s="81">
        <f t="shared" si="57"/>
        <v>-0.28205128205128194</v>
      </c>
      <c r="BX62" s="81">
        <f t="shared" ref="BX62:CI62" si="58">SUM((0.5*$CJ62),BW22,-BX22)</f>
        <v>-1.2820512820512819</v>
      </c>
      <c r="BY62" s="81">
        <f t="shared" si="58"/>
        <v>-0.28205128205128194</v>
      </c>
      <c r="BZ62" s="81">
        <f t="shared" si="58"/>
        <v>-0.28205128205128194</v>
      </c>
      <c r="CA62" s="81">
        <f t="shared" si="58"/>
        <v>-0.28205128205128194</v>
      </c>
      <c r="CB62" s="81">
        <f t="shared" si="58"/>
        <v>-0.28205128205128194</v>
      </c>
      <c r="CC62" s="81">
        <f t="shared" si="58"/>
        <v>-0.28205128205128194</v>
      </c>
      <c r="CD62" s="81">
        <f t="shared" si="58"/>
        <v>-0.28205128205128194</v>
      </c>
      <c r="CE62" s="81">
        <f t="shared" si="58"/>
        <v>-0.28205128205128194</v>
      </c>
      <c r="CF62" s="81">
        <f t="shared" si="58"/>
        <v>-0.28205128205128194</v>
      </c>
      <c r="CG62" s="81">
        <f t="shared" si="58"/>
        <v>-0.28205128205128194</v>
      </c>
      <c r="CH62" s="81">
        <f t="shared" si="58"/>
        <v>-1.2820512820512819</v>
      </c>
      <c r="CI62" s="81">
        <f t="shared" si="58"/>
        <v>-0.28205128205128205</v>
      </c>
      <c r="CJ62" s="81">
        <f t="shared" si="5"/>
        <v>-0.5641025641025641</v>
      </c>
      <c r="CL62" s="74">
        <f t="shared" si="6"/>
        <v>3.9200000000000004</v>
      </c>
      <c r="CR62" s="27"/>
    </row>
    <row r="63" spans="4:96" s="1" customFormat="1" ht="69.95" customHeight="1">
      <c r="D63" s="28">
        <v>17</v>
      </c>
      <c r="H63" s="4"/>
      <c r="I63" s="2"/>
      <c r="J63" s="81">
        <f t="shared" si="1"/>
        <v>-0.25641025641025639</v>
      </c>
      <c r="K63" s="81">
        <f t="shared" si="9"/>
        <v>-0.12820512820512819</v>
      </c>
      <c r="L63" s="81">
        <f t="shared" ref="L63:AQ63" si="59">SUM((0.5*$CJ63),K23,-L23)</f>
        <v>0.87179487179487181</v>
      </c>
      <c r="M63" s="81">
        <f t="shared" si="59"/>
        <v>-0.12820512820512819</v>
      </c>
      <c r="N63" s="81">
        <f t="shared" si="59"/>
        <v>0.87179487179487181</v>
      </c>
      <c r="O63" s="81">
        <f t="shared" si="59"/>
        <v>1.8717948717948718</v>
      </c>
      <c r="P63" s="81">
        <f t="shared" si="59"/>
        <v>-0.12820512820512775</v>
      </c>
      <c r="Q63" s="81">
        <f t="shared" si="59"/>
        <v>2.8717948717948723</v>
      </c>
      <c r="R63" s="81">
        <f t="shared" si="59"/>
        <v>2.8717948717948723</v>
      </c>
      <c r="S63" s="81">
        <f t="shared" si="59"/>
        <v>2.8717948717948723</v>
      </c>
      <c r="T63" s="81">
        <f t="shared" si="59"/>
        <v>0.87179487179487225</v>
      </c>
      <c r="U63" s="81">
        <f t="shared" si="59"/>
        <v>2.8717948717948723</v>
      </c>
      <c r="V63" s="81">
        <f t="shared" si="59"/>
        <v>2.8717948717948723</v>
      </c>
      <c r="W63" s="81">
        <f t="shared" si="59"/>
        <v>1.8717948717948723</v>
      </c>
      <c r="X63" s="81">
        <f t="shared" si="59"/>
        <v>2.8717948717948723</v>
      </c>
      <c r="Y63" s="81">
        <f t="shared" si="59"/>
        <v>1.8717948717948723</v>
      </c>
      <c r="Z63" s="81">
        <f t="shared" si="59"/>
        <v>1.8717948717948723</v>
      </c>
      <c r="AA63" s="81">
        <f t="shared" si="59"/>
        <v>1.8717948717948723</v>
      </c>
      <c r="AB63" s="81">
        <f t="shared" si="59"/>
        <v>2.8717948717948723</v>
      </c>
      <c r="AC63" s="81">
        <f t="shared" si="59"/>
        <v>2.8717948717948687</v>
      </c>
      <c r="AD63" s="81">
        <f t="shared" si="59"/>
        <v>2.8717948717948687</v>
      </c>
      <c r="AE63" s="81">
        <f t="shared" si="59"/>
        <v>1.8717948717948687</v>
      </c>
      <c r="AF63" s="81">
        <f t="shared" si="59"/>
        <v>1.8717948717948687</v>
      </c>
      <c r="AG63" s="81">
        <f t="shared" si="59"/>
        <v>1.8717948717948687</v>
      </c>
      <c r="AH63" s="81">
        <f t="shared" si="59"/>
        <v>1.8717948717948687</v>
      </c>
      <c r="AI63" s="81">
        <f t="shared" si="59"/>
        <v>2.8717948717948687</v>
      </c>
      <c r="AJ63" s="81">
        <f t="shared" si="59"/>
        <v>1.8717948717948687</v>
      </c>
      <c r="AK63" s="81">
        <f t="shared" si="59"/>
        <v>1.8717948717948687</v>
      </c>
      <c r="AL63" s="81">
        <f t="shared" si="59"/>
        <v>1.8717948717948687</v>
      </c>
      <c r="AM63" s="81">
        <f t="shared" si="59"/>
        <v>2.8717948717948687</v>
      </c>
      <c r="AN63" s="81">
        <f t="shared" si="59"/>
        <v>2.8717948717948687</v>
      </c>
      <c r="AO63" s="81">
        <f t="shared" si="59"/>
        <v>2.8717948717948687</v>
      </c>
      <c r="AP63" s="81">
        <f t="shared" si="59"/>
        <v>1.8717948717948758</v>
      </c>
      <c r="AQ63" s="81">
        <f t="shared" si="59"/>
        <v>1.8717948717948758</v>
      </c>
      <c r="AR63" s="81">
        <f t="shared" ref="AR63:BW63" si="60">SUM((0.5*$CJ63),AQ23,-AR23)</f>
        <v>1.8717948717948758</v>
      </c>
      <c r="AS63" s="81">
        <f t="shared" si="60"/>
        <v>1.8717948717948758</v>
      </c>
      <c r="AT63" s="81">
        <f t="shared" si="60"/>
        <v>2.8717948717948758</v>
      </c>
      <c r="AU63" s="81">
        <f t="shared" si="60"/>
        <v>1.8717948717948758</v>
      </c>
      <c r="AV63" s="81">
        <f t="shared" si="60"/>
        <v>0.8717948717948758</v>
      </c>
      <c r="AW63" s="81">
        <f t="shared" si="60"/>
        <v>2.8717948717948758</v>
      </c>
      <c r="AX63" s="81">
        <f t="shared" si="60"/>
        <v>0.8717948717948758</v>
      </c>
      <c r="AY63" s="81">
        <f t="shared" si="60"/>
        <v>0.8717948717948758</v>
      </c>
      <c r="AZ63" s="81">
        <f t="shared" si="60"/>
        <v>1.8717948717948758</v>
      </c>
      <c r="BA63" s="81">
        <f t="shared" si="60"/>
        <v>1.8717948717948758</v>
      </c>
      <c r="BB63" s="81">
        <f t="shared" si="60"/>
        <v>0.8717948717948758</v>
      </c>
      <c r="BC63" s="81">
        <f t="shared" si="60"/>
        <v>0.8717948717948758</v>
      </c>
      <c r="BD63" s="81">
        <f t="shared" si="60"/>
        <v>-1.1282051282051242</v>
      </c>
      <c r="BE63" s="81">
        <f t="shared" si="60"/>
        <v>-1.1282051282051242</v>
      </c>
      <c r="BF63" s="81">
        <f t="shared" si="60"/>
        <v>-1.1282051282051242</v>
      </c>
      <c r="BG63" s="81">
        <f t="shared" si="60"/>
        <v>-0.1282051282051242</v>
      </c>
      <c r="BH63" s="81">
        <f t="shared" si="60"/>
        <v>-2.1282051282051242</v>
      </c>
      <c r="BI63" s="81">
        <f t="shared" si="60"/>
        <v>-2.1282051282051242</v>
      </c>
      <c r="BJ63" s="81">
        <f t="shared" si="60"/>
        <v>-2.1282051282051242</v>
      </c>
      <c r="BK63" s="81">
        <f t="shared" si="60"/>
        <v>-2.1282051282051242</v>
      </c>
      <c r="BL63" s="81">
        <f t="shared" si="60"/>
        <v>-3.1282051282051242</v>
      </c>
      <c r="BM63" s="81">
        <f t="shared" si="60"/>
        <v>-3.1282051282051242</v>
      </c>
      <c r="BN63" s="81">
        <f t="shared" si="60"/>
        <v>-4.1282051282051242</v>
      </c>
      <c r="BO63" s="81">
        <f t="shared" si="60"/>
        <v>-3.1282051282051242</v>
      </c>
      <c r="BP63" s="81">
        <f t="shared" si="60"/>
        <v>-4.1282051282051242</v>
      </c>
      <c r="BQ63" s="81">
        <f t="shared" si="60"/>
        <v>-3.1282051282051313</v>
      </c>
      <c r="BR63" s="81">
        <f t="shared" si="60"/>
        <v>-5.1282051282051313</v>
      </c>
      <c r="BS63" s="81">
        <f t="shared" si="60"/>
        <v>-4.1282051282051313</v>
      </c>
      <c r="BT63" s="81">
        <f t="shared" si="60"/>
        <v>-7.1282051282051313</v>
      </c>
      <c r="BU63" s="81">
        <f t="shared" si="60"/>
        <v>-6.1282051282051313</v>
      </c>
      <c r="BV63" s="81">
        <f t="shared" si="60"/>
        <v>-4.1282051282051313</v>
      </c>
      <c r="BW63" s="81">
        <f t="shared" si="60"/>
        <v>-4.1282051282051313</v>
      </c>
      <c r="BX63" s="81">
        <f t="shared" ref="BX63:CI63" si="61">SUM((0.5*$CJ63),BW23,-BX23)</f>
        <v>-4.1282051282051277</v>
      </c>
      <c r="BY63" s="81">
        <f t="shared" si="61"/>
        <v>-4.1282051282051277</v>
      </c>
      <c r="BZ63" s="81">
        <f t="shared" si="61"/>
        <v>-2.1282051282051277</v>
      </c>
      <c r="CA63" s="81">
        <f t="shared" si="61"/>
        <v>-3.1282051282051277</v>
      </c>
      <c r="CB63" s="81">
        <f t="shared" si="61"/>
        <v>-5.1282051282051277</v>
      </c>
      <c r="CC63" s="81">
        <f t="shared" si="61"/>
        <v>-3.1282051282051277</v>
      </c>
      <c r="CD63" s="81">
        <f t="shared" si="61"/>
        <v>-2.1282051282051277</v>
      </c>
      <c r="CE63" s="81">
        <f t="shared" si="61"/>
        <v>-2.1282051282051277</v>
      </c>
      <c r="CF63" s="81">
        <f t="shared" si="61"/>
        <v>-1.1282051282051277</v>
      </c>
      <c r="CG63" s="81">
        <f t="shared" si="61"/>
        <v>-1.1282051282051277</v>
      </c>
      <c r="CH63" s="81">
        <f t="shared" si="61"/>
        <v>-2.1282051282051282</v>
      </c>
      <c r="CI63" s="81">
        <f t="shared" si="61"/>
        <v>-1.1282051282051282</v>
      </c>
      <c r="CJ63" s="81">
        <f t="shared" si="5"/>
        <v>-0.25641025641025639</v>
      </c>
      <c r="CL63" s="74">
        <f t="shared" si="6"/>
        <v>47.040000000000006</v>
      </c>
      <c r="CR63" s="27"/>
    </row>
    <row r="64" spans="4:96" s="1" customFormat="1" ht="69.95" customHeight="1">
      <c r="D64" s="28">
        <v>15</v>
      </c>
      <c r="H64" s="4"/>
      <c r="I64" s="2"/>
      <c r="J64" s="81">
        <f t="shared" si="1"/>
        <v>-0.71794871794871795</v>
      </c>
      <c r="K64" s="81">
        <f t="shared" si="9"/>
        <v>-0.35897435897435898</v>
      </c>
      <c r="L64" s="81">
        <f t="shared" ref="L64:AQ64" si="62">SUM((0.5*$CJ64),K24,-L24)</f>
        <v>-0.35897435897435898</v>
      </c>
      <c r="M64" s="81">
        <f t="shared" si="62"/>
        <v>-1.358974358974359</v>
      </c>
      <c r="N64" s="81">
        <f t="shared" si="62"/>
        <v>-1.358974358974359</v>
      </c>
      <c r="O64" s="81">
        <f t="shared" si="62"/>
        <v>-1.358974358974359</v>
      </c>
      <c r="P64" s="81">
        <f t="shared" si="62"/>
        <v>-0.35897435897435903</v>
      </c>
      <c r="Q64" s="81">
        <f t="shared" si="62"/>
        <v>-4.3589743589743595</v>
      </c>
      <c r="R64" s="81">
        <f t="shared" si="62"/>
        <v>-2.3589743589743586</v>
      </c>
      <c r="S64" s="81">
        <f t="shared" si="62"/>
        <v>-1.3589743589743595</v>
      </c>
      <c r="T64" s="81">
        <f t="shared" si="62"/>
        <v>-1.3589743589743595</v>
      </c>
      <c r="U64" s="81">
        <f t="shared" si="62"/>
        <v>-1.3589743589743595</v>
      </c>
      <c r="V64" s="81">
        <f t="shared" si="62"/>
        <v>-0.35897435897435948</v>
      </c>
      <c r="W64" s="81">
        <f t="shared" si="62"/>
        <v>0.64102564102564052</v>
      </c>
      <c r="X64" s="81">
        <f t="shared" si="62"/>
        <v>-0.35897435897435948</v>
      </c>
      <c r="Y64" s="81">
        <f t="shared" si="62"/>
        <v>-0.35897435897435948</v>
      </c>
      <c r="Z64" s="81">
        <f t="shared" si="62"/>
        <v>-0.35897435897435948</v>
      </c>
      <c r="AA64" s="81">
        <f t="shared" si="62"/>
        <v>0.64102564102564052</v>
      </c>
      <c r="AB64" s="81">
        <f t="shared" si="62"/>
        <v>1.6410256410256405</v>
      </c>
      <c r="AC64" s="81">
        <f t="shared" si="62"/>
        <v>1.6410256410256414</v>
      </c>
      <c r="AD64" s="81">
        <f t="shared" si="62"/>
        <v>0.64102564102564141</v>
      </c>
      <c r="AE64" s="81">
        <f t="shared" si="62"/>
        <v>1.6410256410256414</v>
      </c>
      <c r="AF64" s="81">
        <f t="shared" si="62"/>
        <v>0.64102564102564097</v>
      </c>
      <c r="AG64" s="81">
        <f t="shared" si="62"/>
        <v>0.64102564102564097</v>
      </c>
      <c r="AH64" s="81">
        <f t="shared" si="62"/>
        <v>2.641025641025641</v>
      </c>
      <c r="AI64" s="81">
        <f t="shared" si="62"/>
        <v>2.641025641025641</v>
      </c>
      <c r="AJ64" s="81">
        <f t="shared" si="62"/>
        <v>1.6410256410256414</v>
      </c>
      <c r="AK64" s="81">
        <f t="shared" si="62"/>
        <v>1.6410256410256414</v>
      </c>
      <c r="AL64" s="81">
        <f t="shared" si="62"/>
        <v>2.6410256410256405</v>
      </c>
      <c r="AM64" s="81">
        <f t="shared" si="62"/>
        <v>2.6410256410256405</v>
      </c>
      <c r="AN64" s="81">
        <f t="shared" si="62"/>
        <v>1.6410256410256405</v>
      </c>
      <c r="AO64" s="81">
        <f t="shared" si="62"/>
        <v>2.6410256410256423</v>
      </c>
      <c r="AP64" s="81">
        <f t="shared" si="62"/>
        <v>1.6410256410256423</v>
      </c>
      <c r="AQ64" s="81">
        <f t="shared" si="62"/>
        <v>1.6410256410256423</v>
      </c>
      <c r="AR64" s="81">
        <f t="shared" ref="AR64:BW64" si="63">SUM((0.5*$CJ64),AQ24,-AR24)</f>
        <v>1.6410256410256423</v>
      </c>
      <c r="AS64" s="81">
        <f t="shared" si="63"/>
        <v>0.6410256410256423</v>
      </c>
      <c r="AT64" s="81">
        <f t="shared" si="63"/>
        <v>2.6410256410256423</v>
      </c>
      <c r="AU64" s="81">
        <f t="shared" si="63"/>
        <v>0.6410256410256423</v>
      </c>
      <c r="AV64" s="81">
        <f t="shared" si="63"/>
        <v>-0.3589743589743577</v>
      </c>
      <c r="AW64" s="81">
        <f t="shared" si="63"/>
        <v>-0.3589743589743577</v>
      </c>
      <c r="AX64" s="81">
        <f t="shared" si="63"/>
        <v>-0.3589743589743577</v>
      </c>
      <c r="AY64" s="81">
        <f t="shared" si="63"/>
        <v>-0.3589743589743577</v>
      </c>
      <c r="AZ64" s="81">
        <f t="shared" si="63"/>
        <v>-0.3589743589743577</v>
      </c>
      <c r="BA64" s="81">
        <f t="shared" si="63"/>
        <v>-0.3589743589743577</v>
      </c>
      <c r="BB64" s="81">
        <f t="shared" si="63"/>
        <v>-0.3589743589743577</v>
      </c>
      <c r="BC64" s="81">
        <f t="shared" si="63"/>
        <v>-1.3589743589743577</v>
      </c>
      <c r="BD64" s="81">
        <f t="shared" si="63"/>
        <v>-1.3589743589743577</v>
      </c>
      <c r="BE64" s="81">
        <f t="shared" si="63"/>
        <v>-1.3589743589743577</v>
      </c>
      <c r="BF64" s="81">
        <f t="shared" si="63"/>
        <v>-0.3589743589743577</v>
      </c>
      <c r="BG64" s="81">
        <f t="shared" si="63"/>
        <v>-0.3589743589743577</v>
      </c>
      <c r="BH64" s="81">
        <f t="shared" si="63"/>
        <v>-0.3589743589743577</v>
      </c>
      <c r="BI64" s="81">
        <f t="shared" si="63"/>
        <v>-0.3589743589743577</v>
      </c>
      <c r="BJ64" s="81">
        <f t="shared" si="63"/>
        <v>-1.3589743589743577</v>
      </c>
      <c r="BK64" s="81">
        <f t="shared" si="63"/>
        <v>-0.3589743589743577</v>
      </c>
      <c r="BL64" s="81">
        <f t="shared" si="63"/>
        <v>-0.3589743589743577</v>
      </c>
      <c r="BM64" s="81">
        <f t="shared" si="63"/>
        <v>-0.3589743589743577</v>
      </c>
      <c r="BN64" s="81">
        <f t="shared" si="63"/>
        <v>-1.3589743589743577</v>
      </c>
      <c r="BO64" s="81">
        <f t="shared" si="63"/>
        <v>-1.3589743589743577</v>
      </c>
      <c r="BP64" s="81">
        <f t="shared" si="63"/>
        <v>-0.3589743589743577</v>
      </c>
      <c r="BQ64" s="81">
        <f t="shared" si="63"/>
        <v>-0.3589743589743577</v>
      </c>
      <c r="BR64" s="81">
        <f t="shared" si="63"/>
        <v>-1.3589743589743577</v>
      </c>
      <c r="BS64" s="81">
        <f t="shared" si="63"/>
        <v>-0.3589743589743577</v>
      </c>
      <c r="BT64" s="81">
        <f t="shared" si="63"/>
        <v>-2.3589743589743577</v>
      </c>
      <c r="BU64" s="81">
        <f t="shared" si="63"/>
        <v>-2.3589743589743577</v>
      </c>
      <c r="BV64" s="81">
        <f t="shared" si="63"/>
        <v>-1.3589743589743577</v>
      </c>
      <c r="BW64" s="81">
        <f t="shared" si="63"/>
        <v>-0.3589743589743577</v>
      </c>
      <c r="BX64" s="81">
        <f t="shared" ref="BX64:CI64" si="64">SUM((0.5*$CJ64),BW24,-BX24)</f>
        <v>-1.3589743589743577</v>
      </c>
      <c r="BY64" s="81">
        <f t="shared" si="64"/>
        <v>-1.3589743589743577</v>
      </c>
      <c r="BZ64" s="81">
        <f t="shared" si="64"/>
        <v>-1.3589743589743577</v>
      </c>
      <c r="CA64" s="81">
        <f t="shared" si="64"/>
        <v>-0.3589743589743577</v>
      </c>
      <c r="CB64" s="81">
        <f t="shared" si="64"/>
        <v>-1.3589743589743577</v>
      </c>
      <c r="CC64" s="81">
        <f t="shared" si="64"/>
        <v>-0.35897435897435948</v>
      </c>
      <c r="CD64" s="81">
        <f t="shared" si="64"/>
        <v>-2.3589743589743595</v>
      </c>
      <c r="CE64" s="81">
        <f t="shared" si="64"/>
        <v>-2.3589743589743595</v>
      </c>
      <c r="CF64" s="81">
        <f t="shared" si="64"/>
        <v>-1.3589743589743595</v>
      </c>
      <c r="CG64" s="81">
        <f t="shared" si="64"/>
        <v>-1.3589743589743595</v>
      </c>
      <c r="CH64" s="81">
        <f t="shared" si="64"/>
        <v>-5.3589743589743595</v>
      </c>
      <c r="CI64" s="81">
        <f t="shared" si="64"/>
        <v>-4.3589743589743586</v>
      </c>
      <c r="CJ64" s="81">
        <f t="shared" si="5"/>
        <v>-0.71794871794871795</v>
      </c>
      <c r="CL64" s="74">
        <f t="shared" si="6"/>
        <v>17.240000000000002</v>
      </c>
      <c r="CR64" s="27"/>
    </row>
    <row r="65" spans="4:108" s="1" customFormat="1" ht="69.95" customHeight="1">
      <c r="D65" s="28">
        <v>13</v>
      </c>
      <c r="H65" s="4"/>
      <c r="I65" s="2"/>
      <c r="J65" s="81">
        <f t="shared" si="1"/>
        <v>-0.5641025641025641</v>
      </c>
      <c r="K65" s="81">
        <f>SUM((0.5*$CJ65),0)</f>
        <v>-0.28205128205128205</v>
      </c>
      <c r="L65" s="81">
        <f t="shared" ref="L65:BW65" si="65">SUM((0.5*$CJ65),K25,-L25)</f>
        <v>0.71794871794871795</v>
      </c>
      <c r="M65" s="81">
        <f t="shared" si="65"/>
        <v>-4.2820512820512819</v>
      </c>
      <c r="N65" s="81">
        <f t="shared" si="65"/>
        <v>-0.28205128205128194</v>
      </c>
      <c r="O65" s="81">
        <f t="shared" si="65"/>
        <v>0.71794871794871806</v>
      </c>
      <c r="P65" s="81">
        <f t="shared" si="65"/>
        <v>-0.28205128205128194</v>
      </c>
      <c r="Q65" s="81">
        <f t="shared" si="65"/>
        <v>-0.28205128205128194</v>
      </c>
      <c r="R65" s="81">
        <f t="shared" si="65"/>
        <v>-1.2820512820512819</v>
      </c>
      <c r="S65" s="81">
        <f t="shared" si="65"/>
        <v>-0.28205128205128194</v>
      </c>
      <c r="T65" s="81">
        <f t="shared" si="65"/>
        <v>-1.2820512820512819</v>
      </c>
      <c r="U65" s="81">
        <f t="shared" si="65"/>
        <v>-0.28205128205128194</v>
      </c>
      <c r="V65" s="81">
        <f t="shared" si="65"/>
        <v>-0.28205128205128194</v>
      </c>
      <c r="W65" s="81">
        <f t="shared" si="65"/>
        <v>-0.28205128205128194</v>
      </c>
      <c r="X65" s="81">
        <f t="shared" si="65"/>
        <v>-1.2820512820512819</v>
      </c>
      <c r="Y65" s="81">
        <f t="shared" si="65"/>
        <v>-0.28205128205128194</v>
      </c>
      <c r="Z65" s="81">
        <f t="shared" si="65"/>
        <v>-1.2820512820512819</v>
      </c>
      <c r="AA65" s="81">
        <f t="shared" si="65"/>
        <v>-0.28205128205128194</v>
      </c>
      <c r="AB65" s="81">
        <f t="shared" si="65"/>
        <v>0.71794871794871806</v>
      </c>
      <c r="AC65" s="81">
        <f t="shared" si="65"/>
        <v>0.71794871794871806</v>
      </c>
      <c r="AD65" s="81">
        <f t="shared" si="65"/>
        <v>-0.28205128205128194</v>
      </c>
      <c r="AE65" s="81">
        <f t="shared" si="65"/>
        <v>-0.28205128205128194</v>
      </c>
      <c r="AF65" s="81">
        <f t="shared" si="65"/>
        <v>-0.28205128205128194</v>
      </c>
      <c r="AG65" s="81">
        <f t="shared" si="65"/>
        <v>0.71794871794871806</v>
      </c>
      <c r="AH65" s="81">
        <f t="shared" si="65"/>
        <v>0.71794871794871806</v>
      </c>
      <c r="AI65" s="81">
        <f t="shared" si="65"/>
        <v>0.71794871794871806</v>
      </c>
      <c r="AJ65" s="81">
        <f t="shared" si="65"/>
        <v>-0.28205128205128205</v>
      </c>
      <c r="AK65" s="81">
        <f t="shared" si="65"/>
        <v>0.71794871794871795</v>
      </c>
      <c r="AL65" s="81">
        <f t="shared" si="65"/>
        <v>0.71794871794871795</v>
      </c>
      <c r="AM65" s="81">
        <f t="shared" si="65"/>
        <v>0.71794871794871806</v>
      </c>
      <c r="AN65" s="81">
        <f t="shared" si="65"/>
        <v>-0.28205128205128194</v>
      </c>
      <c r="AO65" s="81">
        <f t="shared" si="65"/>
        <v>0.71794871794871806</v>
      </c>
      <c r="AP65" s="81">
        <f t="shared" si="65"/>
        <v>-0.28205128205128194</v>
      </c>
      <c r="AQ65" s="81">
        <f t="shared" si="65"/>
        <v>0.71794871794871806</v>
      </c>
      <c r="AR65" s="81">
        <f t="shared" si="65"/>
        <v>-0.28205128205128194</v>
      </c>
      <c r="AS65" s="81">
        <f t="shared" si="65"/>
        <v>-0.28205128205128194</v>
      </c>
      <c r="AT65" s="81">
        <f t="shared" si="65"/>
        <v>0.71794871794871806</v>
      </c>
      <c r="AU65" s="81">
        <f t="shared" si="65"/>
        <v>0.71794871794871806</v>
      </c>
      <c r="AV65" s="81">
        <f t="shared" si="65"/>
        <v>-0.28205128205128194</v>
      </c>
      <c r="AW65" s="81">
        <f t="shared" si="65"/>
        <v>-0.28205128205128194</v>
      </c>
      <c r="AX65" s="81">
        <f t="shared" si="65"/>
        <v>-0.28205128205128194</v>
      </c>
      <c r="AY65" s="81">
        <f t="shared" si="65"/>
        <v>-0.28205128205128194</v>
      </c>
      <c r="AZ65" s="81">
        <f t="shared" si="65"/>
        <v>0.71794871794871806</v>
      </c>
      <c r="BA65" s="81">
        <f t="shared" si="65"/>
        <v>0.71794871794871806</v>
      </c>
      <c r="BB65" s="81">
        <f t="shared" si="65"/>
        <v>-0.28205128205128283</v>
      </c>
      <c r="BC65" s="81">
        <f t="shared" si="65"/>
        <v>-0.28205128205128283</v>
      </c>
      <c r="BD65" s="81">
        <f t="shared" si="65"/>
        <v>-0.28205128205128283</v>
      </c>
      <c r="BE65" s="81">
        <f t="shared" si="65"/>
        <v>-0.28205128205128283</v>
      </c>
      <c r="BF65" s="81">
        <f t="shared" si="65"/>
        <v>-0.28205128205128283</v>
      </c>
      <c r="BG65" s="81">
        <f t="shared" si="65"/>
        <v>-0.28205128205128283</v>
      </c>
      <c r="BH65" s="81">
        <f t="shared" si="65"/>
        <v>-1.2820512820512828</v>
      </c>
      <c r="BI65" s="81">
        <f t="shared" si="65"/>
        <v>-0.28205128205128194</v>
      </c>
      <c r="BJ65" s="81">
        <f t="shared" si="65"/>
        <v>-0.28205128205128194</v>
      </c>
      <c r="BK65" s="81">
        <f t="shared" si="65"/>
        <v>-0.28205128205128194</v>
      </c>
      <c r="BL65" s="81">
        <f t="shared" si="65"/>
        <v>-1.2820512820512819</v>
      </c>
      <c r="BM65" s="81">
        <f t="shared" si="65"/>
        <v>-0.28205128205128194</v>
      </c>
      <c r="BN65" s="81">
        <f t="shared" si="65"/>
        <v>-0.28205128205128194</v>
      </c>
      <c r="BO65" s="81">
        <f t="shared" si="65"/>
        <v>-0.28205128205128194</v>
      </c>
      <c r="BP65" s="81">
        <f t="shared" si="65"/>
        <v>-1.2820512820512819</v>
      </c>
      <c r="BQ65" s="81">
        <f t="shared" si="65"/>
        <v>-0.28205128205128194</v>
      </c>
      <c r="BR65" s="81">
        <f t="shared" si="65"/>
        <v>-1.2820512820512819</v>
      </c>
      <c r="BS65" s="81">
        <f t="shared" si="65"/>
        <v>-1.2820512820512819</v>
      </c>
      <c r="BT65" s="81">
        <f t="shared" si="65"/>
        <v>-0.28205128205128194</v>
      </c>
      <c r="BU65" s="81">
        <f t="shared" si="65"/>
        <v>-1.2820512820512819</v>
      </c>
      <c r="BV65" s="81">
        <f t="shared" si="65"/>
        <v>-0.28205128205128194</v>
      </c>
      <c r="BW65" s="81">
        <f t="shared" si="65"/>
        <v>-0.28205128205128194</v>
      </c>
      <c r="BX65" s="81">
        <f t="shared" ref="BX65:CI65" si="66">SUM((0.5*$CJ65),BW25,-BX25)</f>
        <v>-1.2820512820512819</v>
      </c>
      <c r="BY65" s="81">
        <f t="shared" si="66"/>
        <v>-0.28205128205128194</v>
      </c>
      <c r="BZ65" s="81">
        <f t="shared" si="66"/>
        <v>-0.28205128205128194</v>
      </c>
      <c r="CA65" s="81">
        <f t="shared" si="66"/>
        <v>-0.28205128205128194</v>
      </c>
      <c r="CB65" s="81">
        <f t="shared" si="66"/>
        <v>-0.28205128205128194</v>
      </c>
      <c r="CC65" s="81">
        <f t="shared" si="66"/>
        <v>-0.28205128205128194</v>
      </c>
      <c r="CD65" s="81">
        <f t="shared" si="66"/>
        <v>-0.28205128205128194</v>
      </c>
      <c r="CE65" s="81">
        <f t="shared" si="66"/>
        <v>-0.28205128205128194</v>
      </c>
      <c r="CF65" s="81">
        <f t="shared" si="66"/>
        <v>-0.28205128205128194</v>
      </c>
      <c r="CG65" s="81">
        <f t="shared" si="66"/>
        <v>-0.28205128205128194</v>
      </c>
      <c r="CH65" s="81">
        <f t="shared" si="66"/>
        <v>-1.2820512820512819</v>
      </c>
      <c r="CI65" s="81">
        <f t="shared" si="66"/>
        <v>-0.28205128205128205</v>
      </c>
      <c r="CJ65" s="81">
        <f t="shared" si="5"/>
        <v>-0.5641025641025641</v>
      </c>
      <c r="CL65" s="74">
        <f t="shared" si="6"/>
        <v>3.9200000000000004</v>
      </c>
      <c r="CR65" s="27"/>
    </row>
    <row r="66" spans="4:108" s="1" customFormat="1" ht="69.95" customHeight="1">
      <c r="D66" s="28">
        <v>11</v>
      </c>
      <c r="H66" s="4"/>
      <c r="I66" s="2"/>
      <c r="J66" s="81">
        <f t="shared" ref="J66" si="67">PRODUCT(-H26,1/39)</f>
        <v>-0.69230769230769229</v>
      </c>
      <c r="K66" s="81">
        <f t="shared" si="9"/>
        <v>-0.34615384615384615</v>
      </c>
      <c r="L66" s="81">
        <f t="shared" ref="L66:AQ66" si="68">SUM((0.5*$CJ66),K26,-L26)</f>
        <v>-0.34615384615384615</v>
      </c>
      <c r="M66" s="81">
        <f t="shared" si="68"/>
        <v>-0.34615384615384615</v>
      </c>
      <c r="N66" s="81">
        <f t="shared" si="68"/>
        <v>-2.3461538461538463</v>
      </c>
      <c r="O66" s="81">
        <f t="shared" si="68"/>
        <v>-0.34615384615384626</v>
      </c>
      <c r="P66" s="81">
        <f t="shared" si="68"/>
        <v>-0.34615384615384626</v>
      </c>
      <c r="Q66" s="81">
        <f t="shared" si="68"/>
        <v>-2.3461538461538463</v>
      </c>
      <c r="R66" s="81">
        <f t="shared" si="68"/>
        <v>-0.34615384615384626</v>
      </c>
      <c r="S66" s="81">
        <f t="shared" si="68"/>
        <v>-1.3461538461538463</v>
      </c>
      <c r="T66" s="81">
        <f t="shared" si="68"/>
        <v>-0.34615384615384581</v>
      </c>
      <c r="U66" s="81">
        <f t="shared" si="68"/>
        <v>-0.34615384615384581</v>
      </c>
      <c r="V66" s="81">
        <f t="shared" si="68"/>
        <v>0.65384615384615419</v>
      </c>
      <c r="W66" s="81">
        <f t="shared" si="68"/>
        <v>0.65384615384615374</v>
      </c>
      <c r="X66" s="81">
        <f t="shared" si="68"/>
        <v>0.65384615384615374</v>
      </c>
      <c r="Y66" s="81">
        <f t="shared" si="68"/>
        <v>0.65384615384615374</v>
      </c>
      <c r="Z66" s="81">
        <f t="shared" si="68"/>
        <v>0.65384615384615385</v>
      </c>
      <c r="AA66" s="81">
        <f t="shared" si="68"/>
        <v>1.6538461538461537</v>
      </c>
      <c r="AB66" s="81">
        <f t="shared" si="68"/>
        <v>1.6538461538461537</v>
      </c>
      <c r="AC66" s="81">
        <f t="shared" si="68"/>
        <v>2.6538461538461542</v>
      </c>
      <c r="AD66" s="81">
        <f t="shared" si="68"/>
        <v>2.6538461538461542</v>
      </c>
      <c r="AE66" s="81">
        <f t="shared" si="68"/>
        <v>3.6538461538461533</v>
      </c>
      <c r="AF66" s="81">
        <f t="shared" si="68"/>
        <v>1.6538461538461533</v>
      </c>
      <c r="AG66" s="81">
        <f t="shared" si="68"/>
        <v>2.6538461538461533</v>
      </c>
      <c r="AH66" s="81">
        <f t="shared" si="68"/>
        <v>1.6538461538461533</v>
      </c>
      <c r="AI66" s="81">
        <f t="shared" si="68"/>
        <v>1.6538461538461533</v>
      </c>
      <c r="AJ66" s="81">
        <f t="shared" si="68"/>
        <v>1.6538461538461533</v>
      </c>
      <c r="AK66" s="81">
        <f t="shared" si="68"/>
        <v>3.6538461538461533</v>
      </c>
      <c r="AL66" s="81">
        <f t="shared" si="68"/>
        <v>1.6538461538461533</v>
      </c>
      <c r="AM66" s="81">
        <f t="shared" si="68"/>
        <v>2.6538461538461533</v>
      </c>
      <c r="AN66" s="81">
        <f t="shared" si="68"/>
        <v>0.6538461538461533</v>
      </c>
      <c r="AO66" s="81">
        <f t="shared" si="68"/>
        <v>3.6538461538461533</v>
      </c>
      <c r="AP66" s="81">
        <f t="shared" si="68"/>
        <v>-0.3461538461538467</v>
      </c>
      <c r="AQ66" s="81">
        <f t="shared" si="68"/>
        <v>0.6538461538461533</v>
      </c>
      <c r="AR66" s="81">
        <f t="shared" ref="AR66:BW66" si="69">SUM((0.5*$CJ66),AQ26,-AR26)</f>
        <v>-0.3461538461538467</v>
      </c>
      <c r="AS66" s="81">
        <f t="shared" si="69"/>
        <v>0.6538461538461533</v>
      </c>
      <c r="AT66" s="81">
        <f t="shared" si="69"/>
        <v>0.6538461538461533</v>
      </c>
      <c r="AU66" s="81">
        <f t="shared" si="69"/>
        <v>0.6538461538461533</v>
      </c>
      <c r="AV66" s="81">
        <f t="shared" si="69"/>
        <v>-0.3461538461538467</v>
      </c>
      <c r="AW66" s="81">
        <f t="shared" si="69"/>
        <v>-0.3461538461538467</v>
      </c>
      <c r="AX66" s="81">
        <f t="shared" si="69"/>
        <v>-0.3461538461538467</v>
      </c>
      <c r="AY66" s="81">
        <f t="shared" si="69"/>
        <v>-0.3461538461538467</v>
      </c>
      <c r="AZ66" s="81">
        <f t="shared" si="69"/>
        <v>-0.3461538461538467</v>
      </c>
      <c r="BA66" s="81">
        <f t="shared" si="69"/>
        <v>-0.3461538461538467</v>
      </c>
      <c r="BB66" s="81">
        <f t="shared" si="69"/>
        <v>-0.3461538461538467</v>
      </c>
      <c r="BC66" s="81">
        <f t="shared" si="69"/>
        <v>-0.3461538461538467</v>
      </c>
      <c r="BD66" s="81">
        <f t="shared" si="69"/>
        <v>-1.3461538461538467</v>
      </c>
      <c r="BE66" s="81">
        <f t="shared" si="69"/>
        <v>-0.3461538461538467</v>
      </c>
      <c r="BF66" s="81">
        <f t="shared" si="69"/>
        <v>-0.3461538461538467</v>
      </c>
      <c r="BG66" s="81">
        <f t="shared" si="69"/>
        <v>0.6538461538461533</v>
      </c>
      <c r="BH66" s="81">
        <f t="shared" si="69"/>
        <v>0.6538461538461533</v>
      </c>
      <c r="BI66" s="81">
        <f t="shared" si="69"/>
        <v>-0.3461538461538467</v>
      </c>
      <c r="BJ66" s="81">
        <f t="shared" si="69"/>
        <v>0.6538461538461533</v>
      </c>
      <c r="BK66" s="81">
        <f t="shared" si="69"/>
        <v>-0.3461538461538467</v>
      </c>
      <c r="BL66" s="81">
        <f t="shared" si="69"/>
        <v>0.6538461538461533</v>
      </c>
      <c r="BM66" s="81">
        <f t="shared" si="69"/>
        <v>-0.3461538461538467</v>
      </c>
      <c r="BN66" s="81">
        <f t="shared" si="69"/>
        <v>0.6538461538461533</v>
      </c>
      <c r="BO66" s="81">
        <f t="shared" si="69"/>
        <v>0.6538461538461533</v>
      </c>
      <c r="BP66" s="81">
        <f t="shared" si="69"/>
        <v>0.6538461538461533</v>
      </c>
      <c r="BQ66" s="81">
        <f t="shared" si="69"/>
        <v>0.6538461538461533</v>
      </c>
      <c r="BR66" s="81">
        <f t="shared" si="69"/>
        <v>-0.3461538461538467</v>
      </c>
      <c r="BS66" s="81">
        <f t="shared" si="69"/>
        <v>-1.3461538461538467</v>
      </c>
      <c r="BT66" s="81">
        <f t="shared" si="69"/>
        <v>-1.3461538461538467</v>
      </c>
      <c r="BU66" s="81">
        <f t="shared" si="69"/>
        <v>-2.3461538461538467</v>
      </c>
      <c r="BV66" s="81">
        <f t="shared" si="69"/>
        <v>-2.3461538461538467</v>
      </c>
      <c r="BW66" s="81">
        <f t="shared" si="69"/>
        <v>-2.3461538461538467</v>
      </c>
      <c r="BX66" s="81">
        <f t="shared" ref="BX66:CI66" si="70">SUM((0.5*$CJ66),BW26,-BX26)</f>
        <v>-2.3461538461538467</v>
      </c>
      <c r="BY66" s="81">
        <f t="shared" si="70"/>
        <v>-4.3461538461538467</v>
      </c>
      <c r="BZ66" s="81">
        <f t="shared" si="70"/>
        <v>-3.3461538461538467</v>
      </c>
      <c r="CA66" s="81">
        <f t="shared" si="70"/>
        <v>-3.3461538461538467</v>
      </c>
      <c r="CB66" s="81">
        <f t="shared" si="70"/>
        <v>-5.3461538461538467</v>
      </c>
      <c r="CC66" s="81">
        <f t="shared" si="70"/>
        <v>-6.3461538461538467</v>
      </c>
      <c r="CD66" s="81">
        <f t="shared" si="70"/>
        <v>-2.3461538461538467</v>
      </c>
      <c r="CE66" s="81">
        <f t="shared" si="70"/>
        <v>-3.3461538461538467</v>
      </c>
      <c r="CF66" s="81">
        <f t="shared" si="70"/>
        <v>-2.3461538461538467</v>
      </c>
      <c r="CG66" s="81">
        <f t="shared" si="70"/>
        <v>-2.3461538461538467</v>
      </c>
      <c r="CH66" s="81">
        <f t="shared" si="70"/>
        <v>-5.3461538461538467</v>
      </c>
      <c r="CI66" s="81">
        <f t="shared" si="70"/>
        <v>-5.3461538461538458</v>
      </c>
      <c r="CJ66" s="81">
        <f t="shared" ref="CJ66" si="71">PRODUCT(-H26,1/39)</f>
        <v>-0.69230769230769229</v>
      </c>
      <c r="CL66" s="74">
        <f t="shared" ref="CL66" si="72">CO26</f>
        <v>27.866666666666667</v>
      </c>
      <c r="CR66" s="27"/>
    </row>
    <row r="67" spans="4:108" s="1" customFormat="1" ht="69.95" customHeight="1">
      <c r="D67" s="28">
        <v>9</v>
      </c>
      <c r="H67" s="4"/>
      <c r="I67" s="2"/>
      <c r="J67" s="81">
        <f>PRODUCT(-H27,1/39)</f>
        <v>-0.5641025641025641</v>
      </c>
      <c r="K67" s="81">
        <f>SUM((0.5*$CJ67),0)</f>
        <v>-0.28205128205128205</v>
      </c>
      <c r="L67" s="81">
        <f t="shared" ref="L67:BW67" si="73">SUM((0.5*$CJ67),K27,-L27)</f>
        <v>0.71794871794871795</v>
      </c>
      <c r="M67" s="81">
        <f t="shared" si="73"/>
        <v>-4.2820512820512819</v>
      </c>
      <c r="N67" s="81">
        <f t="shared" si="73"/>
        <v>-0.28205128205128194</v>
      </c>
      <c r="O67" s="81">
        <f t="shared" si="73"/>
        <v>0.71794871794871806</v>
      </c>
      <c r="P67" s="81">
        <f t="shared" si="73"/>
        <v>-0.28205128205128194</v>
      </c>
      <c r="Q67" s="81">
        <f t="shared" si="73"/>
        <v>-0.28205128205128194</v>
      </c>
      <c r="R67" s="81">
        <f t="shared" si="73"/>
        <v>-1.2820512820512819</v>
      </c>
      <c r="S67" s="81">
        <f t="shared" si="73"/>
        <v>-0.28205128205128194</v>
      </c>
      <c r="T67" s="81">
        <f t="shared" si="73"/>
        <v>-1.2820512820512819</v>
      </c>
      <c r="U67" s="81">
        <f t="shared" si="73"/>
        <v>-0.28205128205128194</v>
      </c>
      <c r="V67" s="81">
        <f t="shared" si="73"/>
        <v>-0.28205128205128194</v>
      </c>
      <c r="W67" s="81">
        <f t="shared" si="73"/>
        <v>-0.28205128205128194</v>
      </c>
      <c r="X67" s="81">
        <f t="shared" si="73"/>
        <v>-1.2820512820512819</v>
      </c>
      <c r="Y67" s="81">
        <f t="shared" si="73"/>
        <v>-0.28205128205128194</v>
      </c>
      <c r="Z67" s="81">
        <f t="shared" si="73"/>
        <v>-1.2820512820512819</v>
      </c>
      <c r="AA67" s="81">
        <f t="shared" si="73"/>
        <v>-0.28205128205128194</v>
      </c>
      <c r="AB67" s="81">
        <f t="shared" si="73"/>
        <v>0.71794871794871806</v>
      </c>
      <c r="AC67" s="81">
        <f t="shared" si="73"/>
        <v>0.71794871794871806</v>
      </c>
      <c r="AD67" s="81">
        <f t="shared" si="73"/>
        <v>-0.28205128205128194</v>
      </c>
      <c r="AE67" s="81">
        <f t="shared" si="73"/>
        <v>-0.28205128205128194</v>
      </c>
      <c r="AF67" s="81">
        <f t="shared" si="73"/>
        <v>-0.28205128205128194</v>
      </c>
      <c r="AG67" s="81">
        <f t="shared" si="73"/>
        <v>0.71794871794871806</v>
      </c>
      <c r="AH67" s="81">
        <f t="shared" si="73"/>
        <v>0.71794871794871806</v>
      </c>
      <c r="AI67" s="81">
        <f t="shared" si="73"/>
        <v>0.71794871794871806</v>
      </c>
      <c r="AJ67" s="81">
        <f t="shared" si="73"/>
        <v>-0.28205128205128205</v>
      </c>
      <c r="AK67" s="81">
        <f t="shared" si="73"/>
        <v>0.71794871794871795</v>
      </c>
      <c r="AL67" s="81">
        <f t="shared" si="73"/>
        <v>0.71794871794871795</v>
      </c>
      <c r="AM67" s="81">
        <f t="shared" si="73"/>
        <v>0.71794871794871806</v>
      </c>
      <c r="AN67" s="81">
        <f t="shared" si="73"/>
        <v>-0.28205128205128194</v>
      </c>
      <c r="AO67" s="81">
        <f t="shared" si="73"/>
        <v>0.71794871794871806</v>
      </c>
      <c r="AP67" s="81">
        <f t="shared" si="73"/>
        <v>-0.28205128205128194</v>
      </c>
      <c r="AQ67" s="81">
        <f t="shared" si="73"/>
        <v>0.71794871794871806</v>
      </c>
      <c r="AR67" s="81">
        <f t="shared" si="73"/>
        <v>-0.28205128205128194</v>
      </c>
      <c r="AS67" s="81">
        <f t="shared" si="73"/>
        <v>-0.28205128205128194</v>
      </c>
      <c r="AT67" s="81">
        <f t="shared" si="73"/>
        <v>0.71794871794871806</v>
      </c>
      <c r="AU67" s="81">
        <f t="shared" si="73"/>
        <v>0.71794871794871806</v>
      </c>
      <c r="AV67" s="81">
        <f t="shared" si="73"/>
        <v>-0.28205128205128194</v>
      </c>
      <c r="AW67" s="81">
        <f t="shared" si="73"/>
        <v>-0.28205128205128194</v>
      </c>
      <c r="AX67" s="81">
        <f t="shared" si="73"/>
        <v>-0.28205128205128194</v>
      </c>
      <c r="AY67" s="81">
        <f t="shared" si="73"/>
        <v>-0.28205128205128194</v>
      </c>
      <c r="AZ67" s="81">
        <f t="shared" si="73"/>
        <v>0.71794871794871806</v>
      </c>
      <c r="BA67" s="81">
        <f t="shared" si="73"/>
        <v>0.71794871794871806</v>
      </c>
      <c r="BB67" s="81">
        <f t="shared" si="73"/>
        <v>-0.28205128205128283</v>
      </c>
      <c r="BC67" s="81">
        <f t="shared" si="73"/>
        <v>-0.28205128205128283</v>
      </c>
      <c r="BD67" s="81">
        <f t="shared" si="73"/>
        <v>-0.28205128205128283</v>
      </c>
      <c r="BE67" s="81">
        <f t="shared" si="73"/>
        <v>-0.28205128205128283</v>
      </c>
      <c r="BF67" s="81">
        <f t="shared" si="73"/>
        <v>-0.28205128205128283</v>
      </c>
      <c r="BG67" s="81">
        <f t="shared" si="73"/>
        <v>-0.28205128205128283</v>
      </c>
      <c r="BH67" s="81">
        <f t="shared" si="73"/>
        <v>-1.2820512820512828</v>
      </c>
      <c r="BI67" s="81">
        <f t="shared" si="73"/>
        <v>-0.28205128205128194</v>
      </c>
      <c r="BJ67" s="81">
        <f t="shared" si="73"/>
        <v>-0.28205128205128194</v>
      </c>
      <c r="BK67" s="81">
        <f t="shared" si="73"/>
        <v>-0.28205128205128194</v>
      </c>
      <c r="BL67" s="81">
        <f t="shared" si="73"/>
        <v>-1.2820512820512819</v>
      </c>
      <c r="BM67" s="81">
        <f t="shared" si="73"/>
        <v>-0.28205128205128194</v>
      </c>
      <c r="BN67" s="81">
        <f t="shared" si="73"/>
        <v>-0.28205128205128194</v>
      </c>
      <c r="BO67" s="81">
        <f t="shared" si="73"/>
        <v>-0.28205128205128194</v>
      </c>
      <c r="BP67" s="81">
        <f t="shared" si="73"/>
        <v>-1.2820512820512819</v>
      </c>
      <c r="BQ67" s="81">
        <f t="shared" si="73"/>
        <v>-0.28205128205128194</v>
      </c>
      <c r="BR67" s="81">
        <f t="shared" si="73"/>
        <v>-1.2820512820512819</v>
      </c>
      <c r="BS67" s="81">
        <f t="shared" si="73"/>
        <v>-1.2820512820512819</v>
      </c>
      <c r="BT67" s="81">
        <f t="shared" si="73"/>
        <v>-0.28205128205128194</v>
      </c>
      <c r="BU67" s="81">
        <f t="shared" si="73"/>
        <v>-1.2820512820512819</v>
      </c>
      <c r="BV67" s="81">
        <f t="shared" si="73"/>
        <v>-0.28205128205128194</v>
      </c>
      <c r="BW67" s="81">
        <f t="shared" si="73"/>
        <v>-0.28205128205128194</v>
      </c>
      <c r="BX67" s="81">
        <f t="shared" ref="BX67:CI67" si="74">SUM((0.5*$CJ67),BW27,-BX27)</f>
        <v>-1.2820512820512819</v>
      </c>
      <c r="BY67" s="81">
        <f t="shared" si="74"/>
        <v>-0.28205128205128194</v>
      </c>
      <c r="BZ67" s="81">
        <f t="shared" si="74"/>
        <v>-0.28205128205128194</v>
      </c>
      <c r="CA67" s="81">
        <f t="shared" si="74"/>
        <v>-0.28205128205128194</v>
      </c>
      <c r="CB67" s="81">
        <f t="shared" si="74"/>
        <v>-0.28205128205128194</v>
      </c>
      <c r="CC67" s="81">
        <f t="shared" si="74"/>
        <v>-0.28205128205128194</v>
      </c>
      <c r="CD67" s="81">
        <f t="shared" si="74"/>
        <v>-0.28205128205128194</v>
      </c>
      <c r="CE67" s="81">
        <f t="shared" si="74"/>
        <v>-0.28205128205128194</v>
      </c>
      <c r="CF67" s="81">
        <f t="shared" si="74"/>
        <v>-0.28205128205128194</v>
      </c>
      <c r="CG67" s="81">
        <f t="shared" si="74"/>
        <v>-0.28205128205128194</v>
      </c>
      <c r="CH67" s="81">
        <f t="shared" si="74"/>
        <v>-1.2820512820512819</v>
      </c>
      <c r="CI67" s="81">
        <f t="shared" si="74"/>
        <v>-0.28205128205128205</v>
      </c>
      <c r="CJ67" s="81">
        <f>PRODUCT(-H27,1/39)</f>
        <v>-0.5641025641025641</v>
      </c>
      <c r="CL67" s="74">
        <f>CO27</f>
        <v>3.9200000000000004</v>
      </c>
      <c r="CR67" s="27"/>
    </row>
    <row r="68" spans="4:108" s="1" customFormat="1" ht="69.95" customHeight="1">
      <c r="D68" s="28">
        <v>7</v>
      </c>
      <c r="H68" s="4"/>
      <c r="I68" s="2"/>
      <c r="J68" s="81">
        <f>PRODUCT(-H28,1/39)</f>
        <v>0.23076923076923075</v>
      </c>
      <c r="K68" s="81">
        <f t="shared" si="9"/>
        <v>0.11538461538461538</v>
      </c>
      <c r="L68" s="81">
        <f t="shared" ref="L68:AQ68" si="75">SUM((0.5*$CJ68),K28,-L28)</f>
        <v>0.11538461538461538</v>
      </c>
      <c r="M68" s="81">
        <f t="shared" si="75"/>
        <v>0.11538461538461538</v>
      </c>
      <c r="N68" s="81">
        <f t="shared" si="75"/>
        <v>0.11538461538461538</v>
      </c>
      <c r="O68" s="81">
        <f t="shared" si="75"/>
        <v>1.1153846153846154</v>
      </c>
      <c r="P68" s="81">
        <f t="shared" si="75"/>
        <v>0.11538461538461542</v>
      </c>
      <c r="Q68" s="81">
        <f t="shared" si="75"/>
        <v>1.1153846153846154</v>
      </c>
      <c r="R68" s="81">
        <f t="shared" si="75"/>
        <v>1.1153846153846154</v>
      </c>
      <c r="S68" s="81">
        <f t="shared" si="75"/>
        <v>1.1153846153846154</v>
      </c>
      <c r="T68" s="81">
        <f t="shared" si="75"/>
        <v>1.1153846153846154</v>
      </c>
      <c r="U68" s="81">
        <f t="shared" si="75"/>
        <v>2.115384615384615</v>
      </c>
      <c r="V68" s="81">
        <f t="shared" si="75"/>
        <v>1.115384615384615</v>
      </c>
      <c r="W68" s="81">
        <f t="shared" si="75"/>
        <v>2.115384615384615</v>
      </c>
      <c r="X68" s="81">
        <f t="shared" si="75"/>
        <v>2.115384615384615</v>
      </c>
      <c r="Y68" s="81">
        <f t="shared" si="75"/>
        <v>2.115384615384615</v>
      </c>
      <c r="Z68" s="81">
        <f t="shared" si="75"/>
        <v>2.115384615384615</v>
      </c>
      <c r="AA68" s="81">
        <f t="shared" si="75"/>
        <v>3.115384615384615</v>
      </c>
      <c r="AB68" s="81">
        <f t="shared" si="75"/>
        <v>2.1153846153846168</v>
      </c>
      <c r="AC68" s="81">
        <f t="shared" si="75"/>
        <v>4.1153846153846168</v>
      </c>
      <c r="AD68" s="81">
        <f t="shared" si="75"/>
        <v>3.1153846153846168</v>
      </c>
      <c r="AE68" s="81">
        <f t="shared" si="75"/>
        <v>3.1153846153846168</v>
      </c>
      <c r="AF68" s="81">
        <f t="shared" si="75"/>
        <v>3.1153846153846168</v>
      </c>
      <c r="AG68" s="81">
        <f t="shared" si="75"/>
        <v>4.1153846153846132</v>
      </c>
      <c r="AH68" s="81">
        <f t="shared" si="75"/>
        <v>3.1153846153846132</v>
      </c>
      <c r="AI68" s="81">
        <f t="shared" si="75"/>
        <v>3.1153846153846132</v>
      </c>
      <c r="AJ68" s="81">
        <f t="shared" si="75"/>
        <v>2.1153846153846132</v>
      </c>
      <c r="AK68" s="81">
        <f t="shared" si="75"/>
        <v>5.1153846153846132</v>
      </c>
      <c r="AL68" s="81">
        <f t="shared" si="75"/>
        <v>3.1153846153846132</v>
      </c>
      <c r="AM68" s="81">
        <f t="shared" si="75"/>
        <v>3.1153846153846132</v>
      </c>
      <c r="AN68" s="81">
        <f t="shared" si="75"/>
        <v>3.1153846153846132</v>
      </c>
      <c r="AO68" s="81">
        <f t="shared" si="75"/>
        <v>3.1153846153846132</v>
      </c>
      <c r="AP68" s="81">
        <f t="shared" si="75"/>
        <v>1.1153846153846132</v>
      </c>
      <c r="AQ68" s="81">
        <f t="shared" si="75"/>
        <v>1.1153846153846132</v>
      </c>
      <c r="AR68" s="81">
        <f t="shared" ref="AR68:BW68" si="76">SUM((0.5*$CJ68),AQ28,-AR28)</f>
        <v>1.1153846153846132</v>
      </c>
      <c r="AS68" s="81">
        <f t="shared" si="76"/>
        <v>2.1153846153846132</v>
      </c>
      <c r="AT68" s="81">
        <f t="shared" si="76"/>
        <v>2.1153846153846132</v>
      </c>
      <c r="AU68" s="81">
        <f t="shared" si="76"/>
        <v>1.1153846153846132</v>
      </c>
      <c r="AV68" s="81">
        <f t="shared" si="76"/>
        <v>0.1153846153846132</v>
      </c>
      <c r="AW68" s="81">
        <f t="shared" si="76"/>
        <v>-0.8846153846153868</v>
      </c>
      <c r="AX68" s="81">
        <f t="shared" si="76"/>
        <v>0.1153846153846132</v>
      </c>
      <c r="AY68" s="81">
        <f t="shared" si="76"/>
        <v>1.1153846153846132</v>
      </c>
      <c r="AZ68" s="81">
        <f t="shared" si="76"/>
        <v>1.1153846153846132</v>
      </c>
      <c r="BA68" s="81">
        <f t="shared" si="76"/>
        <v>0.1153846153846132</v>
      </c>
      <c r="BB68" s="81">
        <f t="shared" si="76"/>
        <v>-0.8846153846153868</v>
      </c>
      <c r="BC68" s="81">
        <f t="shared" si="76"/>
        <v>0.1153846153846132</v>
      </c>
      <c r="BD68" s="81">
        <f t="shared" si="76"/>
        <v>-0.8846153846153868</v>
      </c>
      <c r="BE68" s="81">
        <f t="shared" si="76"/>
        <v>-0.8846153846153868</v>
      </c>
      <c r="BF68" s="81">
        <f t="shared" si="76"/>
        <v>-0.8846153846153868</v>
      </c>
      <c r="BG68" s="81">
        <f t="shared" si="76"/>
        <v>-0.8846153846153868</v>
      </c>
      <c r="BH68" s="81">
        <f t="shared" si="76"/>
        <v>-0.8846153846153868</v>
      </c>
      <c r="BI68" s="81">
        <f t="shared" si="76"/>
        <v>-0.8846153846153868</v>
      </c>
      <c r="BJ68" s="81">
        <f t="shared" si="76"/>
        <v>-0.8846153846153868</v>
      </c>
      <c r="BK68" s="81">
        <f t="shared" si="76"/>
        <v>-0.8846153846153868</v>
      </c>
      <c r="BL68" s="81">
        <f t="shared" si="76"/>
        <v>-0.8846153846153868</v>
      </c>
      <c r="BM68" s="81">
        <f t="shared" si="76"/>
        <v>0.1153846153846132</v>
      </c>
      <c r="BN68" s="81">
        <f t="shared" si="76"/>
        <v>-0.8846153846153868</v>
      </c>
      <c r="BO68" s="81">
        <f t="shared" si="76"/>
        <v>0.1153846153846132</v>
      </c>
      <c r="BP68" s="81">
        <f t="shared" si="76"/>
        <v>-0.8846153846153868</v>
      </c>
      <c r="BQ68" s="81">
        <f t="shared" si="76"/>
        <v>-0.8846153846153868</v>
      </c>
      <c r="BR68" s="81">
        <f t="shared" si="76"/>
        <v>-1.8846153846153868</v>
      </c>
      <c r="BS68" s="81">
        <f t="shared" si="76"/>
        <v>-0.8846153846153868</v>
      </c>
      <c r="BT68" s="81">
        <f t="shared" si="76"/>
        <v>-2.8846153846153868</v>
      </c>
      <c r="BU68" s="81">
        <f t="shared" si="76"/>
        <v>-2.8846153846153868</v>
      </c>
      <c r="BV68" s="81">
        <f t="shared" si="76"/>
        <v>-3.8846153846153868</v>
      </c>
      <c r="BW68" s="81">
        <f t="shared" si="76"/>
        <v>-1.8846153846153868</v>
      </c>
      <c r="BX68" s="81">
        <f t="shared" ref="BX68:CI68" si="77">SUM((0.5*$CJ68),BW28,-BX28)</f>
        <v>-3.8846153846153868</v>
      </c>
      <c r="BY68" s="81">
        <f t="shared" si="77"/>
        <v>-3.8846153846153868</v>
      </c>
      <c r="BZ68" s="81">
        <f t="shared" si="77"/>
        <v>-3.8846153846153868</v>
      </c>
      <c r="CA68" s="81">
        <f t="shared" si="77"/>
        <v>-3.8846153846153832</v>
      </c>
      <c r="CB68" s="81">
        <f t="shared" si="77"/>
        <v>-5.8846153846153832</v>
      </c>
      <c r="CC68" s="81">
        <f t="shared" si="77"/>
        <v>-2.8846153846153832</v>
      </c>
      <c r="CD68" s="81">
        <f t="shared" si="77"/>
        <v>-2.8846153846153832</v>
      </c>
      <c r="CE68" s="81">
        <f t="shared" si="77"/>
        <v>-2.884615384615385</v>
      </c>
      <c r="CF68" s="81">
        <f t="shared" si="77"/>
        <v>-2.884615384615385</v>
      </c>
      <c r="CG68" s="81">
        <f t="shared" si="77"/>
        <v>-2.884615384615385</v>
      </c>
      <c r="CH68" s="81">
        <f t="shared" si="77"/>
        <v>-3.884615384615385</v>
      </c>
      <c r="CI68" s="81">
        <f t="shared" si="77"/>
        <v>-2.8846153846153846</v>
      </c>
      <c r="CJ68" s="81">
        <f>PRODUCT(-H28,1/39)</f>
        <v>0.23076923076923075</v>
      </c>
      <c r="CL68" s="74">
        <f>CO28</f>
        <v>41.28</v>
      </c>
      <c r="CR68" s="27"/>
    </row>
    <row r="69" spans="4:108" s="1" customFormat="1" ht="69.95" customHeight="1">
      <c r="D69" s="28">
        <v>5</v>
      </c>
      <c r="H69" s="4"/>
      <c r="I69" s="2"/>
      <c r="J69" s="81">
        <f>PRODUCT(-H29,1/39)</f>
        <v>-0.5641025641025641</v>
      </c>
      <c r="K69" s="81">
        <f>SUM((0.5*$CJ69),0)</f>
        <v>-0.28205128205128205</v>
      </c>
      <c r="L69" s="81">
        <f t="shared" ref="L69:BW69" si="78">SUM((0.5*$CJ69),K29,-L29)</f>
        <v>0.71794871794871795</v>
      </c>
      <c r="M69" s="81">
        <f t="shared" si="78"/>
        <v>-4.2820512820512819</v>
      </c>
      <c r="N69" s="81">
        <f t="shared" si="78"/>
        <v>-0.28205128205128194</v>
      </c>
      <c r="O69" s="81">
        <f t="shared" si="78"/>
        <v>0.71794871794871806</v>
      </c>
      <c r="P69" s="81">
        <f t="shared" si="78"/>
        <v>-0.28205128205128194</v>
      </c>
      <c r="Q69" s="81">
        <f t="shared" si="78"/>
        <v>-0.28205128205128194</v>
      </c>
      <c r="R69" s="81">
        <f t="shared" si="78"/>
        <v>-1.2820512820512819</v>
      </c>
      <c r="S69" s="81">
        <f t="shared" si="78"/>
        <v>-0.28205128205128194</v>
      </c>
      <c r="T69" s="81">
        <f t="shared" si="78"/>
        <v>-1.2820512820512819</v>
      </c>
      <c r="U69" s="81">
        <f t="shared" si="78"/>
        <v>-0.28205128205128194</v>
      </c>
      <c r="V69" s="81">
        <f t="shared" si="78"/>
        <v>-0.28205128205128194</v>
      </c>
      <c r="W69" s="81">
        <f t="shared" si="78"/>
        <v>-0.28205128205128194</v>
      </c>
      <c r="X69" s="81">
        <f t="shared" si="78"/>
        <v>-1.2820512820512819</v>
      </c>
      <c r="Y69" s="81">
        <f t="shared" si="78"/>
        <v>-0.28205128205128194</v>
      </c>
      <c r="Z69" s="81">
        <f t="shared" si="78"/>
        <v>-1.2820512820512819</v>
      </c>
      <c r="AA69" s="81">
        <f t="shared" si="78"/>
        <v>-0.28205128205128194</v>
      </c>
      <c r="AB69" s="81">
        <f t="shared" si="78"/>
        <v>0.71794871794871806</v>
      </c>
      <c r="AC69" s="81">
        <f t="shared" si="78"/>
        <v>0.71794871794871806</v>
      </c>
      <c r="AD69" s="81">
        <f t="shared" si="78"/>
        <v>-0.28205128205128194</v>
      </c>
      <c r="AE69" s="81">
        <f t="shared" si="78"/>
        <v>-0.28205128205128194</v>
      </c>
      <c r="AF69" s="81">
        <f t="shared" si="78"/>
        <v>-0.28205128205128194</v>
      </c>
      <c r="AG69" s="81">
        <f t="shared" si="78"/>
        <v>0.71794871794871806</v>
      </c>
      <c r="AH69" s="81">
        <f t="shared" si="78"/>
        <v>0.71794871794871806</v>
      </c>
      <c r="AI69" s="81">
        <f t="shared" si="78"/>
        <v>0.71794871794871806</v>
      </c>
      <c r="AJ69" s="81">
        <f t="shared" si="78"/>
        <v>-0.28205128205128205</v>
      </c>
      <c r="AK69" s="81">
        <f t="shared" si="78"/>
        <v>0.71794871794871795</v>
      </c>
      <c r="AL69" s="81">
        <f t="shared" si="78"/>
        <v>0.71794871794871795</v>
      </c>
      <c r="AM69" s="81">
        <f t="shared" si="78"/>
        <v>0.71794871794871806</v>
      </c>
      <c r="AN69" s="81">
        <f t="shared" si="78"/>
        <v>-0.28205128205128194</v>
      </c>
      <c r="AO69" s="81">
        <f t="shared" si="78"/>
        <v>0.71794871794871806</v>
      </c>
      <c r="AP69" s="81">
        <f t="shared" si="78"/>
        <v>-0.28205128205128194</v>
      </c>
      <c r="AQ69" s="81">
        <f t="shared" si="78"/>
        <v>0.71794871794871806</v>
      </c>
      <c r="AR69" s="81">
        <f t="shared" si="78"/>
        <v>-0.28205128205128194</v>
      </c>
      <c r="AS69" s="81">
        <f t="shared" si="78"/>
        <v>-0.28205128205128194</v>
      </c>
      <c r="AT69" s="81">
        <f t="shared" si="78"/>
        <v>0.71794871794871806</v>
      </c>
      <c r="AU69" s="81">
        <f t="shared" si="78"/>
        <v>0.71794871794871806</v>
      </c>
      <c r="AV69" s="81">
        <f t="shared" si="78"/>
        <v>-0.28205128205128194</v>
      </c>
      <c r="AW69" s="81">
        <f t="shared" si="78"/>
        <v>-0.28205128205128194</v>
      </c>
      <c r="AX69" s="81">
        <f t="shared" si="78"/>
        <v>-0.28205128205128194</v>
      </c>
      <c r="AY69" s="81">
        <f t="shared" si="78"/>
        <v>-0.28205128205128194</v>
      </c>
      <c r="AZ69" s="81">
        <f t="shared" si="78"/>
        <v>0.71794871794871806</v>
      </c>
      <c r="BA69" s="81">
        <f t="shared" si="78"/>
        <v>0.71794871794871806</v>
      </c>
      <c r="BB69" s="81">
        <f t="shared" si="78"/>
        <v>-0.28205128205128283</v>
      </c>
      <c r="BC69" s="81">
        <f t="shared" si="78"/>
        <v>-0.28205128205128283</v>
      </c>
      <c r="BD69" s="81">
        <f t="shared" si="78"/>
        <v>-0.28205128205128283</v>
      </c>
      <c r="BE69" s="81">
        <f t="shared" si="78"/>
        <v>-0.28205128205128283</v>
      </c>
      <c r="BF69" s="81">
        <f t="shared" si="78"/>
        <v>-0.28205128205128283</v>
      </c>
      <c r="BG69" s="81">
        <f t="shared" si="78"/>
        <v>-0.28205128205128283</v>
      </c>
      <c r="BH69" s="81">
        <f t="shared" si="78"/>
        <v>-1.2820512820512828</v>
      </c>
      <c r="BI69" s="81">
        <f t="shared" si="78"/>
        <v>-0.28205128205128194</v>
      </c>
      <c r="BJ69" s="81">
        <f t="shared" si="78"/>
        <v>-0.28205128205128194</v>
      </c>
      <c r="BK69" s="81">
        <f t="shared" si="78"/>
        <v>-0.28205128205128194</v>
      </c>
      <c r="BL69" s="81">
        <f t="shared" si="78"/>
        <v>-1.2820512820512819</v>
      </c>
      <c r="BM69" s="81">
        <f t="shared" si="78"/>
        <v>-0.28205128205128194</v>
      </c>
      <c r="BN69" s="81">
        <f t="shared" si="78"/>
        <v>-0.28205128205128194</v>
      </c>
      <c r="BO69" s="81">
        <f t="shared" si="78"/>
        <v>-0.28205128205128194</v>
      </c>
      <c r="BP69" s="81">
        <f t="shared" si="78"/>
        <v>-1.2820512820512819</v>
      </c>
      <c r="BQ69" s="81">
        <f t="shared" si="78"/>
        <v>-0.28205128205128194</v>
      </c>
      <c r="BR69" s="81">
        <f t="shared" si="78"/>
        <v>-1.2820512820512819</v>
      </c>
      <c r="BS69" s="81">
        <f t="shared" si="78"/>
        <v>-1.2820512820512819</v>
      </c>
      <c r="BT69" s="81">
        <f t="shared" si="78"/>
        <v>-0.28205128205128194</v>
      </c>
      <c r="BU69" s="81">
        <f t="shared" si="78"/>
        <v>-1.2820512820512819</v>
      </c>
      <c r="BV69" s="81">
        <f t="shared" si="78"/>
        <v>-0.28205128205128194</v>
      </c>
      <c r="BW69" s="81">
        <f t="shared" si="78"/>
        <v>-0.28205128205128194</v>
      </c>
      <c r="BX69" s="81">
        <f t="shared" ref="BX69:CI69" si="79">SUM((0.5*$CJ69),BW29,-BX29)</f>
        <v>-1.2820512820512819</v>
      </c>
      <c r="BY69" s="81">
        <f t="shared" si="79"/>
        <v>-0.28205128205128194</v>
      </c>
      <c r="BZ69" s="81">
        <f t="shared" si="79"/>
        <v>-0.28205128205128194</v>
      </c>
      <c r="CA69" s="81">
        <f t="shared" si="79"/>
        <v>-0.28205128205128194</v>
      </c>
      <c r="CB69" s="81">
        <f t="shared" si="79"/>
        <v>-0.28205128205128194</v>
      </c>
      <c r="CC69" s="81">
        <f t="shared" si="79"/>
        <v>-0.28205128205128194</v>
      </c>
      <c r="CD69" s="81">
        <f t="shared" si="79"/>
        <v>-0.28205128205128194</v>
      </c>
      <c r="CE69" s="81">
        <f t="shared" si="79"/>
        <v>-0.28205128205128194</v>
      </c>
      <c r="CF69" s="81">
        <f t="shared" si="79"/>
        <v>-0.28205128205128194</v>
      </c>
      <c r="CG69" s="81">
        <f t="shared" si="79"/>
        <v>-0.28205128205128194</v>
      </c>
      <c r="CH69" s="81">
        <f t="shared" si="79"/>
        <v>-1.2820512820512819</v>
      </c>
      <c r="CI69" s="81">
        <f t="shared" si="79"/>
        <v>-0.28205128205128205</v>
      </c>
      <c r="CJ69" s="81">
        <f>PRODUCT(-H29,1/39)</f>
        <v>-0.5641025641025641</v>
      </c>
      <c r="CL69" s="74">
        <f>CO29</f>
        <v>3.9200000000000004</v>
      </c>
      <c r="CR69" s="27"/>
    </row>
    <row r="70" spans="4:108" s="1" customFormat="1" ht="69.95" customHeight="1">
      <c r="D70" s="28">
        <v>3</v>
      </c>
      <c r="H70" s="4"/>
      <c r="I70" s="2"/>
      <c r="J70" s="81">
        <f>PRODUCT(-H30,1/39)</f>
        <v>2.564102564102564E-2</v>
      </c>
      <c r="K70" s="81">
        <f t="shared" si="9"/>
        <v>1.282051282051282E-2</v>
      </c>
      <c r="L70" s="81">
        <f t="shared" ref="L70:AQ70" si="80">SUM((0.5*$CJ70),K30,-L30)</f>
        <v>1.0128205128205128</v>
      </c>
      <c r="M70" s="81">
        <f t="shared" si="80"/>
        <v>-0.98717948717948723</v>
      </c>
      <c r="N70" s="81">
        <f t="shared" si="80"/>
        <v>1.282051282051282E-2</v>
      </c>
      <c r="O70" s="81">
        <f t="shared" si="80"/>
        <v>1.282051282051282E-2</v>
      </c>
      <c r="P70" s="81">
        <f t="shared" si="80"/>
        <v>1.282051282051282E-2</v>
      </c>
      <c r="Q70" s="81">
        <f t="shared" si="80"/>
        <v>1.0128205128205128</v>
      </c>
      <c r="R70" s="81">
        <f t="shared" si="80"/>
        <v>1.2820512820512775E-2</v>
      </c>
      <c r="S70" s="81">
        <f t="shared" si="80"/>
        <v>1.0128205128205128</v>
      </c>
      <c r="T70" s="81">
        <f t="shared" si="80"/>
        <v>1.2820512820512775E-2</v>
      </c>
      <c r="U70" s="81">
        <f t="shared" si="80"/>
        <v>1.2820512820512775E-2</v>
      </c>
      <c r="V70" s="81">
        <f t="shared" si="80"/>
        <v>1.0128205128205128</v>
      </c>
      <c r="W70" s="81">
        <f t="shared" si="80"/>
        <v>2.0128205128205128</v>
      </c>
      <c r="X70" s="81">
        <f t="shared" si="80"/>
        <v>1.0128205128205128</v>
      </c>
      <c r="Y70" s="81">
        <f t="shared" si="80"/>
        <v>1.2820512820512775E-2</v>
      </c>
      <c r="Z70" s="81">
        <f t="shared" si="80"/>
        <v>1.0128205128205128</v>
      </c>
      <c r="AA70" s="81">
        <f t="shared" si="80"/>
        <v>1.0128205128205128</v>
      </c>
      <c r="AB70" s="81">
        <f t="shared" si="80"/>
        <v>2.0128205128205128</v>
      </c>
      <c r="AC70" s="81">
        <f t="shared" si="80"/>
        <v>2.0128205128205128</v>
      </c>
      <c r="AD70" s="81">
        <f t="shared" si="80"/>
        <v>1.0128205128205128</v>
      </c>
      <c r="AE70" s="81">
        <f t="shared" si="80"/>
        <v>1.0128205128205128</v>
      </c>
      <c r="AF70" s="81">
        <f t="shared" si="80"/>
        <v>1.0128205128205128</v>
      </c>
      <c r="AG70" s="81">
        <f t="shared" si="80"/>
        <v>2.0128205128205128</v>
      </c>
      <c r="AH70" s="81">
        <f t="shared" si="80"/>
        <v>1.0128205128205146</v>
      </c>
      <c r="AI70" s="81">
        <f t="shared" si="80"/>
        <v>2.0128205128205146</v>
      </c>
      <c r="AJ70" s="81">
        <f t="shared" si="80"/>
        <v>2.0128205128205146</v>
      </c>
      <c r="AK70" s="81">
        <f t="shared" si="80"/>
        <v>2.0128205128205146</v>
      </c>
      <c r="AL70" s="81">
        <f t="shared" si="80"/>
        <v>2.0128205128205146</v>
      </c>
      <c r="AM70" s="81">
        <f t="shared" si="80"/>
        <v>2.0128205128205146</v>
      </c>
      <c r="AN70" s="81">
        <f t="shared" si="80"/>
        <v>1.0128205128205146</v>
      </c>
      <c r="AO70" s="81">
        <f t="shared" si="80"/>
        <v>2.0128205128205146</v>
      </c>
      <c r="AP70" s="81">
        <f t="shared" si="80"/>
        <v>1.0128205128205146</v>
      </c>
      <c r="AQ70" s="81">
        <f t="shared" si="80"/>
        <v>2.0128205128205146</v>
      </c>
      <c r="AR70" s="81">
        <f t="shared" ref="AR70:BW70" si="81">SUM((0.5*$CJ70),AQ30,-AR30)</f>
        <v>1.012820512820511</v>
      </c>
      <c r="AS70" s="81">
        <f t="shared" si="81"/>
        <v>1.012820512820511</v>
      </c>
      <c r="AT70" s="81">
        <f t="shared" si="81"/>
        <v>1.012820512820511</v>
      </c>
      <c r="AU70" s="81">
        <f t="shared" si="81"/>
        <v>1.012820512820511</v>
      </c>
      <c r="AV70" s="81">
        <f t="shared" si="81"/>
        <v>1.012820512820511</v>
      </c>
      <c r="AW70" s="81">
        <f t="shared" si="81"/>
        <v>1.2820512820510999E-2</v>
      </c>
      <c r="AX70" s="81">
        <f t="shared" si="81"/>
        <v>1.012820512820511</v>
      </c>
      <c r="AY70" s="81">
        <f t="shared" si="81"/>
        <v>1.2820512820510999E-2</v>
      </c>
      <c r="AZ70" s="81">
        <f t="shared" si="81"/>
        <v>1.012820512820511</v>
      </c>
      <c r="BA70" s="81">
        <f t="shared" si="81"/>
        <v>1.2820512820510999E-2</v>
      </c>
      <c r="BB70" s="81">
        <f t="shared" si="81"/>
        <v>1.2820512820510999E-2</v>
      </c>
      <c r="BC70" s="81">
        <f t="shared" si="81"/>
        <v>-0.987179487179489</v>
      </c>
      <c r="BD70" s="81">
        <f t="shared" si="81"/>
        <v>1.2820512820510999E-2</v>
      </c>
      <c r="BE70" s="81">
        <f t="shared" si="81"/>
        <v>-0.987179487179489</v>
      </c>
      <c r="BF70" s="81">
        <f t="shared" si="81"/>
        <v>-0.987179487179489</v>
      </c>
      <c r="BG70" s="81">
        <f t="shared" si="81"/>
        <v>1.2820512820510999E-2</v>
      </c>
      <c r="BH70" s="81">
        <f t="shared" si="81"/>
        <v>-1.987179487179489</v>
      </c>
      <c r="BI70" s="81">
        <f t="shared" si="81"/>
        <v>-0.987179487179489</v>
      </c>
      <c r="BJ70" s="81">
        <f t="shared" si="81"/>
        <v>-0.987179487179489</v>
      </c>
      <c r="BK70" s="81">
        <f t="shared" si="81"/>
        <v>-0.987179487179489</v>
      </c>
      <c r="BL70" s="81">
        <f t="shared" si="81"/>
        <v>-0.987179487179489</v>
      </c>
      <c r="BM70" s="81">
        <f t="shared" si="81"/>
        <v>-0.98717948717948545</v>
      </c>
      <c r="BN70" s="81">
        <f t="shared" si="81"/>
        <v>-0.98717948717948545</v>
      </c>
      <c r="BO70" s="81">
        <f t="shared" si="81"/>
        <v>-0.98717948717948545</v>
      </c>
      <c r="BP70" s="81">
        <f t="shared" si="81"/>
        <v>-0.98717948717948545</v>
      </c>
      <c r="BQ70" s="81">
        <f t="shared" si="81"/>
        <v>-0.98717948717948545</v>
      </c>
      <c r="BR70" s="81">
        <f t="shared" si="81"/>
        <v>-1.9871794871794854</v>
      </c>
      <c r="BS70" s="81">
        <f t="shared" si="81"/>
        <v>-0.98717948717948545</v>
      </c>
      <c r="BT70" s="81">
        <f t="shared" si="81"/>
        <v>-1.9871794871794854</v>
      </c>
      <c r="BU70" s="81">
        <f t="shared" si="81"/>
        <v>-0.98717948717948545</v>
      </c>
      <c r="BV70" s="81">
        <f t="shared" si="81"/>
        <v>-0.98717948717948545</v>
      </c>
      <c r="BW70" s="81">
        <f t="shared" si="81"/>
        <v>-0.98717948717948545</v>
      </c>
      <c r="BX70" s="81">
        <f t="shared" ref="BX70:CI70" si="82">SUM((0.5*$CJ70),BW30,-BX30)</f>
        <v>-1.9871794871794854</v>
      </c>
      <c r="BY70" s="81">
        <f t="shared" si="82"/>
        <v>-1.9871794871794854</v>
      </c>
      <c r="BZ70" s="81">
        <f t="shared" si="82"/>
        <v>-1.9871794871794872</v>
      </c>
      <c r="CA70" s="81">
        <f t="shared" si="82"/>
        <v>-0.98717948717948723</v>
      </c>
      <c r="CB70" s="81">
        <f t="shared" si="82"/>
        <v>-1.9871794871794872</v>
      </c>
      <c r="CC70" s="81">
        <f t="shared" si="82"/>
        <v>-2.9871794871794872</v>
      </c>
      <c r="CD70" s="81">
        <f t="shared" si="82"/>
        <v>-0.98717948717948723</v>
      </c>
      <c r="CE70" s="81">
        <f t="shared" si="82"/>
        <v>-0.98717948717948723</v>
      </c>
      <c r="CF70" s="81">
        <f t="shared" si="82"/>
        <v>-0.98717948717948723</v>
      </c>
      <c r="CG70" s="81">
        <f t="shared" si="82"/>
        <v>-0.98717948717948723</v>
      </c>
      <c r="CH70" s="81">
        <f t="shared" si="82"/>
        <v>-1.9871794871794872</v>
      </c>
      <c r="CI70" s="81">
        <f t="shared" si="82"/>
        <v>-0.98717948717948723</v>
      </c>
      <c r="CJ70" s="81">
        <f>PRODUCT(-H30,1/39)</f>
        <v>2.564102564102564E-2</v>
      </c>
      <c r="CL70" s="74">
        <f>CO30</f>
        <v>20.666666666666668</v>
      </c>
      <c r="CR70" s="27"/>
    </row>
    <row r="71" spans="4:108" s="1" customFormat="1" ht="69" customHeight="1">
      <c r="D71" s="28">
        <v>1</v>
      </c>
      <c r="H71" s="4"/>
      <c r="I71" s="2"/>
      <c r="J71" s="81">
        <f t="shared" ref="J71" si="83">PRODUCT(-H31,1/39)</f>
        <v>0.76923076923076916</v>
      </c>
      <c r="K71" s="81">
        <f t="shared" si="9"/>
        <v>0.38461538461538458</v>
      </c>
      <c r="L71" s="81">
        <f t="shared" ref="L71:AQ71" si="84">SUM((0.5*$CJ71),K31,-L31)</f>
        <v>0.38461538461538458</v>
      </c>
      <c r="M71" s="81">
        <f t="shared" si="84"/>
        <v>-2.6153846153846154</v>
      </c>
      <c r="N71" s="81">
        <f t="shared" si="84"/>
        <v>0.38461538461538458</v>
      </c>
      <c r="O71" s="81">
        <f t="shared" si="84"/>
        <v>-0.61538461538461542</v>
      </c>
      <c r="P71" s="81">
        <f t="shared" si="84"/>
        <v>-0.61538461538461497</v>
      </c>
      <c r="Q71" s="81">
        <f t="shared" si="84"/>
        <v>-0.61538461538461497</v>
      </c>
      <c r="R71" s="81">
        <f t="shared" si="84"/>
        <v>-1.615384615384615</v>
      </c>
      <c r="S71" s="81">
        <f t="shared" si="84"/>
        <v>-0.61538461538461497</v>
      </c>
      <c r="T71" s="81">
        <f t="shared" si="84"/>
        <v>-0.61538461538461497</v>
      </c>
      <c r="U71" s="81">
        <f t="shared" si="84"/>
        <v>-1.615384615384615</v>
      </c>
      <c r="V71" s="81">
        <f t="shared" si="84"/>
        <v>0.38461538461538503</v>
      </c>
      <c r="W71" s="81">
        <f t="shared" si="84"/>
        <v>0.38461538461538503</v>
      </c>
      <c r="X71" s="81">
        <f t="shared" si="84"/>
        <v>-0.61538461538461497</v>
      </c>
      <c r="Y71" s="81">
        <f t="shared" si="84"/>
        <v>0.38461538461538503</v>
      </c>
      <c r="Z71" s="81">
        <f t="shared" si="84"/>
        <v>0.38461538461538503</v>
      </c>
      <c r="AA71" s="81">
        <f t="shared" si="84"/>
        <v>0.38461538461538503</v>
      </c>
      <c r="AB71" s="81">
        <f t="shared" si="84"/>
        <v>1.384615384615385</v>
      </c>
      <c r="AC71" s="81">
        <f t="shared" si="84"/>
        <v>1.384615384615385</v>
      </c>
      <c r="AD71" s="81">
        <f t="shared" si="84"/>
        <v>1.384615384615385</v>
      </c>
      <c r="AE71" s="81">
        <f t="shared" si="84"/>
        <v>1.384615384615385</v>
      </c>
      <c r="AF71" s="81">
        <f t="shared" si="84"/>
        <v>2.384615384615385</v>
      </c>
      <c r="AG71" s="81">
        <f t="shared" si="84"/>
        <v>2.384615384615385</v>
      </c>
      <c r="AH71" s="81">
        <f t="shared" si="84"/>
        <v>2.384615384615385</v>
      </c>
      <c r="AI71" s="81">
        <f t="shared" si="84"/>
        <v>1.3846153846153846</v>
      </c>
      <c r="AJ71" s="81">
        <f t="shared" si="84"/>
        <v>2.3846153846153846</v>
      </c>
      <c r="AK71" s="81">
        <f t="shared" si="84"/>
        <v>3.3846153846153846</v>
      </c>
      <c r="AL71" s="81">
        <f t="shared" si="84"/>
        <v>4.384615384615385</v>
      </c>
      <c r="AM71" s="81">
        <f t="shared" si="84"/>
        <v>3.384615384615385</v>
      </c>
      <c r="AN71" s="81">
        <f t="shared" si="84"/>
        <v>3.384615384615385</v>
      </c>
      <c r="AO71" s="81">
        <f t="shared" si="84"/>
        <v>3.384615384615385</v>
      </c>
      <c r="AP71" s="81">
        <f t="shared" si="84"/>
        <v>2.384615384615385</v>
      </c>
      <c r="AQ71" s="81">
        <f t="shared" si="84"/>
        <v>3.3846153846153832</v>
      </c>
      <c r="AR71" s="81">
        <f t="shared" ref="AR71:BW71" si="85">SUM((0.5*$CJ71),AQ31,-AR31)</f>
        <v>4.3846153846153832</v>
      </c>
      <c r="AS71" s="81">
        <f t="shared" si="85"/>
        <v>3.3846153846153832</v>
      </c>
      <c r="AT71" s="81">
        <f t="shared" si="85"/>
        <v>2.3846153846153832</v>
      </c>
      <c r="AU71" s="81">
        <f t="shared" si="85"/>
        <v>3.3846153846153832</v>
      </c>
      <c r="AV71" s="81">
        <f t="shared" si="85"/>
        <v>1.3846153846153868</v>
      </c>
      <c r="AW71" s="81">
        <f t="shared" si="85"/>
        <v>1.3846153846153868</v>
      </c>
      <c r="AX71" s="81">
        <f t="shared" si="85"/>
        <v>1.3846153846153868</v>
      </c>
      <c r="AY71" s="81">
        <f t="shared" si="85"/>
        <v>1.3846153846153868</v>
      </c>
      <c r="AZ71" s="81">
        <f t="shared" si="85"/>
        <v>1.3846153846153868</v>
      </c>
      <c r="BA71" s="81">
        <f t="shared" si="85"/>
        <v>0.3846153846153868</v>
      </c>
      <c r="BB71" s="81">
        <f t="shared" si="85"/>
        <v>1.3846153846153868</v>
      </c>
      <c r="BC71" s="81">
        <f t="shared" si="85"/>
        <v>0.3846153846153868</v>
      </c>
      <c r="BD71" s="81">
        <f t="shared" si="85"/>
        <v>-0.6153846153846132</v>
      </c>
      <c r="BE71" s="81">
        <f t="shared" si="85"/>
        <v>0.3846153846153868</v>
      </c>
      <c r="BF71" s="81">
        <f t="shared" si="85"/>
        <v>0.3846153846153868</v>
      </c>
      <c r="BG71" s="81">
        <f t="shared" si="85"/>
        <v>-0.6153846153846132</v>
      </c>
      <c r="BH71" s="81">
        <f t="shared" si="85"/>
        <v>0.3846153846153868</v>
      </c>
      <c r="BI71" s="81">
        <f t="shared" si="85"/>
        <v>0.3846153846153868</v>
      </c>
      <c r="BJ71" s="81">
        <f t="shared" si="85"/>
        <v>-1.6153846153846132</v>
      </c>
      <c r="BK71" s="81">
        <f t="shared" si="85"/>
        <v>-0.6153846153846132</v>
      </c>
      <c r="BL71" s="81">
        <f t="shared" si="85"/>
        <v>-0.6153846153846132</v>
      </c>
      <c r="BM71" s="81">
        <f t="shared" si="85"/>
        <v>0.3846153846153868</v>
      </c>
      <c r="BN71" s="81">
        <f t="shared" si="85"/>
        <v>-1.6153846153846132</v>
      </c>
      <c r="BO71" s="81">
        <f t="shared" si="85"/>
        <v>-1.6153846153846168</v>
      </c>
      <c r="BP71" s="81">
        <f t="shared" si="85"/>
        <v>-0.61538461538461675</v>
      </c>
      <c r="BQ71" s="81">
        <f t="shared" si="85"/>
        <v>-0.61538461538461675</v>
      </c>
      <c r="BR71" s="81">
        <f t="shared" si="85"/>
        <v>-0.61538461538461675</v>
      </c>
      <c r="BS71" s="81">
        <f t="shared" si="85"/>
        <v>-0.61538461538461675</v>
      </c>
      <c r="BT71" s="81">
        <f t="shared" si="85"/>
        <v>-1.6153846153846168</v>
      </c>
      <c r="BU71" s="81">
        <f t="shared" si="85"/>
        <v>-1.6153846153846168</v>
      </c>
      <c r="BV71" s="81">
        <f t="shared" si="85"/>
        <v>-0.61538461538461675</v>
      </c>
      <c r="BW71" s="81">
        <f t="shared" si="85"/>
        <v>-0.61538461538461675</v>
      </c>
      <c r="BX71" s="81">
        <f t="shared" ref="BX71:CI71" si="86">SUM((0.5*$CJ71),BW31,-BX31)</f>
        <v>-0.61538461538461675</v>
      </c>
      <c r="BY71" s="81">
        <f t="shared" si="86"/>
        <v>-0.61538461538461675</v>
      </c>
      <c r="BZ71" s="81">
        <f t="shared" si="86"/>
        <v>-1.6153846153846168</v>
      </c>
      <c r="CA71" s="81">
        <f t="shared" si="86"/>
        <v>-0.61538461538461497</v>
      </c>
      <c r="CB71" s="81">
        <f t="shared" si="86"/>
        <v>-1.615384615384615</v>
      </c>
      <c r="CC71" s="81">
        <f t="shared" si="86"/>
        <v>-1.615384615384615</v>
      </c>
      <c r="CD71" s="81">
        <f t="shared" si="86"/>
        <v>-0.61538461538461497</v>
      </c>
      <c r="CE71" s="81">
        <f t="shared" si="86"/>
        <v>-0.61538461538461497</v>
      </c>
      <c r="CF71" s="81">
        <f t="shared" si="86"/>
        <v>-0.61538461538461497</v>
      </c>
      <c r="CG71" s="81">
        <f t="shared" si="86"/>
        <v>0.38461538461538503</v>
      </c>
      <c r="CH71" s="81">
        <f t="shared" si="86"/>
        <v>-3.615384615384615</v>
      </c>
      <c r="CI71" s="81">
        <f t="shared" si="86"/>
        <v>-2.6153846153846154</v>
      </c>
      <c r="CJ71" s="81">
        <f t="shared" ref="CJ71" si="87">PRODUCT(-H31,1/39)</f>
        <v>0.76923076923076916</v>
      </c>
      <c r="CL71" s="74">
        <f t="shared" ref="CL71" si="88">CO31</f>
        <v>18.986666666666668</v>
      </c>
      <c r="CN71" s="40" t="s">
        <v>52</v>
      </c>
      <c r="CR71" s="27"/>
    </row>
    <row r="72" spans="4:108" s="1" customFormat="1" ht="34.5" customHeight="1">
      <c r="D72" s="35"/>
      <c r="H72" s="4" t="s">
        <v>48</v>
      </c>
      <c r="I72" s="2"/>
      <c r="J72" s="81">
        <f t="shared" ref="J72:BU72" si="89">SUM(J42:J71)</f>
        <v>-4.1282051282051277</v>
      </c>
      <c r="K72" s="81">
        <f t="shared" si="89"/>
        <v>-2.0641025641025639</v>
      </c>
      <c r="L72" s="81">
        <f t="shared" si="89"/>
        <v>18.935897435897434</v>
      </c>
      <c r="M72" s="81">
        <f t="shared" si="89"/>
        <v>-70.064102564102583</v>
      </c>
      <c r="N72" s="81">
        <f t="shared" si="89"/>
        <v>-2.064102564102563</v>
      </c>
      <c r="O72" s="81">
        <f t="shared" si="89"/>
        <v>19.935897435897445</v>
      </c>
      <c r="P72" s="81">
        <f t="shared" si="89"/>
        <v>3.935897435897437</v>
      </c>
      <c r="Q72" s="81">
        <f t="shared" si="89"/>
        <v>21.935897435897445</v>
      </c>
      <c r="R72" s="81">
        <f t="shared" si="89"/>
        <v>-5.0641025641025603</v>
      </c>
      <c r="S72" s="81">
        <f t="shared" si="89"/>
        <v>18.935897435897445</v>
      </c>
      <c r="T72" s="81">
        <f t="shared" si="89"/>
        <v>-2.0641025641025661</v>
      </c>
      <c r="U72" s="81">
        <f t="shared" si="89"/>
        <v>11.935897435897434</v>
      </c>
      <c r="V72" s="81">
        <f t="shared" si="89"/>
        <v>14.935897435897434</v>
      </c>
      <c r="W72" s="81">
        <f t="shared" si="89"/>
        <v>25.935897435897438</v>
      </c>
      <c r="X72" s="81">
        <f t="shared" si="89"/>
        <v>3.9358974358974317</v>
      </c>
      <c r="Y72" s="81">
        <f t="shared" si="89"/>
        <v>6.935897435897429</v>
      </c>
      <c r="Z72" s="81">
        <f t="shared" si="89"/>
        <v>3.9358974358974286</v>
      </c>
      <c r="AA72" s="81">
        <f t="shared" si="89"/>
        <v>17.935897435897438</v>
      </c>
      <c r="AB72" s="81">
        <f t="shared" si="89"/>
        <v>38.935897435897431</v>
      </c>
      <c r="AC72" s="81">
        <f t="shared" si="89"/>
        <v>52.935897435897417</v>
      </c>
      <c r="AD72" s="81">
        <f t="shared" si="89"/>
        <v>21.935897435897438</v>
      </c>
      <c r="AE72" s="81">
        <f t="shared" si="89"/>
        <v>22.935897435897431</v>
      </c>
      <c r="AF72" s="81">
        <f t="shared" si="89"/>
        <v>20.935897435897431</v>
      </c>
      <c r="AG72" s="81">
        <f t="shared" si="89"/>
        <v>34.935897435897431</v>
      </c>
      <c r="AH72" s="81">
        <f t="shared" si="89"/>
        <v>28.935897435897431</v>
      </c>
      <c r="AI72" s="81">
        <f t="shared" si="89"/>
        <v>34.935897435897431</v>
      </c>
      <c r="AJ72" s="81">
        <f t="shared" si="89"/>
        <v>18.93589743589742</v>
      </c>
      <c r="AK72" s="81">
        <f t="shared" si="89"/>
        <v>34.935897435897431</v>
      </c>
      <c r="AL72" s="81">
        <f t="shared" si="89"/>
        <v>27.935897435897424</v>
      </c>
      <c r="AM72" s="81">
        <f t="shared" si="89"/>
        <v>29.935897435897431</v>
      </c>
      <c r="AN72" s="81">
        <f t="shared" si="89"/>
        <v>9.9358974358974272</v>
      </c>
      <c r="AO72" s="81">
        <f t="shared" si="89"/>
        <v>33.935897435897431</v>
      </c>
      <c r="AP72" s="81">
        <f t="shared" si="89"/>
        <v>4.9358974358974343</v>
      </c>
      <c r="AQ72" s="81">
        <f t="shared" si="89"/>
        <v>14.935897435897434</v>
      </c>
      <c r="AR72" s="81">
        <f t="shared" si="89"/>
        <v>9.9358974358974308</v>
      </c>
      <c r="AS72" s="81">
        <f t="shared" si="89"/>
        <v>8.9358974358974343</v>
      </c>
      <c r="AT72" s="81">
        <f t="shared" si="89"/>
        <v>14.935897435897434</v>
      </c>
      <c r="AU72" s="81">
        <f t="shared" si="89"/>
        <v>16.935897435897434</v>
      </c>
      <c r="AV72" s="81">
        <f t="shared" si="89"/>
        <v>-6.0641025641025621</v>
      </c>
      <c r="AW72" s="81">
        <f t="shared" si="89"/>
        <v>-3.0641025641025639</v>
      </c>
      <c r="AX72" s="81">
        <f t="shared" si="89"/>
        <v>2.9358974358974366</v>
      </c>
      <c r="AY72" s="81">
        <f t="shared" si="89"/>
        <v>-3.0641025641025639</v>
      </c>
      <c r="AZ72" s="81">
        <f t="shared" si="89"/>
        <v>14.935897435897438</v>
      </c>
      <c r="BA72" s="81">
        <f t="shared" si="89"/>
        <v>8.9358974358974361</v>
      </c>
      <c r="BB72" s="81">
        <f t="shared" si="89"/>
        <v>-10.064102564102571</v>
      </c>
      <c r="BC72" s="81">
        <f t="shared" si="89"/>
        <v>-5.0641025641025728</v>
      </c>
      <c r="BD72" s="81">
        <f t="shared" si="89"/>
        <v>-10.064102564102573</v>
      </c>
      <c r="BE72" s="81">
        <f t="shared" si="89"/>
        <v>-10.064102564102576</v>
      </c>
      <c r="BF72" s="81">
        <f t="shared" si="89"/>
        <v>-9.0641025641025763</v>
      </c>
      <c r="BG72" s="81">
        <f t="shared" si="89"/>
        <v>-7.0641025641025763</v>
      </c>
      <c r="BH72" s="81">
        <f t="shared" si="89"/>
        <v>-19.064102564102576</v>
      </c>
      <c r="BI72" s="81">
        <f t="shared" si="89"/>
        <v>-9.0641025641025657</v>
      </c>
      <c r="BJ72" s="81">
        <f t="shared" si="89"/>
        <v>-12.064102564102566</v>
      </c>
      <c r="BK72" s="81">
        <f t="shared" si="89"/>
        <v>-12.064102564102566</v>
      </c>
      <c r="BL72" s="81">
        <f t="shared" si="89"/>
        <v>-31.064102564102562</v>
      </c>
      <c r="BM72" s="81">
        <f t="shared" si="89"/>
        <v>-14.064102564102562</v>
      </c>
      <c r="BN72" s="81">
        <f t="shared" si="89"/>
        <v>-26.064102564102559</v>
      </c>
      <c r="BO72" s="81">
        <f t="shared" si="89"/>
        <v>-17.064102564102562</v>
      </c>
      <c r="BP72" s="81">
        <f t="shared" si="89"/>
        <v>-31.064102564102559</v>
      </c>
      <c r="BQ72" s="81">
        <f t="shared" si="89"/>
        <v>-15.064102564102569</v>
      </c>
      <c r="BR72" s="81">
        <f t="shared" si="89"/>
        <v>-53.064102564102583</v>
      </c>
      <c r="BS72" s="81">
        <f t="shared" si="89"/>
        <v>-46.064102564102569</v>
      </c>
      <c r="BT72" s="81">
        <f t="shared" si="89"/>
        <v>-45.064102564102569</v>
      </c>
      <c r="BU72" s="81">
        <f t="shared" si="89"/>
        <v>-53.064102564102569</v>
      </c>
      <c r="BV72" s="81">
        <f t="shared" ref="BV72:CH72" si="90">SUM(BV42:BV71)</f>
        <v>-27.064102564102566</v>
      </c>
      <c r="BW72" s="81">
        <f t="shared" si="90"/>
        <v>-18.064102564102569</v>
      </c>
      <c r="BX72" s="81">
        <f t="shared" si="90"/>
        <v>-39.064102564102555</v>
      </c>
      <c r="BY72" s="81">
        <f t="shared" si="90"/>
        <v>-38.064102564102555</v>
      </c>
      <c r="BZ72" s="81">
        <f t="shared" si="90"/>
        <v>-20.064102564102559</v>
      </c>
      <c r="CA72" s="81">
        <f t="shared" si="90"/>
        <v>-18.064102564102555</v>
      </c>
      <c r="CB72" s="81">
        <f t="shared" si="90"/>
        <v>-26.064102564102555</v>
      </c>
      <c r="CC72" s="81">
        <f t="shared" si="90"/>
        <v>-24.064102564102562</v>
      </c>
      <c r="CD72" s="81">
        <f t="shared" si="90"/>
        <v>-15.064102564102559</v>
      </c>
      <c r="CE72" s="81">
        <f t="shared" si="90"/>
        <v>-19.064102564102562</v>
      </c>
      <c r="CF72" s="81">
        <f t="shared" si="90"/>
        <v>-14.064102564102566</v>
      </c>
      <c r="CG72" s="81">
        <f t="shared" si="90"/>
        <v>-9.0641025641025621</v>
      </c>
      <c r="CH72" s="81">
        <f t="shared" si="90"/>
        <v>-25.064102564102555</v>
      </c>
      <c r="CI72" s="81">
        <f t="shared" ref="CI72" si="91">SUM(CI42:CI71)</f>
        <v>-16.064102564102566</v>
      </c>
      <c r="CJ72" s="81">
        <f>SUM(CJ42:CJ71)</f>
        <v>-4.1282051282051277</v>
      </c>
      <c r="CL72" s="1">
        <f>PRODUCT(SUM(CL42:CL71),1/30)</f>
        <v>15.192444444444448</v>
      </c>
      <c r="CM72" s="6" t="s">
        <v>49</v>
      </c>
      <c r="CN72" s="8" t="s">
        <v>51</v>
      </c>
      <c r="CO72" s="41" t="s">
        <v>63</v>
      </c>
      <c r="CR72" s="27"/>
    </row>
    <row r="73" spans="4:108" s="1" customFormat="1" ht="20.25">
      <c r="D73" s="52"/>
      <c r="H73" s="53" t="s">
        <v>49</v>
      </c>
      <c r="I73" s="54"/>
      <c r="J73" s="82">
        <f t="shared" ref="J73:CJ73" si="92">PRODUCT(J72,1/18)</f>
        <v>-0.2293447293447293</v>
      </c>
      <c r="K73" s="82">
        <f t="shared" si="92"/>
        <v>-0.11467236467236465</v>
      </c>
      <c r="L73" s="82">
        <f t="shared" si="92"/>
        <v>1.0519943019943019</v>
      </c>
      <c r="M73" s="82">
        <f t="shared" si="92"/>
        <v>-3.8924501424501434</v>
      </c>
      <c r="N73" s="82">
        <f t="shared" si="92"/>
        <v>-0.11467236467236461</v>
      </c>
      <c r="O73" s="82">
        <f t="shared" si="92"/>
        <v>1.1075498575498579</v>
      </c>
      <c r="P73" s="82">
        <f t="shared" si="92"/>
        <v>0.21866096866096871</v>
      </c>
      <c r="Q73" s="82">
        <f t="shared" si="92"/>
        <v>1.2186609686609691</v>
      </c>
      <c r="R73" s="82">
        <f t="shared" si="92"/>
        <v>-0.2813390313390311</v>
      </c>
      <c r="S73" s="82">
        <f t="shared" si="92"/>
        <v>1.0519943019943025</v>
      </c>
      <c r="T73" s="82">
        <f t="shared" si="92"/>
        <v>-0.11467236467236477</v>
      </c>
      <c r="U73" s="82">
        <f t="shared" si="92"/>
        <v>0.66310541310541293</v>
      </c>
      <c r="V73" s="82">
        <f t="shared" si="92"/>
        <v>0.82977207977207967</v>
      </c>
      <c r="W73" s="82">
        <f t="shared" si="92"/>
        <v>1.4408831908831909</v>
      </c>
      <c r="X73" s="82">
        <f t="shared" si="92"/>
        <v>0.2186609686609684</v>
      </c>
      <c r="Y73" s="82">
        <f t="shared" si="92"/>
        <v>0.38532763532763492</v>
      </c>
      <c r="Z73" s="82">
        <f t="shared" si="92"/>
        <v>0.21866096866096824</v>
      </c>
      <c r="AA73" s="82">
        <f t="shared" si="92"/>
        <v>0.99643874643874653</v>
      </c>
      <c r="AB73" s="82">
        <f t="shared" si="92"/>
        <v>2.1631054131054128</v>
      </c>
      <c r="AC73" s="82">
        <f t="shared" si="92"/>
        <v>2.9408831908831896</v>
      </c>
      <c r="AD73" s="82">
        <f t="shared" si="92"/>
        <v>1.2186609686609686</v>
      </c>
      <c r="AE73" s="82">
        <f t="shared" si="92"/>
        <v>1.2742165242165238</v>
      </c>
      <c r="AF73" s="82">
        <f t="shared" si="92"/>
        <v>1.1631054131054128</v>
      </c>
      <c r="AG73" s="82">
        <f t="shared" si="92"/>
        <v>1.9408831908831905</v>
      </c>
      <c r="AH73" s="82">
        <f t="shared" si="92"/>
        <v>1.6075498575498572</v>
      </c>
      <c r="AI73" s="82">
        <f t="shared" si="92"/>
        <v>1.9408831908831905</v>
      </c>
      <c r="AJ73" s="82">
        <f t="shared" si="92"/>
        <v>1.051994301994301</v>
      </c>
      <c r="AK73" s="82">
        <f t="shared" si="92"/>
        <v>1.9408831908831905</v>
      </c>
      <c r="AL73" s="82">
        <f t="shared" si="92"/>
        <v>1.5519943019943012</v>
      </c>
      <c r="AM73" s="82">
        <f t="shared" si="92"/>
        <v>1.6631054131054128</v>
      </c>
      <c r="AN73" s="82">
        <f t="shared" si="92"/>
        <v>0.55199430199430144</v>
      </c>
      <c r="AO73" s="82">
        <f t="shared" si="92"/>
        <v>1.8853276353276349</v>
      </c>
      <c r="AP73" s="82">
        <f t="shared" si="92"/>
        <v>0.27421652421652409</v>
      </c>
      <c r="AQ73" s="82">
        <f t="shared" si="92"/>
        <v>0.82977207977207967</v>
      </c>
      <c r="AR73" s="82">
        <f t="shared" si="92"/>
        <v>0.55199430199430166</v>
      </c>
      <c r="AS73" s="82">
        <f t="shared" si="92"/>
        <v>0.4964387464387463</v>
      </c>
      <c r="AT73" s="82">
        <f t="shared" si="92"/>
        <v>0.82977207977207967</v>
      </c>
      <c r="AU73" s="82">
        <f t="shared" si="92"/>
        <v>0.94088319088319072</v>
      </c>
      <c r="AV73" s="82">
        <f t="shared" si="92"/>
        <v>-0.33689458689458679</v>
      </c>
      <c r="AW73" s="82">
        <f t="shared" si="92"/>
        <v>-0.17022792022792022</v>
      </c>
      <c r="AX73" s="82">
        <f t="shared" si="92"/>
        <v>0.16310541310541313</v>
      </c>
      <c r="AY73" s="82">
        <f t="shared" si="92"/>
        <v>-0.17022792022792022</v>
      </c>
      <c r="AZ73" s="82">
        <f t="shared" si="92"/>
        <v>0.82977207977207978</v>
      </c>
      <c r="BA73" s="82">
        <f t="shared" si="92"/>
        <v>0.49643874643874641</v>
      </c>
      <c r="BB73" s="82">
        <f t="shared" si="92"/>
        <v>-0.5591168091168095</v>
      </c>
      <c r="BC73" s="82">
        <f t="shared" si="92"/>
        <v>-0.28133903133903182</v>
      </c>
      <c r="BD73" s="82">
        <f t="shared" si="92"/>
        <v>-0.55911680911680961</v>
      </c>
      <c r="BE73" s="82">
        <f t="shared" si="92"/>
        <v>-0.55911680911680972</v>
      </c>
      <c r="BF73" s="82">
        <f t="shared" si="92"/>
        <v>-0.50356125356125425</v>
      </c>
      <c r="BG73" s="82">
        <f t="shared" si="92"/>
        <v>-0.39245014245014309</v>
      </c>
      <c r="BH73" s="82">
        <f t="shared" si="92"/>
        <v>-1.0591168091168097</v>
      </c>
      <c r="BI73" s="82">
        <f t="shared" si="92"/>
        <v>-0.50356125356125359</v>
      </c>
      <c r="BJ73" s="82">
        <f t="shared" si="92"/>
        <v>-0.67022792022792033</v>
      </c>
      <c r="BK73" s="82">
        <f t="shared" si="92"/>
        <v>-0.67022792022792033</v>
      </c>
      <c r="BL73" s="82">
        <f t="shared" si="92"/>
        <v>-1.7257834757834756</v>
      </c>
      <c r="BM73" s="82">
        <f t="shared" si="92"/>
        <v>-0.78133903133903115</v>
      </c>
      <c r="BN73" s="82">
        <f t="shared" si="92"/>
        <v>-1.4480056980056977</v>
      </c>
      <c r="BO73" s="82">
        <f t="shared" si="92"/>
        <v>-0.94800569800569789</v>
      </c>
      <c r="BP73" s="82">
        <f t="shared" si="92"/>
        <v>-1.7257834757834754</v>
      </c>
      <c r="BQ73" s="82">
        <f t="shared" si="92"/>
        <v>-0.83689458689458718</v>
      </c>
      <c r="BR73" s="82">
        <f t="shared" si="92"/>
        <v>-2.9480056980056988</v>
      </c>
      <c r="BS73" s="82">
        <f t="shared" si="92"/>
        <v>-2.5591168091168091</v>
      </c>
      <c r="BT73" s="82">
        <f t="shared" si="92"/>
        <v>-2.5035612535612537</v>
      </c>
      <c r="BU73" s="82">
        <f t="shared" si="92"/>
        <v>-2.9480056980056983</v>
      </c>
      <c r="BV73" s="82">
        <f t="shared" si="92"/>
        <v>-1.5035612535612535</v>
      </c>
      <c r="BW73" s="82">
        <f t="shared" si="92"/>
        <v>-1.0035612535612537</v>
      </c>
      <c r="BX73" s="82">
        <f t="shared" si="92"/>
        <v>-2.1702279202279198</v>
      </c>
      <c r="BY73" s="82">
        <f t="shared" si="92"/>
        <v>-2.114672364672364</v>
      </c>
      <c r="BZ73" s="82">
        <f t="shared" si="92"/>
        <v>-1.1146723646723642</v>
      </c>
      <c r="CA73" s="82">
        <f t="shared" si="92"/>
        <v>-1.003561253561253</v>
      </c>
      <c r="CB73" s="82">
        <f t="shared" si="92"/>
        <v>-1.4480056980056975</v>
      </c>
      <c r="CC73" s="82">
        <f t="shared" si="92"/>
        <v>-1.3368945868945867</v>
      </c>
      <c r="CD73" s="82">
        <f t="shared" si="92"/>
        <v>-0.83689458689458651</v>
      </c>
      <c r="CE73" s="82">
        <f t="shared" si="92"/>
        <v>-1.0591168091168091</v>
      </c>
      <c r="CF73" s="82">
        <f t="shared" si="92"/>
        <v>-0.78133903133903138</v>
      </c>
      <c r="CG73" s="82">
        <f t="shared" si="92"/>
        <v>-0.50356125356125347</v>
      </c>
      <c r="CH73" s="82">
        <f t="shared" si="92"/>
        <v>-1.3924501424501419</v>
      </c>
      <c r="CI73" s="82">
        <f t="shared" ref="CI73" si="93">PRODUCT(CI72,1/18)</f>
        <v>-0.89245014245014254</v>
      </c>
      <c r="CJ73" s="82">
        <f t="shared" si="92"/>
        <v>-0.2293447293447293</v>
      </c>
      <c r="CN73" s="8"/>
      <c r="CO73" s="20" t="str">
        <f>IF(DA79&lt;1.1,"A+",IF(DA79&lt;2.1,"A",IF(DA79&lt;3.1,"A-",IF(DA79&lt;4.1,"B+",IF(DA79&lt;5.1,"B",IF(DA79&lt;6.1,"B-",IF(DA79&lt;7.1,"C+",IF(DA79&lt;8.1,"C",IF(DA79&lt;9.1,"C-",IF(DA79&lt;10.1,"D+",IF(DA79&lt;11.1,"D",IF(DA79&lt;12.1,"D-",IF(DA79&lt;13.1,"F")))))))))))))</f>
        <v>B-</v>
      </c>
      <c r="CP73" s="1" t="str">
        <f>IF(CN73&lt;2.33,"A+",IF(CN73&lt;2.667,"A",IF(CN73&lt;3,"A-",IF(CN73&lt;3.334,"B+",IF(CN73&lt;3.667,"B",IF(CN73&lt;4,"B-",IF(CN73&lt;4.334,"C+",IF(CN73&gt;=4.334,""))))))))</f>
        <v>A+</v>
      </c>
      <c r="CQ73" s="1" t="str">
        <f>IF(CN73&lt;=4.333,"",IF(CN73&lt;5,"C-",IF(CN73&lt;5.334,"D+",IF(CN73&lt;5.67,"D",IF(CN73&lt;6,"D-",IF(CN73&gt;=6,"F"))))))</f>
        <v/>
      </c>
      <c r="CR73" s="27"/>
    </row>
    <row r="74" spans="4:108" s="1" customFormat="1" ht="20.25">
      <c r="D74" s="58"/>
      <c r="E74" s="50"/>
      <c r="F74" s="50"/>
      <c r="G74" s="50"/>
      <c r="H74" s="59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60"/>
      <c r="BK74" s="60"/>
      <c r="BL74" s="60"/>
      <c r="BM74" s="60"/>
      <c r="BN74" s="60"/>
      <c r="BO74" s="60"/>
      <c r="BP74" s="60"/>
      <c r="BQ74" s="60"/>
      <c r="BR74" s="60"/>
      <c r="BS74" s="60"/>
      <c r="BT74" s="60"/>
      <c r="BU74" s="60"/>
      <c r="BV74" s="60"/>
      <c r="BW74" s="60"/>
      <c r="BX74" s="60"/>
      <c r="BY74" s="60"/>
      <c r="BZ74" s="60"/>
      <c r="CA74" s="60"/>
      <c r="CB74" s="60"/>
      <c r="CC74" s="60"/>
      <c r="CD74" s="60"/>
      <c r="CE74" s="60"/>
      <c r="CF74" s="60"/>
      <c r="CG74" s="60"/>
      <c r="CH74" s="60"/>
      <c r="CI74" s="60"/>
      <c r="CN74" s="20"/>
      <c r="CQ74" s="27"/>
    </row>
    <row r="75" spans="4:108" s="1" customFormat="1" ht="21.95" customHeight="1">
      <c r="D75" s="58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9"/>
      <c r="S75" s="60"/>
      <c r="T75" s="60"/>
      <c r="U75" s="60"/>
      <c r="V75" s="65">
        <v>13</v>
      </c>
      <c r="W75" s="65">
        <v>13</v>
      </c>
      <c r="X75" s="65">
        <v>12</v>
      </c>
      <c r="Y75" s="66"/>
      <c r="Z75" s="102">
        <v>17</v>
      </c>
      <c r="AA75" s="102">
        <v>17</v>
      </c>
      <c r="AB75" s="98">
        <v>17</v>
      </c>
      <c r="AC75" s="66"/>
      <c r="AD75" s="65">
        <v>24</v>
      </c>
      <c r="AE75" s="65">
        <v>23</v>
      </c>
      <c r="AF75" s="65">
        <v>23</v>
      </c>
      <c r="AG75" s="66"/>
      <c r="AH75" s="102">
        <v>27</v>
      </c>
      <c r="AI75" s="102">
        <v>28</v>
      </c>
      <c r="AJ75" s="102">
        <v>28</v>
      </c>
      <c r="AK75" s="66"/>
      <c r="AL75" s="65">
        <v>34</v>
      </c>
      <c r="AM75" s="65">
        <v>34</v>
      </c>
      <c r="AN75" s="65">
        <v>34</v>
      </c>
      <c r="AQ75" s="66"/>
      <c r="AR75" s="135" t="s">
        <v>64</v>
      </c>
      <c r="AS75" s="135"/>
      <c r="AT75" s="135"/>
      <c r="AU75" s="135"/>
      <c r="AV75" s="135"/>
      <c r="AW75" s="135"/>
      <c r="AX75" s="135"/>
      <c r="AY75" s="135"/>
      <c r="AZ75" s="135"/>
      <c r="BA75" s="135"/>
      <c r="BB75" s="135"/>
      <c r="BC75" s="92"/>
      <c r="BD75" s="92"/>
      <c r="BE75" s="92"/>
      <c r="BF75" s="102">
        <v>34</v>
      </c>
      <c r="BG75" s="65">
        <v>34</v>
      </c>
      <c r="BH75" s="65">
        <v>34</v>
      </c>
      <c r="BI75" s="66"/>
      <c r="BJ75" s="102">
        <v>28</v>
      </c>
      <c r="BK75" s="102">
        <v>28</v>
      </c>
      <c r="BL75" s="102">
        <v>27</v>
      </c>
      <c r="BM75" s="66"/>
      <c r="BN75" s="65">
        <v>23</v>
      </c>
      <c r="BO75" s="65">
        <v>23</v>
      </c>
      <c r="BP75" s="65">
        <v>24</v>
      </c>
      <c r="BQ75" s="66"/>
      <c r="BR75" s="102">
        <v>17</v>
      </c>
      <c r="BS75" s="102">
        <v>17</v>
      </c>
      <c r="BT75" s="102">
        <v>17</v>
      </c>
      <c r="BU75" s="66"/>
      <c r="BV75" s="65">
        <v>12</v>
      </c>
      <c r="BW75" s="65">
        <v>13</v>
      </c>
      <c r="BX75" s="65">
        <v>13</v>
      </c>
      <c r="BY75" s="66"/>
      <c r="BZ75" s="60"/>
      <c r="CA75" s="60"/>
      <c r="CB75" s="60"/>
      <c r="CC75" s="60"/>
      <c r="CD75" s="60"/>
      <c r="CE75" s="60"/>
      <c r="CF75" s="60"/>
      <c r="CG75" s="132" t="s">
        <v>111</v>
      </c>
      <c r="CI75" s="75"/>
      <c r="CJ75" s="74">
        <f>PRODUCT(CL72,0.1)</f>
        <v>1.5192444444444448</v>
      </c>
      <c r="CK75" s="20" t="str">
        <f>IF(CO75="",CP75,CO75)</f>
        <v>C</v>
      </c>
      <c r="CL75" s="20"/>
      <c r="CM75" s="20"/>
      <c r="CN75" s="20"/>
      <c r="CO75" s="1" t="str">
        <f>IF(CJ75&lt;0.777,"A+",IF(CJ75&lt;0.888,"A",IF(CJ75&lt;1,"A-",IF(CJ75&lt;1.111,"B+",IF(CJ75&lt;1.222,"B",IF(CJ75&lt;1.333,"B-",IF(CJ75&lt;1.444,"C+",IF(CJ75&gt;=1.444,""))))))))</f>
        <v/>
      </c>
      <c r="CP75" s="1" t="str">
        <f>IF(CJ75&lt;1.444,"",IF(CJ75&lt;1.555,"C",IF(CJ75&lt;1.666,"C-",IF(CJ75&lt;1.777,"D+",IF(CJ75&lt;1.888,"D",IF(CJ75&lt;1.999,"D-",IF(CJ75&gt;=2,"F")))))))</f>
        <v>C</v>
      </c>
      <c r="CQ75" s="27" t="str">
        <f>IF(CK75="A+",1,"")</f>
        <v/>
      </c>
      <c r="CR75" s="1" t="str">
        <f>IF(CK75="A",2,"")</f>
        <v/>
      </c>
      <c r="CS75" s="1" t="str">
        <f>IF(CK75="A-",3,"")</f>
        <v/>
      </c>
      <c r="CT75" s="1" t="str">
        <f>IF(CK75="B+",4,"")</f>
        <v/>
      </c>
      <c r="CU75" s="1" t="str">
        <f>IF(CK75="B",5,"")</f>
        <v/>
      </c>
      <c r="CV75" s="1" t="str">
        <f>IF(CK75="B-",6,"")</f>
        <v/>
      </c>
      <c r="CW75" s="1" t="str">
        <f>IF(CK75="C+",7,"")</f>
        <v/>
      </c>
      <c r="CX75" s="1">
        <f>IF(CK75="C",8,"")</f>
        <v>8</v>
      </c>
      <c r="CY75" s="1" t="str">
        <f>IF(CK75="C-",9,"")</f>
        <v/>
      </c>
      <c r="CZ75" s="1" t="str">
        <f>IF(CK75="D+",10,"")</f>
        <v/>
      </c>
      <c r="DA75" s="1" t="str">
        <f>IF(CK75="D",11,"")</f>
        <v/>
      </c>
      <c r="DB75" s="1" t="str">
        <f>IF(CK75="D-",12,"")</f>
        <v/>
      </c>
      <c r="DC75" s="1" t="str">
        <f>IF(CK75="F",13,"")</f>
        <v/>
      </c>
      <c r="DD75" s="1">
        <f>SUM(CQ75:DC75)</f>
        <v>8</v>
      </c>
    </row>
    <row r="76" spans="4:108" s="1" customFormat="1" ht="21.95" customHeight="1">
      <c r="D76" s="58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9"/>
      <c r="S76" s="60"/>
      <c r="T76" s="60"/>
      <c r="U76" s="60"/>
      <c r="V76" s="67">
        <v>4</v>
      </c>
      <c r="W76" s="67">
        <v>11</v>
      </c>
      <c r="X76" s="67">
        <v>15</v>
      </c>
      <c r="Y76" s="68"/>
      <c r="Z76" s="67">
        <v>10</v>
      </c>
      <c r="AA76" s="67">
        <v>15</v>
      </c>
      <c r="AB76" s="99">
        <v>20</v>
      </c>
      <c r="AC76" s="68"/>
      <c r="AD76" s="67">
        <v>11</v>
      </c>
      <c r="AE76" s="67">
        <v>15</v>
      </c>
      <c r="AF76" s="67">
        <v>19</v>
      </c>
      <c r="AG76" s="68"/>
      <c r="AH76" s="67">
        <v>10</v>
      </c>
      <c r="AI76" s="67">
        <v>15</v>
      </c>
      <c r="AJ76" s="67">
        <v>20</v>
      </c>
      <c r="AK76" s="68"/>
      <c r="AL76" s="67">
        <v>15</v>
      </c>
      <c r="AM76" s="67">
        <v>18</v>
      </c>
      <c r="AN76" s="67">
        <v>24</v>
      </c>
      <c r="AQ76" s="68"/>
      <c r="AR76" s="135" t="s">
        <v>65</v>
      </c>
      <c r="AS76" s="135"/>
      <c r="AT76" s="135"/>
      <c r="AU76" s="135"/>
      <c r="AV76" s="135"/>
      <c r="AW76" s="135"/>
      <c r="AX76" s="135"/>
      <c r="AY76" s="135"/>
      <c r="AZ76" s="135"/>
      <c r="BA76" s="135"/>
      <c r="BB76" s="135"/>
      <c r="BC76" s="92"/>
      <c r="BD76" s="92"/>
      <c r="BE76" s="92"/>
      <c r="BF76" s="67">
        <v>24</v>
      </c>
      <c r="BG76" s="67">
        <v>18</v>
      </c>
      <c r="BH76" s="67">
        <v>15</v>
      </c>
      <c r="BI76" s="68"/>
      <c r="BJ76" s="67">
        <v>20</v>
      </c>
      <c r="BK76" s="67">
        <v>15</v>
      </c>
      <c r="BL76" s="67">
        <v>10</v>
      </c>
      <c r="BM76" s="68"/>
      <c r="BN76" s="67">
        <v>19</v>
      </c>
      <c r="BO76" s="67">
        <v>15</v>
      </c>
      <c r="BP76" s="67">
        <v>11</v>
      </c>
      <c r="BQ76" s="68"/>
      <c r="BR76" s="67">
        <v>20</v>
      </c>
      <c r="BS76" s="67">
        <v>15</v>
      </c>
      <c r="BT76" s="67">
        <v>10</v>
      </c>
      <c r="BU76" s="68"/>
      <c r="BV76" s="67">
        <v>15</v>
      </c>
      <c r="BW76" s="67">
        <v>11</v>
      </c>
      <c r="BX76" s="67">
        <v>4</v>
      </c>
      <c r="BY76" s="68"/>
      <c r="BZ76" s="60"/>
      <c r="CA76" s="60"/>
      <c r="CB76" s="60"/>
      <c r="CC76" s="60"/>
      <c r="CD76" s="60"/>
      <c r="CE76" s="60"/>
      <c r="CF76" s="60"/>
      <c r="CG76" s="132" t="s">
        <v>109</v>
      </c>
      <c r="CI76" s="75"/>
      <c r="CJ76" s="74">
        <f>PRODUCT(SQRT(I37^2),0.00294)</f>
        <v>0.83195826000000006</v>
      </c>
      <c r="CK76" s="20" t="str">
        <f>IF(CO76="",CP76,CO76)</f>
        <v>A</v>
      </c>
      <c r="CL76" s="20"/>
      <c r="CM76" s="20"/>
      <c r="CN76" s="20"/>
      <c r="CO76" s="1" t="str">
        <f>IF(CJ76&lt;0.777,"A+",IF(CJ76&lt;0.888,"A",IF(CJ76&lt;1,"A-",IF(CJ76&lt;1.111,"B+",IF(CJ76&lt;1.222,"B",IF(CJ76&lt;1.333,"B-",IF(CJ76&lt;1.444,"C+",IF(CJ76&gt;=1.444,""))))))))</f>
        <v>A</v>
      </c>
      <c r="CP76" s="1" t="str">
        <f>IF(CJ76&lt;1.444,"",IF(CJ76&lt;1.555,"C",IF(CJ76&lt;1.666,"C-",IF(CJ76&lt;1.777,"D+",IF(CJ76&lt;1.888,"D",IF(CJ76&lt;1.999,"D-",IF(CJ76&gt;=2,"F")))))))</f>
        <v/>
      </c>
      <c r="CQ76" s="27" t="str">
        <f>IF(CK76="A+",1,"")</f>
        <v/>
      </c>
      <c r="CR76" s="1">
        <f>IF(CK76="A",2,"")</f>
        <v>2</v>
      </c>
      <c r="CS76" s="1" t="str">
        <f>IF(CK76="A-",3,"")</f>
        <v/>
      </c>
      <c r="CT76" s="1" t="str">
        <f>IF(CK76="B+",4,"")</f>
        <v/>
      </c>
      <c r="CU76" s="1" t="str">
        <f>IF(CK76="B",5,"")</f>
        <v/>
      </c>
      <c r="CV76" s="1" t="str">
        <f>IF(CK76="B-",6,"")</f>
        <v/>
      </c>
      <c r="CW76" s="1" t="str">
        <f>IF(CK76="C+",7,"")</f>
        <v/>
      </c>
      <c r="CX76" s="1" t="str">
        <f>IF(CK76="C",8,"")</f>
        <v/>
      </c>
      <c r="CY76" s="1" t="str">
        <f>IF(CK76="C-",9,"")</f>
        <v/>
      </c>
      <c r="CZ76" s="1" t="str">
        <f>IF(CK76="D+",10,"")</f>
        <v/>
      </c>
      <c r="DA76" s="1" t="str">
        <f>IF(CK76="D",11,"")</f>
        <v/>
      </c>
      <c r="DB76" s="1" t="str">
        <f>IF(CK76="D-",12,"")</f>
        <v/>
      </c>
      <c r="DC76" s="1" t="str">
        <f>IF(CK76="F",13,"")</f>
        <v/>
      </c>
      <c r="DD76" s="1">
        <f>SUM(CQ76:DC76)</f>
        <v>2</v>
      </c>
    </row>
    <row r="77" spans="4:108" s="27" customFormat="1" ht="21.95" customHeight="1">
      <c r="D77" s="58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61"/>
      <c r="S77" s="61"/>
      <c r="T77" s="61"/>
      <c r="U77" s="61"/>
      <c r="V77" s="70" t="s">
        <v>70</v>
      </c>
      <c r="W77" s="70" t="s">
        <v>112</v>
      </c>
      <c r="X77" s="70" t="s">
        <v>115</v>
      </c>
      <c r="Y77" s="25"/>
      <c r="Z77" s="70" t="s">
        <v>124</v>
      </c>
      <c r="AA77" s="69" t="s">
        <v>116</v>
      </c>
      <c r="AB77" s="69" t="s">
        <v>117</v>
      </c>
      <c r="AC77" s="25"/>
      <c r="AD77" s="69" t="s">
        <v>118</v>
      </c>
      <c r="AE77" s="69" t="s">
        <v>119</v>
      </c>
      <c r="AF77" s="69" t="s">
        <v>113</v>
      </c>
      <c r="AG77" s="25"/>
      <c r="AH77" s="69" t="s">
        <v>114</v>
      </c>
      <c r="AI77" s="69" t="s">
        <v>123</v>
      </c>
      <c r="AJ77" s="69" t="s">
        <v>120</v>
      </c>
      <c r="AK77" s="25"/>
      <c r="AL77" s="69" t="s">
        <v>69</v>
      </c>
      <c r="AM77" s="69" t="s">
        <v>121</v>
      </c>
      <c r="AN77" s="69" t="s">
        <v>122</v>
      </c>
      <c r="AQ77" s="109"/>
      <c r="AR77" s="136" t="s">
        <v>66</v>
      </c>
      <c r="AS77" s="136"/>
      <c r="AT77" s="136"/>
      <c r="AU77" s="136"/>
      <c r="AV77" s="136"/>
      <c r="AW77" s="136"/>
      <c r="AX77" s="136"/>
      <c r="AY77" s="136"/>
      <c r="AZ77" s="136"/>
      <c r="BA77" s="136"/>
      <c r="BB77" s="136"/>
      <c r="BC77" s="94"/>
      <c r="BD77" s="94"/>
      <c r="BE77" s="94"/>
      <c r="BF77" s="69" t="s">
        <v>122</v>
      </c>
      <c r="BG77" s="69" t="s">
        <v>121</v>
      </c>
      <c r="BH77" s="69" t="s">
        <v>69</v>
      </c>
      <c r="BI77" s="25"/>
      <c r="BJ77" s="69" t="s">
        <v>120</v>
      </c>
      <c r="BK77" s="69" t="s">
        <v>123</v>
      </c>
      <c r="BL77" s="69" t="s">
        <v>114</v>
      </c>
      <c r="BM77" s="25"/>
      <c r="BN77" s="69" t="s">
        <v>113</v>
      </c>
      <c r="BO77" s="69" t="s">
        <v>119</v>
      </c>
      <c r="BP77" s="69" t="s">
        <v>118</v>
      </c>
      <c r="BQ77" s="25"/>
      <c r="BR77" s="69" t="s">
        <v>117</v>
      </c>
      <c r="BS77" s="69" t="s">
        <v>116</v>
      </c>
      <c r="BT77" s="70" t="s">
        <v>124</v>
      </c>
      <c r="BU77" s="25"/>
      <c r="BV77" s="69" t="s">
        <v>115</v>
      </c>
      <c r="BW77" s="70" t="s">
        <v>112</v>
      </c>
      <c r="BX77" s="69" t="s">
        <v>70</v>
      </c>
      <c r="BY77" s="25"/>
      <c r="BZ77" s="61"/>
      <c r="CA77" s="61"/>
      <c r="CB77" s="61"/>
      <c r="CC77" s="61"/>
      <c r="CD77" s="61"/>
      <c r="CE77" s="61"/>
      <c r="CF77" s="61"/>
      <c r="CG77" s="133" t="s">
        <v>110</v>
      </c>
      <c r="CI77" s="76"/>
      <c r="CJ77" s="74">
        <f>PRODUCT(SQRT(H38^2),0.05)</f>
        <v>0.26833333333333331</v>
      </c>
      <c r="CK77" s="43" t="str">
        <f>IF(CO77="",CP77,CO77)</f>
        <v>A+</v>
      </c>
      <c r="CL77" s="43"/>
      <c r="CM77" s="43"/>
      <c r="CN77" s="43"/>
      <c r="CO77" s="27" t="str">
        <f>IF(CJ77&lt;0.777,"A+",IF(CJ77&lt;0.888,"A",IF(CJ77&lt;1,"A-",IF(CJ77&lt;1.111,"B+",IF(CJ77&lt;1.222,"B",IF(CJ77&lt;1.333,"B-",IF(CJ77&lt;1.444,"C+",IF(CJ77&gt;=1.444,""))))))))</f>
        <v>A+</v>
      </c>
      <c r="CP77" s="27" t="str">
        <f>IF(CJ77&lt;1.444,"",IF(CJ77&lt;1.555,"C",IF(CJ77&lt;1.666,"C-",IF(CJ77&lt;1.777,"D+",IF(CJ77&lt;1.888,"D",IF(CJ77&lt;1.999,"D-",IF(CJ77&gt;=2,"F")))))))</f>
        <v/>
      </c>
      <c r="CQ77" s="27">
        <f>IF(CK77="A+",1,"")</f>
        <v>1</v>
      </c>
      <c r="CR77" s="27" t="str">
        <f>IF(CK77="A",2,"")</f>
        <v/>
      </c>
      <c r="CS77" s="27" t="str">
        <f>IF(CK77="A-",3,"")</f>
        <v/>
      </c>
      <c r="CT77" s="27" t="str">
        <f>IF(CK77="B+",4,"")</f>
        <v/>
      </c>
      <c r="CU77" s="27" t="str">
        <f>IF(CK77="B",5,"")</f>
        <v/>
      </c>
      <c r="CV77" s="27" t="str">
        <f>IF(CK77="B-",6,"")</f>
        <v/>
      </c>
      <c r="CW77" s="27" t="str">
        <f>IF(CK77="C+",7,"")</f>
        <v/>
      </c>
      <c r="CX77" s="27" t="str">
        <f>IF(CK77="C",8,"")</f>
        <v/>
      </c>
      <c r="CY77" s="27" t="str">
        <f>IF(CK77="C-",9,"")</f>
        <v/>
      </c>
      <c r="CZ77" s="27" t="str">
        <f>IF(CK77="D+",10,"")</f>
        <v/>
      </c>
      <c r="DA77" s="27" t="str">
        <f>IF(CK77="D",11,"")</f>
        <v/>
      </c>
      <c r="DB77" s="27" t="str">
        <f>IF(CK77="D-",12,"")</f>
        <v/>
      </c>
      <c r="DC77" s="27" t="str">
        <f>IF(CK77="F",13,"")</f>
        <v/>
      </c>
      <c r="DD77" s="27">
        <f>SUM(CQ77:DC77)</f>
        <v>1</v>
      </c>
    </row>
    <row r="78" spans="4:108" s="1" customFormat="1" ht="21.95" customHeight="1">
      <c r="D78" s="58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9"/>
      <c r="S78" s="60"/>
      <c r="T78" s="60"/>
      <c r="U78" s="60"/>
      <c r="V78" s="71"/>
      <c r="W78" s="71"/>
      <c r="X78" s="71"/>
      <c r="Y78" s="66"/>
      <c r="Z78" s="71"/>
      <c r="AA78" s="71"/>
      <c r="AB78" s="100"/>
      <c r="AC78" s="66"/>
      <c r="AD78" s="71"/>
      <c r="AE78" s="71"/>
      <c r="AF78" s="71"/>
      <c r="AG78" s="66"/>
      <c r="AH78" s="71"/>
      <c r="AI78" s="71"/>
      <c r="AJ78" s="71"/>
      <c r="AK78" s="66"/>
      <c r="AL78" s="71"/>
      <c r="AM78" s="71"/>
      <c r="AN78" s="71"/>
      <c r="AQ78" s="66"/>
      <c r="AR78" s="135" t="s">
        <v>67</v>
      </c>
      <c r="AS78" s="135"/>
      <c r="AT78" s="135"/>
      <c r="AU78" s="135"/>
      <c r="AV78" s="135"/>
      <c r="AW78" s="135"/>
      <c r="AX78" s="135"/>
      <c r="AY78" s="135"/>
      <c r="AZ78" s="135"/>
      <c r="BA78" s="135"/>
      <c r="BB78" s="135"/>
      <c r="BC78" s="92"/>
      <c r="BD78" s="92"/>
      <c r="BE78" s="92"/>
      <c r="BF78" s="72"/>
      <c r="BG78" s="72"/>
      <c r="BH78" s="72"/>
      <c r="BI78" s="10"/>
      <c r="BJ78" s="72"/>
      <c r="BK78" s="72"/>
      <c r="BL78" s="72"/>
      <c r="BM78" s="10"/>
      <c r="BN78" s="72"/>
      <c r="BO78" s="72"/>
      <c r="BP78" s="72"/>
      <c r="BQ78" s="10"/>
      <c r="BR78" s="72"/>
      <c r="BS78" s="72"/>
      <c r="BT78" s="72"/>
      <c r="BU78" s="10"/>
      <c r="BV78" s="72"/>
      <c r="BW78" s="72"/>
      <c r="BX78" s="72"/>
      <c r="BY78" s="10"/>
      <c r="BZ78" s="60"/>
      <c r="CA78" s="60"/>
      <c r="CB78" s="60"/>
      <c r="CC78" s="60"/>
      <c r="CD78" s="60"/>
      <c r="CE78" s="60"/>
      <c r="CF78" s="60"/>
      <c r="CN78" s="27"/>
    </row>
    <row r="79" spans="4:108" s="1" customFormat="1" ht="21.95" customHeight="1">
      <c r="D79" s="62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61"/>
      <c r="S79" s="60"/>
      <c r="T79" s="60"/>
      <c r="U79" s="60"/>
      <c r="V79" s="64">
        <f>SUM(Q70*0.132,Q68*0.132,Q66*0.132,Q64*0.132,Q63*0.132,Q61*0.132,Q59*0.132,Q57*0.132,Q56*0.132,Q54*0.132,Q52*0.132,R51*0.132,S49*0.0264,T49*0.0264,U49*0.0264,V49*0.0264,W49*0.0264,X47*0.0264,Y47*0.0264,Z47*0.0264,AA47*0.0264,AB47*0.0264,AC45*0.0264,AD45*0.0264,AE45*0.0264,AF45*0.0264,AG45*0.0264,AH44*0.0264,AI44*0.0264,AJ44*0.0264,AK44*0.0264,AL44*0.0264,AM42*0.033,AN42*0.033,AO42*0.033,AP42*0.033,17)</f>
        <v>17.13673846153846</v>
      </c>
      <c r="W79" s="64">
        <f>SUM(AG70*0.132,AF68*0.132,AE66*0.132,AD64*0.132,AC63*0.132,AB61*0.132,AA59*0.132,AA57*0.132,Z56*0.132,Z54*0.132,Y52*0.132,Y51*0.132,Z49*0.033,AA49*0.033,AB49*0.033,AC49*0.033,AD47*0.033,AE47*0.033,AF47*0.033,AG47*0.033,AH45*0.033,AI45*0.033,AJ45*0.033,AK45*0.033,AL44*0.044,AM44*0.044,AN44*0.044,AO42*0.066,AP42*0.066,17)</f>
        <v>19.356538461538463</v>
      </c>
      <c r="X79" s="64">
        <f>SUM(AP70*0.132,AO68*0.132,AN66*0.132,AM64*0.132,AL63*0.132,AK61*0.132,AJ59*0.132,AI57*0.132,AH56*0.132,AG54*0.132,AF52*0.132,AE51*0.132,AF49*0.044,AG49*0.044,AH49*0.044,AI47*0.066,AJ47*0.066,AK45*0.066,AL45*0.066,AM44*0.066,AN44*0.066,AO42*0.066,AP42*0.066,17)</f>
        <v>19.14753846153846</v>
      </c>
      <c r="Y79" s="63"/>
      <c r="Z79" s="103">
        <f>SUM(AG70*0.066,AF70*0.066,AE68*0.132,AD66*0.132,AC64*0.132,AB63*0.132,AA61*0.132,Z59*0.132,Y57*0.132,X56*0.132,W54*0.132,V52*0.132,U51*0.132,V49*0.022,W49*0.022,X49*0.022,Y49*0.022,Z49*0.022,AA47*0.022,AB47*0.022,AC47*0.022,AD47*0.022,AE47*0.022,AF45*0.033,AG45*0.033,AH45*0.033,AI45*0.033,AJ44*0.033,AK44*0.033,AL44*0.033,AM44*0.033,AN42*0.044,AO42*0.044,AP42*0.044,17)</f>
        <v>19.003410256410255</v>
      </c>
      <c r="AA79" s="103">
        <f>SUM(AS70*0.066,AR70*0.066,AQ68*0.066,AP68*0.066,AO66*0.066,AN66*0.066,AM64*0.066,AL64*0.066,AK63*0.066,AJ63*0.066,AI61*0.066,AH61*0.066,AG59*0.066,AF59*0.066,AE57*0.132,AD56*0.132,AC54*0.132,AB52*0.132,AA51*0.132,AB49*0.033,AC49*0.033,AD49*0.033,AE49*0.033,AF47*0.044,AG47*0.044,AH47*0.044,AI45*0.044,AJ45*0.044,AK45*0.044,AL44*0.044,AM44*0.044,AN44*0.044,AO42*0.066,AP42*0.066,17)</f>
        <v>19.290538461538461</v>
      </c>
      <c r="AB79" s="101">
        <f>SUM(BE70*0.044,BD70*0.044,BC70*0.044,BB68*0.066,BA68*0.066,AZ66*0.066,AY66*0.066,AX64*0.066,AW64*0.066,AV63*0.066,AU63*0.066,AT61*0.066,AS61*0.066,AR59*0.066,AQ59*0.066,AP57*0.066,AO57*0.066,AN56*0.066,AM56*0.066,AL54*0.066,AK54*0.066,AJ52*0.066,AI52*0.066,AH51*0.066,AG51*0.066,AH49*0.066,AI49*0.066,AJ47*0.066,AK47*0.066,AL45*0.066,AM45*0.066,AN44*0.066,AO44*0.066,AP42*0.132,17)</f>
        <v>17.10153846153846</v>
      </c>
      <c r="AC79" s="63"/>
      <c r="AD79" s="64">
        <f>SUM(AM70*0.066,AL70*0.066,AK68*0.066,AJ68*0.066,AI66*0.066,AH66*0.066,AG64*0.066,AF64*0.066,AE63*0.066,AD63*0.066,AC61*0.066,AB61*0.066,AA59*0.066,Z59*0.066,Y57*0.066,X57*0.066,W56*0.066,V56*0.066,U54*0.066,T54*0.066,S52*0.066,R52*0.066,Q51*0.132,R49*0.0264,S49*0.0264,T49*0.0264,U49*0.0264,V49*0.0264,W47*0.0264,X47*0.0264,Y47*0.0264,Z47*0.0264,AA47*0.0264,AB45*0.0264,AC45*0.0264,AD45*0.0264,AE45*0.0264,AF45*0.0264,AG44*0.0264,AH44*0.0264,AI44*0.0264,AJ44*0.0264,AK44*0.0264,AL42*0.0189,AM42*0.0189,AN42*0.0189,AO42*0.0189,AP42*0.0189,17)</f>
        <v>18.815596153846155</v>
      </c>
      <c r="AE79" s="64">
        <f>SUM(AW70*0.044,AV70*0.044,AU70*0.044,AT68*0.044,AS68*0.044,AR68*0.044,AQ66*0.044,AP66*0.044,AO66*0.044,AN64*0.066,AM64*0.066,AL63*0.066,AK63*0.066,AJ61*0.066,AI61*0.066,AH59*0.066,AG59*0.066,AF57*0.066,AE57*0.066,AD56*0.066,AC56*0.066,AB54*0.066,AA54*0.066,Z52*0.066,Y52*0.066,X51*0.066,W51*0.066,X49*0.033,Y49*0.033,Z49*0.033,AA49*0.033,AB47*0.033,AC47*0.033,AD47*0.033,AE47*0.033,AF45*0.033,AG45*0.033,AH45*0.033,AI45*0.033,AJ44*0.033,AK44*0.033,AL44*0.033,AM44*0.033,AN42*0.044,AO42*0.044,AP42*0.044,17)</f>
        <v>18.58653846153846</v>
      </c>
      <c r="AF79" s="64">
        <f>SUM(BE70*0.044,BD70*0.044,BC70*0.044,BB68*0.044,BA68*0.044,AZ68*0.044,AY66*0.044,AX66*0.044,AW66*0.044,AV64*0.044,AU64*0.044,AT64*0.044,AS63*0.044,AR63*0.044,AQ63*0.044,AP61*0.044,AO61*0.044,AN61*0.044,AM59*0.044,AL59*0.044,AK59*0.044,AJ57*0.066,AI57*0.066,AH56*0.066,AG56*0.066,AF54*0.066,AE54*0.066,AD52*0.066,AC52*0.066,AB51*0.066,AA51*0.066,AB49*0.033,AC49*0.033,AD49*0.033,AE49*0.033,AF47*0.044,AG47*0.044,AH47*0.044,AI45*0.044,AJ45*0.044,AK45*0.044,AL44*0.044,AM44*0.044,AN44*0.044,AO42*0.066,AP42*0.066,17)</f>
        <v>17.948538461538462</v>
      </c>
      <c r="AG79" s="63"/>
      <c r="AH79" s="103">
        <f>SUM(AK70*0.044,AJ70*0.044,AI70*0.044,AH68*0.066,AG68*0.066,AF66*0.066,AE66*0.066,AD64*0.066,AC64*0.066,AB63*0.066,AA63*0.066,Z61*0.066,Y61*0.066,X59*0.066,W59*0.066,V57*0.066,U57*0.066,T56*0.066,S56*0.066,R54*0.066,Q54*0.066,P52*0.066,O52*0.066,N51*0.066,M51*0.066,N49*0.022,O49*0.022,P49*0.022,Q49*0.022,R49*0.022,S49*0.022,T47*0.022,U47*0.022,V47*0.022,W47*0.022,X47*0.022,Y47*0.022,Z45*0.022,AA45*0.022,AB45*0.022,AC45*0.022,AD45*0.022,AE45*0.022,AF44*0.022,AG44*0.022,AH44*0.022,AI44*0.022,AJ44*0.022,AK44*0.022,AL42*0.0264,AM42*0.0264,AN42*0.0264,AO42*0.0264,AP42*0.0264,17)</f>
        <v>18.698738461538461</v>
      </c>
      <c r="AI79" s="103">
        <f>SUM(AY70*0.044,AX70*0.044,AW70*0.044,AV68*0.044,AU68*0.044,AT68*0.044,AS66*0.044,AR66*0.044,AQ66*0.044,AP64*0.044,AO64*0.044,AN64*0.044,AM63*0.044,AL63*0.044,AK63*0.044,AJ61*0.044,AI61*0.044,AH61*0.044,AG59*0.044,AF59*0.044,AE59*0.044,AD57*0.044,AC57*0.044,AB57*0.044,AA56*0.044,Z56*0.044,Y56*0.044,X54*0.066,W54*0.066,V52*0.066,U52*0.066,T51*0.066,S51*0.066,T49*0.0264,U49*0.0264,V49*0.0264,W49*0.0264,X49*0.0264,Y47*0.0264,Z47*0.0264,AA47*0.0264,AB47*0.0264,AC47*0.0264,AD45*0.0264,AE45*0.0264,AF45*0.0264,AG45*0.0264,AH45*0.0264,AI44*0.0264,AJ44*0.0264,AK44*0.0264,AL44*0.0264,AM44*0.0264,AN42*0.044,AO42*0.044,AP42*0.044,17)</f>
        <v>18.22353846153846</v>
      </c>
      <c r="AJ79" s="103">
        <f>SUM(BK70*0.033,BJ70*0.033,BI70*0.033,BH70*0.033,BG68*0.033,BF68*0.033,BE68*0.033,BD68*0.033,BC66*0.033,BB66*0.033,BA66*0.033,AZ66*0.033,AY64*0.033,AX64*0.033,AW64*0.033,AV64*0.033,AU63*0.044,AT63*0.044,AS63*0.044,AR61*0.044,AQ61*0.044,AP61*0.044,AO59*0.044,AN59*0.044,AM59*0.044,AL57*0.044,AK57*0.044,AJ57*0.044,AI56*0.044,AH56*0.044,AG56*0.044,AF54*0.044,AE54*0.044,AD54*0.044,AC52*0.044,AB52*0.044,AA52*0.044,Z51*0.066,Y51*0.066,Z49*0.033,AA49*0.033,AB49*0.033,AC49*0.033,AD47*0.033,AE47*0.033,AF47*0.033,AG47*0.033,AH45*0.033,AI45*0.033,AJ45*0.033,AK45*0.033,AL44*0.044,AM44*0.044,AN44*0.044,AO42*0.066,AP42*0.066,17)</f>
        <v>17.25553846153846</v>
      </c>
      <c r="AK79" s="63"/>
      <c r="AL79" s="64">
        <f>SUM(AY70*0.033,AX70*0.033,AW70*0.033,AV70*0.033,AU68*0.033,AT68*0.033,AS68*0.033,AR68*0.033,AQ66*0.033,AP66*0.033,AO66*0.033,AN66*0.033,AM64*0.033,AL64*0.033,AK64*0.033,AJ64*0.033,AI63*0.033,AH63*0.033,AG63*0.033,AF63*0.033,AE61*0.033,AD61*0.033,AC61*0.033,AB61*0.033,AA59*0.044,Z59*0.044,Y59*0.044,X57*0.044,W57*0.044,V57*0.044,U56*0.044,T56*0.044,S56*0.044,R54*0.066,Q54*0.066,P52*0.066,O52*0.066,N51*0.066,M51*0.066,N49*0.022,O49*0.022,P49*0.022,Q49*0.022,R49*0.022,S49*0.022,T47*0.022,U47*0.022,V47*0.022,W47*0.022,X47*0.022,Y47*0.022,Z45*0.022,AA45*0.022,AB45*0.022,AC45*0.022,AD45*0.022,AE45*0.022,AF44*0.022,AG44*0.022,AH44*0.022,AI44*0.022,AJ44*0.022,AK44*0.022,AL42*0.0264,AM42*0.0264,AN42*0.0264,AO42*0.0264,AP42*0.0264,17)</f>
        <v>18.346738461538461</v>
      </c>
      <c r="AM79" s="64">
        <f>SUM(BG70*0.033,BF70*0.033,BE70*0.033,BD70*0.033,BC68*0.033,BB68*0.033,BA68*0.033,AZ68*0.033,AY66*0.033,AX66*0.033,AW66*0.033,AV66*0.033,AU64*0.033,AT64*0.033,AS64*0.033,AR64*0.033,AQ63*0.033,AP63*0.033,AO63*0.033,AN63*0.033,AM61*0.033,AL61*0.033,AK61*0.033,AJ61*0.033,AI59*0.033,AH59*0.033,AG59*0.033,AF59*0.033,AE57*0.044,AD57*0.044,AC57*0.044,AB56*0.044,AA56*0.044,Z56*0.044,Y54*0.044,X54*0.044,W54*0.044,V52*0.044,U52*0.044,T52*0.044,S51*0.044,R51*0.044,Q51*0.044,R49*0.022,S49*0.022,T49*0.022,U49*0.022,V49*0.022,W49*0.022,X47*0.0264,Y47*0.0264,Z47*0.0264,AA47*0.0264,AB47*0.0264,AC45*0.0264,AD45*0.0264,AE45*0.0264,AF45*0.0264,AG45*0.0264,AH44*0.0264,AI44*0.0264,AJ44*0.0264,AK44*0.0264,AL44*0.0264,AM42*0.033,AN42*0.033,AO42*0.033,AP42*0.033,17)</f>
        <v>17.666938461538461</v>
      </c>
      <c r="AN79" s="64">
        <f>SUM(BS70*0.033,BR70*0.033,BQ70*0.033,BP70*0.033,BO68*0.033,BN68*0.033,BM68*0.033,BL68*0.033,BK66*0.033,BJ66*0.033,BI66*0.033,BH66*0.033,BG64*0.033,BF64*0.033,BE64*0.033,BD64*0.033,BC63*0.033,BB63*0.033,BA63*0.033,AZ63*0.033,AY61*0.033,AX61*0.033,AW61*0.033,AV61*0.033,AU59*0.033,AT59*0.033,AS59*0.033,AR59*0.033,AQ57*0.033,AP57*0.033,AO57*0.033,AN57*0.033,AM56*0.033,AL56*0.033,AK56*0.033,AJ56*0.033,AI54*0.033,AH54*0.033,AG54*0.033,AF54*0.033,AE52*0.033,AD52*0.033,AC52*0.033,AB52*0.033,AA51*0.033,Z51*0.033,Y51*0.033,X51*0.033,Y49*0.033,Z49*0.033,AA49*0.033,AB49*0.033,AC47*0.033,AD47*0.033,AE47*0.033,AF47*0.033,AG45*0.033,AH45*0.033,AI45*0.033,AJ45*0.033,AK44*0.033,AL44*0.033,AM44*0.033,AN44*0.033,AO42*0.066,AP42*0.066,17)</f>
        <v>17.156538461538464</v>
      </c>
      <c r="AO79" s="110"/>
      <c r="AP79" s="110"/>
      <c r="AQ79" s="63"/>
      <c r="AR79" s="137" t="s">
        <v>68</v>
      </c>
      <c r="AS79" s="137"/>
      <c r="AT79" s="137"/>
      <c r="AU79" s="137"/>
      <c r="AV79" s="137"/>
      <c r="AW79" s="137"/>
      <c r="AX79" s="137"/>
      <c r="AY79" s="137"/>
      <c r="AZ79" s="137"/>
      <c r="BA79" s="137"/>
      <c r="BB79" s="137"/>
      <c r="BC79" s="96"/>
      <c r="BD79" s="96"/>
      <c r="BE79" s="96"/>
      <c r="BF79" s="64">
        <f>SUM(-AA70*0.033,-AB70*0.033,-AC70*0.033,-AD70*0.033,-AE68*0.033,-AF68*0.033,-AG68*0.033,-AH68*0.033,-AI66*0.033,-AJ66*0.033,-AK66*0.033,-AL66*0.033,-AM64*0.033,-AN64*0.033,-AO64*0.033,-AP64*0.033,-AQ63*0.033,-AR63*0.033,-AS63*0.033,-AT63*0.033,-AU61*0.033,-AV61*0.033,-AW61*0.033,-AX61*0.033,-AY59*0.033,-AZ59*0.033,-BA59*0.033,-BB59*0.033,-BC57*0.033,-BD57*0.033,-BE57*0.033,-BF57*0.033,-BG56*0.033,-BH56*0.033,-BI56*0.033,-BJ56*0.033,-BK54*0.033,-BL54*0.033,-BM54*0.033,-BN54*0.033,-BO52*0.033,-BP52*0.033,-BQ52*0.033,-BR52*0.033,-BS51*0.033,-BT51*0.033,-BU51*0.033,-BV51*0.033,-BU49*0.033,-BT49*0.033,-BS49*0.033,-BR49*0.033,-BQ47*0.033,-BP47*0.033,-BO47*0.033,-BN47*0.033,-BM45*0.033,-BL45*0.033,-BK45*0.033,-BJ45*0.033,-BI44*0.033,-BH44*0.033,-BG44*0.033,-BF44*0.033,-BE42*0.066,-BD42*0.066,17)</f>
        <v>15.292461538461538</v>
      </c>
      <c r="BG79" s="64">
        <f>SUM(-AM70*0.033,-AN70*0.033,-AO70*0.033,-AP70*0.033,-AQ68*0.033,-AR68*0.033,-AS68*0.033,-AT68*0.033,-AU66*0.033,-AV66*0.033,-AW66*0.033,-AX66*0.033,-AY64*0.033,-AZ64*0.033,-BA64*0.033,-BB64*0.033,-BC63*0.033,-BD63*0.033,-BE63*0.033,-BF63*0.033,-BG61*0.033,-BH61*0.033,-BI61*0.033,-BJ61*0.033,-BK59*0.033,-BL59*0.033,-BM59*0.033,-BN59*0.033,-BO57*0.044,-BP57*0.044,-BQ57*0.044,-BR56*0.044,-BS56*0.044,-BT56*0.044,-BU54*0.044,-BV54*0.044,-BW54*0.044,-BX52*0.044,-BY52*0.044,-BZ52*0.044,-CA51*0.044,-CB51*0.044,-CC51*0.044,-CB49*0.022,-CA49*0.022,-BZ49*0.022,-BY49*0.022,-BX49*0.022,-BW49*0.022,-BV47*0.0264,-BU47*0.0264,-BT47*0.0264,-BS47*0.0264,-BR47*0.0264,-BQ45*0.0264,-BP45*0.0264,-BO45*0.0264,-BN45*0.0264,-BM45*0.0264,-BL44*0.0264,-BK44*0.0264,-BJ44*0.0264,-BI44*0.022,-BH44*0.0264,-BG42*0.033,-BF42*0.033,-BE42*0.033,-BD42*0.033,17)</f>
        <v>16.419764102564102</v>
      </c>
      <c r="BH79" s="64">
        <f>SUM(-AU70*0.033,-AV70*0.033,-AW70*0.033,-AX70*0.033,-AY68*0.033,-AZ68*0.033,-BA68*0.033,-BB68*0.033,-BC66*0.033,-BD66*0.033,-BE66*0.033,-BF66*0.033,-BG64*0.033,-BH64*0.033,-BI64*0.033,-BJ64*0.033,-BK63*0.033,-BL63*0.033,-BM63*0.033,-BN63*0.033,-BO61*0.033,-BP61*0.033,-BQ61*0.033,-BR61*0.033,-BS59*0.044,-BT59*0.044,-BU59*0.044,-BV57*0.044,-BW57*0.044,-BX57*0.044,-BY56*0.044,-BZ56*0.044,-CA56*0.044,-CB54*0.066,-CC54*0.066,-CD52*0.066,-CE52*0.066,-CF51*0.066,-CG51*0.066,-CF49*0.022,-CE49*0.022,-CD49*0.022,-CC49*0.022,-CB49*0.022,-CA49*0.022,-BZ47*0.022,-BY47*0.022,-BX47*0.022,-BW47*0.022,-BV47*0.022,-BU47*0.022,-BT45*0.022,-BS45*0.022,-BR45*0.022,-BQ45*0.022,-BP45*0.022,-BO45*0.022,-BN44*0.022,-BM44*0.022,-BL44*0.022,-BK44*0.022,-BJ44*0.022,-BI44*0.022,-BH42*0.0264,-BG42*0.0264,-BF42*0.0264,-BE42*0.0264,-BD42*0.0264,17)</f>
        <v>17.496861538461538</v>
      </c>
      <c r="BI79" s="63"/>
      <c r="BJ79" s="64">
        <f>SUM(-AI70*0.033,-AJ70*0.033,-AK70*0.033,-AL70*0.033,-AM68*0.033,-AN68*0.033,-AO68*0.033,-AP68*0.033,-AQ66*0.033,-AR66*0.033,-AS66*0.033,-AT66*0.033,-AU64*0.033,-AV64*0.033,-AW64*0.033,-AX64*0.033,-AY63*0.044,-AZ63*0.044,-BA63*0.044,-BB61*0.044,-BC61*0.044,-BD61*0.044,-BE59*0.044,-BF59*0.044,-BG59*0.044,-BH57*0.044,-BI57*0.044,-BJ57*0.044,-BK56*0.044,-BL56*0.044,-BM56*0.044,-BN54*0.044,-BO54*0.044,-BP54*0.044,-BQ52*0.044,-BR52*0.044,-BS52*0.044,-BT51*0.066,-BU51*0.066,-BT49*0.033,-BS49*0.033,-BR49*0.033,-BQ49*0.033,-BP47*0.033,-BO47*0.033,-BN47*0.033,-BM47*0.033,-BL45*0.033,-BK45*0.033,-BJ45*0.033,-BI45*0.033,-BH44*0.044,-BG44*0.044,-BF44*0.044,-BE42*0.066,-BD42*0.066,17)</f>
        <v>15.765461538461539</v>
      </c>
      <c r="BK79" s="64">
        <f>SUM(-AU70*0.044,-AV70*0.044,-AW70*0.044,-AX68*0.044,-AY68*0.044,-AZ68*0.044,-BA66*0.044,-BB66*0.044,-BC66*0.044,-BD64*0.044,-BE64*0.044,-BF64*0.044,-BG63*0.044,-BH63*0.044,-BI63*0.044,-BJ61*0.044,-BK61*0.044,-BL61*0.044,-BM59*0.044,-BN59*0.044,-BO59*0.044,-BP57*0.044,-BQ57*0.044,-BR57*0.044,-BS56*0.044,-BT56*0.044,-BU56*0.044,-BV54*0.066,-BW54*0.066,-BX52*0.066,-BY52*0.066,-BZ51*0.066,-CA51*0.066,-BZ49*0.0264,-BY49*0.0264,-BX49*0.0264,-BW49*0.0264,-BV49*0.0264,-BU47*0.0264,-BT47*0.0264,-BS47*0.0264,-BR47*0.0264,-BQ47*0.0264,-BP45*0.0264,-BO45*0.0264,-BN45*0.0264,-BM45*0.0264,-BL45*0.0264,-BK44*0.0264,-BJ44*0.0264,-BI44*0.0264,-BH44*0.0264,-BG44*0.0264,-BF42*0.044,-BE42*0.044,-BD42*0.044,17)</f>
        <v>16.999661538461538</v>
      </c>
      <c r="BL79" s="64">
        <f>SUM(-BI70*0.044,-BJ70*0.044,-BK70*0.044,-BL68*0.066,-BM68*0.066,-BN66*0.066,-BO66*0.066,-BP64*0.066,-BQ64*0.066,-BR63*0.066,-BS63*0.066,-BT61*0.066,-BU61*0.066,-BV59*0.066,-BW59*0.066,-BX57*0.066,-BY57*0.066,-BZ56*0.066,-CA56*0.066,-CB54*0.066,-CC54*0.066,-CD52*0.066,-CE52*0.066,-CF51*0.066,-CG51*0.066,-CF49*0.022,-CE49*0.022,-CD49*0.022,-CC49*0.022,-CB49*0.022,-CA49*0.022,-BZ47*0.022,-BY47*0.022,-BX47*0.022,-BW47*0.022,-BV47*0.022,-BU47*0.022,-BT45*0.022,-BS45*0.022,-BR45*0.022,-BQ45*0.022,-BP45*0.022,-BO45*0.022,-BN44*0.022,-BM44*0.022,-BL44*0.022,-BK44*0.022,-BJ44*0.022,-BI44*0.022,-BH42*0.0264,-BG42*0.0264,-BF42*0.0264,-BE42*0.0264,-BD42*0.0264,17)</f>
        <v>17.804861538461537</v>
      </c>
      <c r="BM79" s="63"/>
      <c r="BN79" s="64">
        <f>SUM(-AO70*0.044,-AP70*0.044,-AQ70*0.044,-AR68*0.044,-AS68*0.044,-AT68*0.044,-AU66*0.044,-AV66*0.044,-AW66*0.044,-AX64*0.044,-AY64*0.044,-AZ64*0.044,-BA63*0.044,-BB63*0.044,-BC63*0.044,-BD61*0.044,-BE61*0.044,-BF61*0.044,-BG59*0.044,-BH59*0.044,-BI59*0.044,-BJ57*0.066,-BK57*0.066,-BL56*0.066,-BM56*0.066,-BN54*0.066,-BO54*0.066,-BP52*0.066,-BQ52*0.066,-BR51*0.066,-BS51*0.066,-BR49*0.033,-BQ49*0.033,-BP49*0.033,-BO49*0.033,-BN47*0.044,-BM47*0.044,-BL47*0.044,-BK45*0.044,-BJ45*0.044,-BI45*0.044,-BH44*0.044,-BG44*0.044,-BF44*0.044,-BE42*0.066,-BD42*0.066,17)</f>
        <v>16.02946153846154</v>
      </c>
      <c r="BO79" s="64">
        <f>SUM(-AW70*0.044,-AX70*0.044,-AY70*0.044,-AZ68*0.044,-BA68*0.044,-BB68*0.044,-BC66*0.044,-BD66*0.044,-BE66*0.044,-BF64*0.066,-BG64*0.066,-BH63*0.066,-BI63*0.066,-BJ61*0.066,-BK61*0.066,-BL59*0.066,-BM59*0.066,-BN57*0.066,-BO57*0.066,-BP56*0.066,-BQ56*0.066,-BR54*0.066,-BS54*0.066,-BT52*0.066,-BU52*0.066,-BV51*0.066,-BW51*0.066,-BV49*0.033,-BU49*0.033,-BT49*0.033,-BS49*0.033,-BR47*0.033,-BQ47*0.033,-BP47*0.033,-BO47*0.033,-BN45*0.033,-BM45*0.033,-BL45*0.033,-BK45*0.033,-BJ44*0.033,-BI44*0.033,-BH44*0.033,-BG44*0.033,-BF42*0.03133,-BE42*0.03133,-BD42*0.03133,17)</f>
        <v>17.174923461538462</v>
      </c>
      <c r="BP79" s="64">
        <f>SUM(-BG70*0.066,-BH70*0.066,-BI68*0.066,-BJ68*0.066,-BK66*0.066,-BL66*0.066,-BM64*0.066,-BN64*0.066,-BO63*0.066,-BP63*0.066,-BQ61*0.066,-BR61*0.066,-BS59*0.066,-BT59*0.066,-BU57*0.066,-BV57*0.066,-BW56*0.066,-BX56*0.066,-BY54*0.066,-BZ54*0.066,-CA52*0.066,-CB52*0.066,-CC51*0.132,-CB49*0.0264,-CA49*0.0264,-BZ49*0.0264,-BY49*0.0264,-BX49*0.0264,-BW47*0.0264,-BV47*0.0264,-BU47*0.0264,-BT47*0.0264,-BS47*0.0264,-BR45*0.0264,-BQ45*0.0264,-BP45*0.0264,-BO45*0.0264,-BN45*0.0264,-BM44*0.0264,-BL44*0.0264,-BK44*0.0264,-BJ44*0.0264,-BI44*0.0264,-BH42*0.0264,-BG42*0.0264,-BF42*0.0264,-BE42*0.0264,-BD42*0.0264,17)</f>
        <v>17.694861538461538</v>
      </c>
      <c r="BQ79" s="63"/>
      <c r="BR79" s="64">
        <f>SUM(-AO70*0.044,-AP70*0.044,-AQ70*0.044,-AR68*0.066,-AS68*0.066,-AT66*0.066,-AU66*0.066,-AV64*0.066,-AW64*0.066,-AX63*0.066,-AY63*0.066,-AZ61*0.066,-BA61*0.066,-BB59*0.066,-BC59*0.066,-BD57*0.066,-BE57*0.066,-BF56*0.066,-BG56*0.066,-BH54*0.066,-BI54*0.066,-BJ52*0.066,-BK52*0.066,-BL51*0.066,-BM51*0.066,-BL49*0.066,-BK49*0.066,-BJ47*0.066,-BI47*0.066,-BH45*0.066,-BG45*0.066,-BF44*0.066,-BE44*0.066,-BD42*0.132,17)</f>
        <v>16.194461538461539</v>
      </c>
      <c r="BS79" s="64">
        <f>SUM(-BA70*0.066,-BB70*0.066,-BC68*0.066,-BD68*0.066,-BE66*0.066,-BF66*0.066,-BG64*0.066,-BH64*0.066,-BI63*0.066,-BJ63*0.066,-BK61*0.066,-BL61*0.066,-BM59*0.066,-BN59*0.066,-BO57*0.132,-BP56*0.132,-BQ54*0.132,-BR52*0.132,-BS51*0.132,-BR49*0.033,-BQ49*0.033,-BP49*0.033,-BO49*0.033,-BN47*0.044,-BM47*0.044,-BL47*0.044,-BK45*0.044,-BJ45*0.044,-BI45*0.044,-BH44*0.044,-BG44*0.044,-BF44*0.044,-BE42*0.066,-BD42*0.066,17)</f>
        <v>17.393461538461537</v>
      </c>
      <c r="BT79" s="64">
        <f>SUM(-BM70*0.066,-BN70*0.066,-BO68*0.132,-BP66*0.132,-BQ64*0.132,-BR63*0.132,-BS61*0.132,-BT59*0.132,-BU57*0.132,-BV56*0.132,-BW54*0.132,-BX52*0.132,-BY51*0.132,-BX49*0.022,-BW49*0.022,-BV49*0.022,-BU49*0.022,-BT49*0.022,-BS47*0.022,-BR47*0.022,-BQ47*0.022,-BP47*0.022,-BO47*0.022,-BN45*0.033,-BM45*0.033,-BL45*0.033,-BK45*0.033,-BJ44*0.033,-BI44*0.033,-BH44*0.033,-BG44*0.033,-BF42*0.044,-BE42*0.044,-BD42*0.044,17)</f>
        <v>17.691589743589745</v>
      </c>
      <c r="BU79" s="63"/>
      <c r="BV79" s="64">
        <f>SUM(-BD70*0.132,-BE68*0.132,-BF66*0.132,-BG64*0.132,-BH63*0.132,-BI61*0.132,-BJ59*0.132,-BK57*0.132,-BL56*0.132,-BM54*0.132,-BN52*0.132,-BO51*0.066,-BN51*0.066,-BM49*0.066,-BL49*0.066,-BK47*0.066,-BJ47*0.066,-BI45*0.066,-BH45*0.066,-BG44*0.066,-BF44*0.066,-BE42*0.066,-BD42*0.066,17)</f>
        <v>17.074461538461538</v>
      </c>
      <c r="BW79" s="64">
        <f>SUM(-BM70*0.132,-BN68*0.132,-BO66*0.132,-BP64*0.132,-BQ63*0.132,-BR61*0.132,-BS59*0.132,-BS57*0.132,-BT56*0.132,-BT54*0.132,-BU52*0.132,-BU51*0.132,-BT49*0.033,-BS49*0.033,-BR49*0.033,-BQ49*0.033,-BP47*0.033,-BO47*0.033,-BN47*0.033,-BM47*0.033,-BL45*0.033,-BK45*0.033,-BJ45*0.033,-BI45*0.033,-BH44*0.044,-BG44*0.044,-BF44*0.044,-BE42*0.066,-BD42*0.066,17)</f>
        <v>18.207461538461541</v>
      </c>
      <c r="BX79" s="64">
        <f>SUM(-CC70*0.132,-CC68*0.132,-CC66*0.132,-CC64*0.132,-CC63*0.132,-CC61*0.132,-CC59*0.132,-CC57*0.132,-CC56*0.132,-CC54*0.132,-CC52*0.132,-CB51*0.044,-CA51*0.044,-BZ51*0.044,-BY49*0.044,-BX49*0.044,-BW49*0.044,-BV47*0.0264,-BU47*0.0264,-BT47*0.0264,-BS47*0.0264,-BR47*0.0264,-BQ45*0.0264,-BP45*0.0264-BO45*0.0264,-BN45*0.0264,-BM45*0.0264,-BL44*0.022,-BK44*0.022,-BJ44*0.022,-BI44*0.022,-BH44*0.022,-BG44*0.022,-BF42*0.044,-BE42*0.044,-BD42*0.044,17)</f>
        <v>18.473661538461538</v>
      </c>
      <c r="BY79" s="66"/>
      <c r="BZ79" s="60"/>
      <c r="CA79" s="60"/>
      <c r="CB79" s="60"/>
      <c r="CC79" s="60"/>
      <c r="CD79" s="60"/>
      <c r="CE79" s="60"/>
      <c r="CF79" s="60"/>
      <c r="CN79" s="27"/>
      <c r="DA79" s="1">
        <f>PRODUCT((3*DD75)+DD76+DD77,1/5)</f>
        <v>5.4</v>
      </c>
    </row>
    <row r="80" spans="4:108" s="1" customFormat="1" ht="12.75">
      <c r="D80" s="58"/>
      <c r="E80" s="50"/>
      <c r="F80" s="50"/>
      <c r="G80" s="50"/>
      <c r="H80" s="59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  <c r="AL80" s="61"/>
      <c r="AM80" s="61"/>
      <c r="AN80" s="61"/>
      <c r="AO80" s="61"/>
      <c r="AP80" s="61"/>
      <c r="AQ80" s="61"/>
      <c r="AR80" s="61"/>
      <c r="AS80" s="61"/>
      <c r="AT80" s="61"/>
      <c r="AU80" s="61"/>
      <c r="AV80" s="61"/>
      <c r="AW80" s="61"/>
      <c r="AX80" s="61"/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1"/>
      <c r="BJ80" s="61"/>
      <c r="BK80" s="61"/>
      <c r="BL80" s="61"/>
      <c r="BM80" s="61"/>
      <c r="BN80" s="61"/>
      <c r="BO80" s="61"/>
      <c r="BP80" s="61"/>
      <c r="BQ80" s="61"/>
      <c r="BR80" s="61"/>
      <c r="BS80" s="61"/>
      <c r="BT80" s="61"/>
      <c r="BU80" s="61"/>
      <c r="BV80" s="61"/>
      <c r="BW80" s="61"/>
      <c r="BX80" s="61"/>
      <c r="BY80" s="61"/>
      <c r="BZ80" s="61"/>
      <c r="CA80" s="61"/>
      <c r="CB80" s="61"/>
      <c r="CC80" s="61"/>
      <c r="CD80" s="61"/>
      <c r="CE80" s="61"/>
      <c r="CF80" s="61"/>
      <c r="CG80" s="61"/>
      <c r="CH80" s="61"/>
      <c r="CI80" s="61"/>
      <c r="CQ80" s="27"/>
    </row>
    <row r="81" spans="4:95" s="1" customFormat="1" ht="12.75">
      <c r="D81" s="58"/>
      <c r="E81" s="50"/>
      <c r="F81" s="50"/>
      <c r="G81" s="50"/>
      <c r="H81" s="59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60"/>
      <c r="BK81" s="60"/>
      <c r="BL81" s="60"/>
      <c r="BM81" s="60"/>
      <c r="BN81" s="60"/>
      <c r="BO81" s="60"/>
      <c r="BP81" s="60"/>
      <c r="BQ81" s="60"/>
      <c r="BR81" s="60"/>
      <c r="BS81" s="60"/>
      <c r="BT81" s="60"/>
      <c r="BU81" s="60"/>
      <c r="BV81" s="60"/>
      <c r="BW81" s="60"/>
      <c r="BX81" s="60"/>
      <c r="BY81" s="60"/>
      <c r="BZ81" s="60"/>
      <c r="CA81" s="60"/>
      <c r="CB81" s="60"/>
      <c r="CC81" s="60"/>
      <c r="CD81" s="60"/>
      <c r="CE81" s="60"/>
      <c r="CF81" s="60"/>
      <c r="CG81" s="60"/>
      <c r="CH81" s="60"/>
      <c r="CI81" s="60"/>
      <c r="CQ81" s="27"/>
    </row>
    <row r="82" spans="4:95" s="1" customFormat="1" ht="12.75">
      <c r="D82" s="55"/>
      <c r="H82" s="56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57"/>
      <c r="BK82" s="57"/>
      <c r="BL82" s="57"/>
      <c r="BM82" s="57"/>
      <c r="BN82" s="57"/>
      <c r="BO82" s="57"/>
      <c r="BP82" s="57"/>
      <c r="BQ82" s="57"/>
      <c r="BR82" s="57"/>
      <c r="BS82" s="57"/>
      <c r="BT82" s="57"/>
      <c r="BU82" s="57"/>
      <c r="BV82" s="57"/>
      <c r="BW82" s="57"/>
      <c r="BX82" s="57"/>
      <c r="BY82" s="57"/>
      <c r="BZ82" s="57"/>
      <c r="CA82" s="57"/>
      <c r="CB82" s="57"/>
      <c r="CC82" s="57"/>
      <c r="CD82" s="57"/>
      <c r="CE82" s="57"/>
      <c r="CF82" s="57"/>
      <c r="CG82" s="57"/>
      <c r="CH82" s="57"/>
      <c r="CI82" s="57"/>
      <c r="CQ82" s="27"/>
    </row>
    <row r="83" spans="4:95" s="1" customFormat="1" ht="12.75">
      <c r="F83" s="27"/>
    </row>
    <row r="84" spans="4:95" s="1" customFormat="1" ht="12.75">
      <c r="F84" s="27"/>
    </row>
    <row r="85" spans="4:95" s="1" customFormat="1" ht="12.75">
      <c r="F85" s="27"/>
    </row>
    <row r="86" spans="4:95" s="1" customFormat="1" ht="12.75">
      <c r="F86" s="27"/>
    </row>
    <row r="87" spans="4:95" s="1" customFormat="1" ht="12.75">
      <c r="F87" s="27"/>
    </row>
    <row r="88" spans="4:95" s="1" customFormat="1" ht="12.75">
      <c r="F88" s="27"/>
    </row>
    <row r="89" spans="4:95" s="1" customFormat="1" ht="12.75">
      <c r="F89" s="27"/>
    </row>
    <row r="90" spans="4:95" s="1" customFormat="1" ht="12.75">
      <c r="F90" s="27"/>
    </row>
    <row r="91" spans="4:95" s="1" customFormat="1" ht="12.75">
      <c r="F91" s="27"/>
    </row>
    <row r="92" spans="4:95" s="1" customFormat="1" ht="12.75">
      <c r="F92" s="27"/>
    </row>
    <row r="93" spans="4:95" s="1" customFormat="1" ht="12.75">
      <c r="F93" s="27"/>
    </row>
    <row r="94" spans="4:95" s="1" customFormat="1" ht="12.75">
      <c r="F94" s="27"/>
    </row>
    <row r="95" spans="4:95" s="1" customFormat="1" ht="12.75">
      <c r="F95" s="27"/>
    </row>
    <row r="96" spans="4:95" s="1" customFormat="1" ht="12.75">
      <c r="F96" s="27"/>
    </row>
    <row r="97" spans="6:95" s="1" customFormat="1" ht="12.75">
      <c r="F97" s="27"/>
    </row>
    <row r="98" spans="6:95" s="1" customFormat="1" ht="12.75">
      <c r="F98" s="27"/>
    </row>
    <row r="99" spans="6:95" s="1" customFormat="1" ht="12.75">
      <c r="F99" s="27"/>
    </row>
    <row r="100" spans="6:95" s="1" customFormat="1" ht="12.75">
      <c r="F100" s="27"/>
    </row>
    <row r="101" spans="6:95" s="1" customFormat="1" ht="12.75">
      <c r="F101" s="27"/>
    </row>
    <row r="102" spans="6:95" s="1" customFormat="1" ht="12.75">
      <c r="F102" s="27"/>
    </row>
    <row r="103" spans="6:95" s="1" customFormat="1" ht="12.75">
      <c r="F103" s="27"/>
    </row>
    <row r="104" spans="6:95" s="1" customFormat="1" ht="12.75">
      <c r="F104" s="27"/>
    </row>
    <row r="105" spans="6:95" s="1" customFormat="1" ht="12.75">
      <c r="F105" s="27"/>
    </row>
    <row r="106" spans="6:95" s="1" customFormat="1" ht="0.95" customHeight="1">
      <c r="F106" s="27"/>
    </row>
    <row r="107" spans="6:95" ht="0.95" customHeight="1">
      <c r="F107" s="27"/>
      <c r="H107"/>
      <c r="CQ107"/>
    </row>
    <row r="108" spans="6:95" ht="0.95" customHeight="1">
      <c r="F108" s="27"/>
      <c r="H108"/>
      <c r="CQ108"/>
    </row>
    <row r="109" spans="6:95" ht="0.95" customHeight="1">
      <c r="F109" s="27"/>
      <c r="H109"/>
      <c r="CQ109"/>
    </row>
    <row r="110" spans="6:95" ht="0.95" customHeight="1">
      <c r="F110" s="27"/>
      <c r="H110"/>
      <c r="CQ110"/>
    </row>
    <row r="111" spans="6:95" ht="0.95" customHeight="1">
      <c r="F111" s="27"/>
      <c r="H111"/>
      <c r="CQ111"/>
    </row>
    <row r="112" spans="6:95" ht="0.95" customHeight="1">
      <c r="F112" s="27"/>
      <c r="H112"/>
      <c r="CQ112"/>
    </row>
    <row r="113" spans="6:95" ht="0.95" customHeight="1">
      <c r="F113" s="27"/>
      <c r="H113"/>
      <c r="CQ113"/>
    </row>
    <row r="114" spans="6:95" ht="0.95" customHeight="1">
      <c r="F114" s="27"/>
      <c r="H114"/>
      <c r="CQ114"/>
    </row>
    <row r="115" spans="6:95" ht="0.95" customHeight="1">
      <c r="F115" s="27"/>
      <c r="H115"/>
      <c r="CQ115"/>
    </row>
    <row r="116" spans="6:95" ht="0.95" customHeight="1">
      <c r="F116" s="27"/>
      <c r="H116"/>
      <c r="CQ116"/>
    </row>
    <row r="117" spans="6:95" ht="0.95" customHeight="1">
      <c r="F117" s="27"/>
      <c r="H117"/>
      <c r="CQ117"/>
    </row>
  </sheetData>
  <mergeCells count="5">
    <mergeCell ref="AR75:BB75"/>
    <mergeCell ref="AR76:BB76"/>
    <mergeCell ref="AR77:BB77"/>
    <mergeCell ref="AR78:BB78"/>
    <mergeCell ref="AR79:BB79"/>
  </mergeCells>
  <conditionalFormatting sqref="J80:CI82 AY38:BL40 AW39:AX40 BO38:BT40 BM39:BN40 BW38:BX40 BU39:BV40 CI39:CI40 CA38:CH40 BY39:BZ40 J38:AV40 J34:CJ37 J118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41:AV41 AX41:CJ41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31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31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41:CJ41 K41:AV41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41:CJ41 J41:AV41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42:CJ71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8" orientation="portrait" r:id="rId1"/>
  <ignoredErrors>
    <ignoredError sqref="BW77:BX77 V77:W77 BT77 Z77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R115"/>
  <sheetViews>
    <sheetView showWhiteSpace="0" view="pageBreakPreview" zoomScale="70" zoomScaleNormal="90" zoomScaleSheetLayoutView="70" workbookViewId="0">
      <pane ySplit="1" topLeftCell="A5" activePane="bottomLeft" state="frozen"/>
      <selection activeCell="D1" sqref="D1"/>
      <selection pane="bottomLeft" activeCell="L32" sqref="L32"/>
    </sheetView>
  </sheetViews>
  <sheetFormatPr defaultColWidth="8" defaultRowHeight="0.95" customHeight="1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4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</v>
      </c>
      <c r="E2">
        <v>18</v>
      </c>
      <c r="F2" t="s">
        <v>61</v>
      </c>
      <c r="G2" t="s">
        <v>62</v>
      </c>
      <c r="H2" s="85">
        <f>PRODUCT('77'!H2,1)</f>
        <v>-3</v>
      </c>
      <c r="I2" s="85">
        <f>PRODUCT('77'!I2,1)</f>
        <v>70</v>
      </c>
      <c r="J2" s="86">
        <f>PRODUCT('77'!K2,1)</f>
        <v>0</v>
      </c>
      <c r="K2" s="86">
        <f>PRODUCT('77'!M2,1)</f>
        <v>3</v>
      </c>
      <c r="L2" s="86">
        <f>PRODUCT('77'!O2,1)</f>
        <v>2</v>
      </c>
      <c r="M2" s="86">
        <f>PRODUCT('77'!Q2,1)</f>
        <v>2</v>
      </c>
      <c r="N2" s="86">
        <f>PRODUCT('77'!S2,1)</f>
        <v>3</v>
      </c>
      <c r="O2" s="86">
        <f>PRODUCT('77'!U2,1)</f>
        <v>4</v>
      </c>
      <c r="P2" s="86">
        <f>PRODUCT('77'!W2,1)</f>
        <v>4</v>
      </c>
      <c r="Q2" s="87">
        <f>PRODUCT('77'!Y2,1)</f>
        <v>5</v>
      </c>
      <c r="R2" s="87">
        <f>PRODUCT('77'!AA2,1)</f>
        <v>6</v>
      </c>
      <c r="S2" s="86">
        <f>PRODUCT('77'!AC2,1)</f>
        <v>4</v>
      </c>
      <c r="T2" s="86">
        <f>PRODUCT('77'!AE2,1)</f>
        <v>4</v>
      </c>
      <c r="U2" s="86">
        <f>PRODUCT('77'!AG2,1)</f>
        <v>3</v>
      </c>
      <c r="V2" s="86">
        <f>PRODUCT('77'!AI2,1)</f>
        <v>1</v>
      </c>
      <c r="W2" s="86">
        <f>PRODUCT('77'!AK2,1)</f>
        <v>0</v>
      </c>
      <c r="X2" s="86">
        <f>PRODUCT('77'!AM2,1)</f>
        <v>-2</v>
      </c>
      <c r="Y2" s="86">
        <f>PRODUCT('77'!AO2,1)</f>
        <v>-3</v>
      </c>
      <c r="Z2" s="86">
        <f>PRODUCT('77'!AQ2,1)</f>
        <v>-4</v>
      </c>
      <c r="AA2" s="86">
        <f>PRODUCT('77'!AS2,1)</f>
        <v>-4</v>
      </c>
      <c r="AB2" s="87">
        <f>PRODUCT('77'!AU2,1)</f>
        <v>-6</v>
      </c>
      <c r="AC2" s="87">
        <f>PRODUCT('77'!AW2,1)</f>
        <v>-6</v>
      </c>
      <c r="AD2" s="87">
        <f>PRODUCT('77'!AY2,1)</f>
        <v>-6</v>
      </c>
      <c r="AE2" s="87">
        <f>PRODUCT('77'!BA2,1)</f>
        <v>-8</v>
      </c>
      <c r="AF2" s="87">
        <f>PRODUCT('77'!BC2,1)</f>
        <v>-8</v>
      </c>
      <c r="AG2" s="87">
        <f>PRODUCT('77'!BE2,1)</f>
        <v>-8</v>
      </c>
      <c r="AH2" s="87">
        <f>PRODUCT('77'!BG2,1)</f>
        <v>-8</v>
      </c>
      <c r="AI2" s="87">
        <f>PRODUCT('77'!BI2,1)</f>
        <v>-7</v>
      </c>
      <c r="AJ2" s="87">
        <f>PRODUCT('77'!BK2,1)</f>
        <v>-7</v>
      </c>
      <c r="AK2" s="87">
        <f>PRODUCT('77'!BM2,1)</f>
        <v>-6</v>
      </c>
      <c r="AL2" s="87">
        <f>PRODUCT('77'!BO2,1)</f>
        <v>-6</v>
      </c>
      <c r="AM2" s="87">
        <f>PRODUCT('77'!BQ2,1)</f>
        <v>-5</v>
      </c>
      <c r="AN2" s="86">
        <f>PRODUCT('77'!BS2,1)</f>
        <v>-3</v>
      </c>
      <c r="AO2" s="86">
        <f>PRODUCT('77'!BU2,1)</f>
        <v>-2</v>
      </c>
      <c r="AP2" s="86">
        <f>PRODUCT('77'!BW2,1)</f>
        <v>-2</v>
      </c>
      <c r="AQ2" s="86">
        <f>PRODUCT('77'!BY2,1)</f>
        <v>-1</v>
      </c>
      <c r="AR2" s="86">
        <f>PRODUCT('77'!CA2,1)</f>
        <v>-1</v>
      </c>
      <c r="AS2" s="86">
        <f>PRODUCT('77'!CC2,1)</f>
        <v>-1</v>
      </c>
      <c r="AT2" s="86">
        <f>PRODUCT('77'!CE2,1)</f>
        <v>-1</v>
      </c>
      <c r="AU2" s="86">
        <f>PRODUCT('77'!CG2,1)</f>
        <v>-1</v>
      </c>
      <c r="AV2" s="86">
        <f>PRODUCT('77'!CI2,1)</f>
        <v>0</v>
      </c>
      <c r="BD2" s="27"/>
      <c r="BE2"/>
    </row>
    <row r="3" spans="1:57" ht="15" customHeight="1">
      <c r="D3" s="28">
        <v>57</v>
      </c>
      <c r="H3" s="85">
        <f>PRODUCT('77'!H3,1)</f>
        <v>22</v>
      </c>
      <c r="I3" s="85">
        <f>PRODUCT('77'!I3,1)</f>
        <v>15</v>
      </c>
      <c r="J3" s="86">
        <f>PRODUCT('77'!K3,1)</f>
        <v>0</v>
      </c>
      <c r="K3" s="86">
        <f>PRODUCT('77'!M3,1)</f>
        <v>1</v>
      </c>
      <c r="L3" s="86">
        <f>PRODUCT('77'!O3,1)</f>
        <v>1</v>
      </c>
      <c r="M3" s="86">
        <f>PRODUCT('77'!Q3,1)</f>
        <v>0</v>
      </c>
      <c r="N3" s="86">
        <f>PRODUCT('77'!S3,1)</f>
        <v>-1</v>
      </c>
      <c r="O3" s="86">
        <f>PRODUCT('77'!U3,1)</f>
        <v>-2</v>
      </c>
      <c r="P3" s="86">
        <f>PRODUCT('77'!W3,1)</f>
        <v>-4</v>
      </c>
      <c r="Q3" s="87">
        <f>PRODUCT('77'!Y3,1)</f>
        <v>-5</v>
      </c>
      <c r="R3" s="87">
        <f>PRODUCT('77'!AA3,1)</f>
        <v>-8</v>
      </c>
      <c r="S3" s="86">
        <f>PRODUCT('77'!AC3,1)</f>
        <v>-13</v>
      </c>
      <c r="T3" s="86">
        <f>PRODUCT('77'!AE3,1)</f>
        <v>-17</v>
      </c>
      <c r="U3" s="86">
        <f>PRODUCT('77'!AG3,1)</f>
        <v>-19</v>
      </c>
      <c r="V3" s="86">
        <f>PRODUCT('77'!AI3,1)</f>
        <v>-20</v>
      </c>
      <c r="W3" s="86">
        <f>PRODUCT('77'!AK3,1)</f>
        <v>-22</v>
      </c>
      <c r="X3" s="86">
        <f>PRODUCT('77'!AM3,1)</f>
        <v>-21</v>
      </c>
      <c r="Y3" s="86">
        <f>PRODUCT('77'!AO3,1)</f>
        <v>-20</v>
      </c>
      <c r="Z3" s="86">
        <f>PRODUCT('77'!AQ3,1)</f>
        <v>-19</v>
      </c>
      <c r="AA3" s="86">
        <f>PRODUCT('77'!AS3,1)</f>
        <v>-19</v>
      </c>
      <c r="AB3" s="87">
        <f>PRODUCT('77'!AU3,1)</f>
        <v>-18</v>
      </c>
      <c r="AC3" s="87">
        <f>PRODUCT('77'!AW3,1)</f>
        <v>-17</v>
      </c>
      <c r="AD3" s="87">
        <f>PRODUCT('77'!AY3,1)</f>
        <v>-16</v>
      </c>
      <c r="AE3" s="87">
        <f>PRODUCT('77'!BA3,1)</f>
        <v>-16</v>
      </c>
      <c r="AF3" s="87">
        <f>PRODUCT('77'!BC3,1)</f>
        <v>-15</v>
      </c>
      <c r="AG3" s="87">
        <f>PRODUCT('77'!BE3,1)</f>
        <v>-15</v>
      </c>
      <c r="AH3" s="87">
        <f>PRODUCT('77'!BG3,1)</f>
        <v>-15</v>
      </c>
      <c r="AI3" s="87">
        <f>PRODUCT('77'!BI3,1)</f>
        <v>-16</v>
      </c>
      <c r="AJ3" s="87">
        <f>PRODUCT('77'!BK3,1)</f>
        <v>-17</v>
      </c>
      <c r="AK3" s="87">
        <f>PRODUCT('77'!BM3,1)</f>
        <v>-14</v>
      </c>
      <c r="AL3" s="87">
        <f>PRODUCT('77'!BO3,1)</f>
        <v>-13</v>
      </c>
      <c r="AM3" s="87">
        <f>PRODUCT('77'!BQ3,1)</f>
        <v>-12</v>
      </c>
      <c r="AN3" s="86">
        <f>PRODUCT('77'!BS3,1)</f>
        <v>-8</v>
      </c>
      <c r="AO3" s="86">
        <f>PRODUCT('77'!BU3,1)</f>
        <v>-4</v>
      </c>
      <c r="AP3" s="86">
        <f>PRODUCT('77'!BW3,1)</f>
        <v>-2</v>
      </c>
      <c r="AQ3" s="86">
        <f>PRODUCT('77'!BY3,1)</f>
        <v>0</v>
      </c>
      <c r="AR3" s="86">
        <f>PRODUCT('77'!CA3,1)</f>
        <v>0</v>
      </c>
      <c r="AS3" s="86">
        <f>PRODUCT('77'!CC3,1)</f>
        <v>0</v>
      </c>
      <c r="AT3" s="86">
        <f>PRODUCT('77'!CE3,1)</f>
        <v>0</v>
      </c>
      <c r="AU3" s="86">
        <f>PRODUCT('77'!CG3,1)</f>
        <v>0</v>
      </c>
      <c r="AV3" s="86">
        <f>PRODUCT('77'!CI3,1)</f>
        <v>0</v>
      </c>
      <c r="BD3" s="27"/>
      <c r="BE3"/>
    </row>
    <row r="4" spans="1:57" ht="15" customHeight="1">
      <c r="A4">
        <v>2</v>
      </c>
      <c r="B4" t="s">
        <v>59</v>
      </c>
      <c r="C4" t="s">
        <v>60</v>
      </c>
      <c r="D4" s="28">
        <v>55</v>
      </c>
      <c r="E4">
        <v>17</v>
      </c>
      <c r="F4" t="s">
        <v>61</v>
      </c>
      <c r="G4" t="s">
        <v>62</v>
      </c>
      <c r="H4" s="85">
        <f>PRODUCT('77'!H4,1)</f>
        <v>23</v>
      </c>
      <c r="I4" s="85">
        <f>PRODUCT('77'!I4,1)</f>
        <v>30</v>
      </c>
      <c r="J4" s="86">
        <f>PRODUCT('77'!K4,1)</f>
        <v>0</v>
      </c>
      <c r="K4" s="86">
        <f>PRODUCT('77'!M4,1)</f>
        <v>1</v>
      </c>
      <c r="L4" s="86">
        <f>PRODUCT('77'!O4,1)</f>
        <v>2</v>
      </c>
      <c r="M4" s="86">
        <f>PRODUCT('77'!Q4,1)</f>
        <v>3</v>
      </c>
      <c r="N4" s="87">
        <f>PRODUCT('77'!S4,1)</f>
        <v>5</v>
      </c>
      <c r="O4" s="87">
        <f>PRODUCT('77'!U4,1)</f>
        <v>7</v>
      </c>
      <c r="P4" s="87">
        <f>PRODUCT('77'!W4,1)</f>
        <v>7</v>
      </c>
      <c r="Q4" s="87">
        <f>PRODUCT('77'!Y4,1)</f>
        <v>9</v>
      </c>
      <c r="R4" s="87">
        <f>PRODUCT('77'!AA4,1)</f>
        <v>10</v>
      </c>
      <c r="S4" s="87">
        <f>PRODUCT('77'!AC4,1)</f>
        <v>9</v>
      </c>
      <c r="T4" s="87">
        <f>PRODUCT('77'!AE4,1)</f>
        <v>9</v>
      </c>
      <c r="U4" s="87">
        <f>PRODUCT('77'!AG4,1)</f>
        <v>8</v>
      </c>
      <c r="V4" s="87">
        <f>PRODUCT('77'!AI4,1)</f>
        <v>7</v>
      </c>
      <c r="W4" s="87">
        <f>PRODUCT('77'!AK4,1)</f>
        <v>6</v>
      </c>
      <c r="X4" s="86">
        <f>PRODUCT('77'!AM4,1)</f>
        <v>4</v>
      </c>
      <c r="Y4" s="86">
        <f>PRODUCT('77'!AO4,1)</f>
        <v>3</v>
      </c>
      <c r="Z4" s="86">
        <f>PRODUCT('77'!AQ4,1)</f>
        <v>3</v>
      </c>
      <c r="AA4" s="86">
        <f>PRODUCT('77'!AS4,1)</f>
        <v>3</v>
      </c>
      <c r="AB4" s="86">
        <f>PRODUCT('77'!AU4,1)</f>
        <v>2</v>
      </c>
      <c r="AC4" s="86">
        <f>PRODUCT('77'!AW4,1)</f>
        <v>2</v>
      </c>
      <c r="AD4" s="86">
        <f>PRODUCT('77'!AY4,1)</f>
        <v>2</v>
      </c>
      <c r="AE4" s="86">
        <f>PRODUCT('77'!BA4,1)</f>
        <v>1</v>
      </c>
      <c r="AF4" s="86">
        <f>PRODUCT('77'!BC4,1)</f>
        <v>1</v>
      </c>
      <c r="AG4" s="86">
        <f>PRODUCT('77'!BE4,1)</f>
        <v>1</v>
      </c>
      <c r="AH4" s="86">
        <f>PRODUCT('77'!BG4,1)</f>
        <v>2</v>
      </c>
      <c r="AI4" s="86">
        <f>PRODUCT('77'!BI4,1)</f>
        <v>2</v>
      </c>
      <c r="AJ4" s="86">
        <f>PRODUCT('77'!BK4,1)</f>
        <v>2</v>
      </c>
      <c r="AK4" s="86">
        <f>PRODUCT('77'!BM4,1)</f>
        <v>3</v>
      </c>
      <c r="AL4" s="86">
        <f>PRODUCT('77'!BO4,1)</f>
        <v>3</v>
      </c>
      <c r="AM4" s="86">
        <f>PRODUCT('77'!BQ4,1)</f>
        <v>2</v>
      </c>
      <c r="AN4" s="86">
        <f>PRODUCT('77'!BS4,1)</f>
        <v>3</v>
      </c>
      <c r="AO4" s="86">
        <f>PRODUCT('77'!BU4,1)</f>
        <v>4</v>
      </c>
      <c r="AP4" s="86">
        <f>PRODUCT('77'!BW4,1)</f>
        <v>3</v>
      </c>
      <c r="AQ4" s="86">
        <f>PRODUCT('77'!BY4,1)</f>
        <v>2</v>
      </c>
      <c r="AR4" s="86">
        <f>PRODUCT('77'!CA4,1)</f>
        <v>2</v>
      </c>
      <c r="AS4" s="86">
        <f>PRODUCT('77'!CC4,1)</f>
        <v>0</v>
      </c>
      <c r="AT4" s="86">
        <f>PRODUCT('77'!CE4,1)</f>
        <v>0</v>
      </c>
      <c r="AU4" s="86">
        <f>PRODUCT('77'!CG4,1)</f>
        <v>-1</v>
      </c>
      <c r="AV4" s="86">
        <f>PRODUCT('77'!CI4,1)</f>
        <v>0</v>
      </c>
      <c r="BD4" s="27"/>
      <c r="BE4"/>
    </row>
    <row r="5" spans="1:57" ht="15" customHeight="1">
      <c r="A5">
        <v>3</v>
      </c>
      <c r="B5" t="s">
        <v>59</v>
      </c>
      <c r="C5" t="s">
        <v>60</v>
      </c>
      <c r="D5" s="28">
        <v>53</v>
      </c>
      <c r="E5">
        <v>16</v>
      </c>
      <c r="F5" t="s">
        <v>61</v>
      </c>
      <c r="G5" t="s">
        <v>62</v>
      </c>
      <c r="H5" s="85">
        <f>PRODUCT('77'!H5,1)</f>
        <v>-30</v>
      </c>
      <c r="I5" s="85">
        <f>PRODUCT('77'!I5,1)</f>
        <v>-5</v>
      </c>
      <c r="J5" s="86">
        <f>PRODUCT('77'!K5,1)</f>
        <v>0</v>
      </c>
      <c r="K5" s="86">
        <f>PRODUCT('77'!M5,1)</f>
        <v>2</v>
      </c>
      <c r="L5" s="86">
        <f>PRODUCT('77'!O5,1)</f>
        <v>3</v>
      </c>
      <c r="M5" s="87">
        <f>PRODUCT('77'!Q5,1)</f>
        <v>5</v>
      </c>
      <c r="N5" s="87">
        <f>PRODUCT('77'!S5,1)</f>
        <v>7</v>
      </c>
      <c r="O5" s="87">
        <f>PRODUCT('77'!U5,1)</f>
        <v>10</v>
      </c>
      <c r="P5" s="87">
        <f>PRODUCT('77'!W5,1)</f>
        <v>11</v>
      </c>
      <c r="Q5" s="87">
        <f>PRODUCT('77'!Y5,1)</f>
        <v>13</v>
      </c>
      <c r="R5" s="87">
        <f>PRODUCT('77'!AA5,1)</f>
        <v>15</v>
      </c>
      <c r="S5" s="87">
        <f>PRODUCT('77'!AC5,1)</f>
        <v>15</v>
      </c>
      <c r="T5" s="87">
        <f>PRODUCT('77'!AE5,1)</f>
        <v>18</v>
      </c>
      <c r="U5" s="87">
        <f>PRODUCT('77'!AG5,1)</f>
        <v>20</v>
      </c>
      <c r="V5" s="87">
        <f>PRODUCT('77'!AI5,1)</f>
        <v>22</v>
      </c>
      <c r="W5" s="87">
        <f>PRODUCT('77'!AK5,1)</f>
        <v>24</v>
      </c>
      <c r="X5" s="87">
        <f>PRODUCT('77'!AM5,1)</f>
        <v>26</v>
      </c>
      <c r="Y5" s="87">
        <f>PRODUCT('77'!AO5,1)</f>
        <v>28</v>
      </c>
      <c r="Z5" s="87">
        <f>PRODUCT('77'!AQ5,1)</f>
        <v>30</v>
      </c>
      <c r="AA5" s="87">
        <f>PRODUCT('77'!AS5,1)</f>
        <v>34</v>
      </c>
      <c r="AB5" s="87">
        <f>PRODUCT('77'!AU5,1)</f>
        <v>38</v>
      </c>
      <c r="AC5" s="87">
        <f>PRODUCT('77'!AW5,1)</f>
        <v>42</v>
      </c>
      <c r="AD5" s="87">
        <f>PRODUCT('77'!AY5,1)</f>
        <v>38</v>
      </c>
      <c r="AE5" s="87">
        <f>PRODUCT('77'!BA5,1)</f>
        <v>35</v>
      </c>
      <c r="AF5" s="87">
        <f>PRODUCT('77'!BC5,1)</f>
        <v>32</v>
      </c>
      <c r="AG5" s="87">
        <f>PRODUCT('77'!BE5,1)</f>
        <v>29</v>
      </c>
      <c r="AH5" s="87">
        <f>PRODUCT('77'!BG5,1)</f>
        <v>25</v>
      </c>
      <c r="AI5" s="87">
        <f>PRODUCT('77'!BI5,1)</f>
        <v>21</v>
      </c>
      <c r="AJ5" s="87">
        <f>PRODUCT('77'!BK5,1)</f>
        <v>19</v>
      </c>
      <c r="AK5" s="87">
        <f>PRODUCT('77'!BM5,1)</f>
        <v>15</v>
      </c>
      <c r="AL5" s="87">
        <f>PRODUCT('77'!BO5,1)</f>
        <v>12</v>
      </c>
      <c r="AM5" s="87">
        <f>PRODUCT('77'!BQ5,1)</f>
        <v>11</v>
      </c>
      <c r="AN5" s="87">
        <f>PRODUCT('77'!BS5,1)</f>
        <v>11</v>
      </c>
      <c r="AO5" s="87">
        <f>PRODUCT('77'!BU5,1)</f>
        <v>11</v>
      </c>
      <c r="AP5" s="87">
        <f>PRODUCT('77'!BW5,1)</f>
        <v>9</v>
      </c>
      <c r="AQ5" s="87">
        <f>PRODUCT('77'!BY5,1)</f>
        <v>9</v>
      </c>
      <c r="AR5" s="87">
        <f>PRODUCT('77'!CA5,1)</f>
        <v>6</v>
      </c>
      <c r="AS5" s="86">
        <f>PRODUCT('77'!CC5,1)</f>
        <v>4</v>
      </c>
      <c r="AT5" s="86">
        <f>PRODUCT('77'!CE5,1)</f>
        <v>1</v>
      </c>
      <c r="AU5" s="86">
        <f>PRODUCT('77'!CG5,1)</f>
        <v>0</v>
      </c>
      <c r="AV5" s="86">
        <f>PRODUCT('77'!CI5,1)</f>
        <v>0</v>
      </c>
      <c r="BD5" s="27"/>
      <c r="BE5"/>
    </row>
    <row r="6" spans="1:57" ht="15" customHeight="1">
      <c r="D6" s="28">
        <v>51</v>
      </c>
      <c r="H6" s="85">
        <f>PRODUCT('77'!H6,1)</f>
        <v>22</v>
      </c>
      <c r="I6" s="85">
        <f>PRODUCT('77'!I6,1)</f>
        <v>-22</v>
      </c>
      <c r="J6" s="86">
        <f>PRODUCT('77'!K6,1)</f>
        <v>0</v>
      </c>
      <c r="K6" s="86">
        <f>PRODUCT('77'!M6,1)</f>
        <v>1</v>
      </c>
      <c r="L6" s="86">
        <f>PRODUCT('77'!O6,1)</f>
        <v>-3</v>
      </c>
      <c r="M6" s="87">
        <f>PRODUCT('77'!Q6,1)</f>
        <v>-9</v>
      </c>
      <c r="N6" s="87">
        <f>PRODUCT('77'!S6,1)</f>
        <v>-17</v>
      </c>
      <c r="O6" s="87">
        <f>PRODUCT('77'!U6,1)</f>
        <v>-25</v>
      </c>
      <c r="P6" s="87">
        <f>PRODUCT('77'!W6,1)</f>
        <v>-30</v>
      </c>
      <c r="Q6" s="87">
        <f>PRODUCT('77'!Y6,1)</f>
        <v>-34</v>
      </c>
      <c r="R6" s="87">
        <f>PRODUCT('77'!AA6,1)</f>
        <v>-37</v>
      </c>
      <c r="S6" s="87">
        <f>PRODUCT('77'!AC6,1)</f>
        <v>-39</v>
      </c>
      <c r="T6" s="87">
        <f>PRODUCT('77'!AE6,1)</f>
        <v>-42</v>
      </c>
      <c r="U6" s="87">
        <f>PRODUCT('77'!AG6,1)</f>
        <v>-44</v>
      </c>
      <c r="V6" s="87">
        <f>PRODUCT('77'!AI6,1)</f>
        <v>-49</v>
      </c>
      <c r="W6" s="87">
        <f>PRODUCT('77'!AK6,1)</f>
        <v>-53</v>
      </c>
      <c r="X6" s="87">
        <f>PRODUCT('77'!AM6,1)</f>
        <v>-58</v>
      </c>
      <c r="Y6" s="87">
        <f>PRODUCT('77'!AO6,1)</f>
        <v>-63</v>
      </c>
      <c r="Z6" s="87">
        <f>PRODUCT('77'!AQ6,1)</f>
        <v>-68</v>
      </c>
      <c r="AA6" s="87">
        <f>PRODUCT('77'!AS6,1)</f>
        <v>-70</v>
      </c>
      <c r="AB6" s="87">
        <f>PRODUCT('77'!AU6,1)</f>
        <v>-72</v>
      </c>
      <c r="AC6" s="87">
        <f>PRODUCT('77'!AW6,1)</f>
        <v>-75</v>
      </c>
      <c r="AD6" s="87">
        <f>PRODUCT('77'!AY6,1)</f>
        <v>-75</v>
      </c>
      <c r="AE6" s="87">
        <f>PRODUCT('77'!BA6,1)</f>
        <v>-74</v>
      </c>
      <c r="AF6" s="87">
        <f>PRODUCT('77'!BC6,1)</f>
        <v>-73</v>
      </c>
      <c r="AG6" s="87">
        <f>PRODUCT('77'!BE6,1)</f>
        <v>-69</v>
      </c>
      <c r="AH6" s="87">
        <f>PRODUCT('77'!BG6,1)</f>
        <v>-66</v>
      </c>
      <c r="AI6" s="87">
        <f>PRODUCT('77'!BI6,1)</f>
        <v>-61</v>
      </c>
      <c r="AJ6" s="87">
        <f>PRODUCT('77'!BK6,1)</f>
        <v>-56</v>
      </c>
      <c r="AK6" s="87">
        <f>PRODUCT('77'!BM6,1)</f>
        <v>-51</v>
      </c>
      <c r="AL6" s="87">
        <f>PRODUCT('77'!BO6,1)</f>
        <v>-41</v>
      </c>
      <c r="AM6" s="87">
        <f>PRODUCT('77'!BQ6,1)</f>
        <v>-35</v>
      </c>
      <c r="AN6" s="87">
        <f>PRODUCT('77'!BS6,1)</f>
        <v>-26</v>
      </c>
      <c r="AO6" s="87">
        <f>PRODUCT('77'!BU6,1)</f>
        <v>-15</v>
      </c>
      <c r="AP6" s="87">
        <f>PRODUCT('77'!BW6,1)</f>
        <v>-10</v>
      </c>
      <c r="AQ6" s="87">
        <f>PRODUCT('77'!BY6,1)</f>
        <v>-5</v>
      </c>
      <c r="AR6" s="87">
        <f>PRODUCT('77'!CA6,1)</f>
        <v>-2</v>
      </c>
      <c r="AS6" s="86">
        <f>PRODUCT('77'!CC6,1)</f>
        <v>1</v>
      </c>
      <c r="AT6" s="86">
        <f>PRODUCT('77'!CE6,1)</f>
        <v>2</v>
      </c>
      <c r="AU6" s="86">
        <f>PRODUCT('77'!CG6,1)</f>
        <v>3</v>
      </c>
      <c r="AV6" s="86">
        <f>PRODUCT('77'!CI6,1)</f>
        <v>0</v>
      </c>
      <c r="BD6" s="27"/>
      <c r="BE6"/>
    </row>
    <row r="7" spans="1:57" ht="15" customHeight="1">
      <c r="A7">
        <v>4</v>
      </c>
      <c r="B7" t="s">
        <v>59</v>
      </c>
      <c r="C7" t="s">
        <v>60</v>
      </c>
      <c r="D7" s="28">
        <v>49</v>
      </c>
      <c r="E7">
        <v>15</v>
      </c>
      <c r="F7" t="s">
        <v>61</v>
      </c>
      <c r="G7" t="s">
        <v>62</v>
      </c>
      <c r="H7" s="85">
        <f>PRODUCT('77'!H7,1)</f>
        <v>2</v>
      </c>
      <c r="I7" s="85">
        <f>PRODUCT('77'!I7,1)</f>
        <v>5</v>
      </c>
      <c r="J7" s="86">
        <f>PRODUCT('77'!K7,1)</f>
        <v>0</v>
      </c>
      <c r="K7" s="86">
        <f>PRODUCT('77'!M7,1)</f>
        <v>2</v>
      </c>
      <c r="L7" s="86">
        <f>PRODUCT('77'!O7,1)</f>
        <v>2</v>
      </c>
      <c r="M7" s="86">
        <f>PRODUCT('77'!Q7,1)</f>
        <v>4</v>
      </c>
      <c r="N7" s="86">
        <f>PRODUCT('77'!S7,1)</f>
        <v>4</v>
      </c>
      <c r="O7" s="87">
        <f>PRODUCT('77'!U7,1)</f>
        <v>6</v>
      </c>
      <c r="P7" s="87">
        <f>PRODUCT('77'!W7,1)</f>
        <v>6</v>
      </c>
      <c r="Q7" s="87">
        <f>PRODUCT('77'!Y7,1)</f>
        <v>7</v>
      </c>
      <c r="R7" s="87">
        <f>PRODUCT('77'!AA7,1)</f>
        <v>8</v>
      </c>
      <c r="S7" s="87">
        <f>PRODUCT('77'!AC7,1)</f>
        <v>7</v>
      </c>
      <c r="T7" s="87">
        <f>PRODUCT('77'!AE7,1)</f>
        <v>8</v>
      </c>
      <c r="U7" s="87">
        <f>PRODUCT('77'!AG7,1)</f>
        <v>8</v>
      </c>
      <c r="V7" s="87">
        <f>PRODUCT('77'!AI7,1)</f>
        <v>8</v>
      </c>
      <c r="W7" s="87">
        <f>PRODUCT('77'!AK7,1)</f>
        <v>8</v>
      </c>
      <c r="X7" s="87">
        <f>PRODUCT('77'!AM7,1)</f>
        <v>7</v>
      </c>
      <c r="Y7" s="87">
        <f>PRODUCT('77'!AO7,1)</f>
        <v>6</v>
      </c>
      <c r="Z7" s="87">
        <f>PRODUCT('77'!AQ7,1)</f>
        <v>7</v>
      </c>
      <c r="AA7" s="87">
        <f>PRODUCT('77'!AS7,1)</f>
        <v>6</v>
      </c>
      <c r="AB7" s="87">
        <f>PRODUCT('77'!AU7,1)</f>
        <v>5</v>
      </c>
      <c r="AC7" s="87">
        <f>PRODUCT('77'!AW7,1)</f>
        <v>6</v>
      </c>
      <c r="AD7" s="87">
        <f>PRODUCT('77'!AY7,1)</f>
        <v>6</v>
      </c>
      <c r="AE7" s="87">
        <f>PRODUCT('77'!BA7,1)</f>
        <v>5</v>
      </c>
      <c r="AF7" s="87">
        <f>PRODUCT('77'!BC7,1)</f>
        <v>6</v>
      </c>
      <c r="AG7" s="87">
        <f>PRODUCT('77'!BE7,1)</f>
        <v>6</v>
      </c>
      <c r="AH7" s="87">
        <f>PRODUCT('77'!BG7,1)</f>
        <v>6</v>
      </c>
      <c r="AI7" s="87">
        <f>PRODUCT('77'!BI7,1)</f>
        <v>7</v>
      </c>
      <c r="AJ7" s="87">
        <f>PRODUCT('77'!BK7,1)</f>
        <v>7</v>
      </c>
      <c r="AK7" s="87">
        <f>PRODUCT('77'!BM7,1)</f>
        <v>8</v>
      </c>
      <c r="AL7" s="87">
        <f>PRODUCT('77'!BO7,1)</f>
        <v>8</v>
      </c>
      <c r="AM7" s="87">
        <f>PRODUCT('77'!BQ7,1)</f>
        <v>7</v>
      </c>
      <c r="AN7" s="87">
        <f>PRODUCT('77'!BS7,1)</f>
        <v>8</v>
      </c>
      <c r="AO7" s="87">
        <f>PRODUCT('77'!BU7,1)</f>
        <v>7</v>
      </c>
      <c r="AP7" s="87">
        <f>PRODUCT('77'!BW7,1)</f>
        <v>6</v>
      </c>
      <c r="AQ7" s="87">
        <f>PRODUCT('77'!BY7,1)</f>
        <v>6</v>
      </c>
      <c r="AR7" s="86">
        <f>PRODUCT('77'!CA7,1)</f>
        <v>4</v>
      </c>
      <c r="AS7" s="86">
        <f>PRODUCT('77'!CC7,1)</f>
        <v>2</v>
      </c>
      <c r="AT7" s="86">
        <f>PRODUCT('77'!CE7,1)</f>
        <v>1</v>
      </c>
      <c r="AU7" s="86">
        <f>PRODUCT('77'!CG7,1)</f>
        <v>0</v>
      </c>
      <c r="AV7" s="86">
        <f>PRODUCT('77'!CI7,1)</f>
        <v>0</v>
      </c>
      <c r="BD7" s="27"/>
      <c r="BE7"/>
    </row>
    <row r="8" spans="1:57" ht="15" customHeight="1">
      <c r="D8" s="28">
        <v>47</v>
      </c>
      <c r="H8" s="85">
        <f>PRODUCT('77'!H8,1)</f>
        <v>22</v>
      </c>
      <c r="I8" s="85">
        <f>PRODUCT('77'!I8,1)</f>
        <v>45</v>
      </c>
      <c r="J8" s="86">
        <f>PRODUCT('77'!K8,1)</f>
        <v>0</v>
      </c>
      <c r="K8" s="86">
        <f>PRODUCT('77'!M8,1)</f>
        <v>3</v>
      </c>
      <c r="L8" s="86">
        <f>PRODUCT('77'!O8,1)</f>
        <v>2</v>
      </c>
      <c r="M8" s="86">
        <f>PRODUCT('77'!Q8,1)</f>
        <v>2</v>
      </c>
      <c r="N8" s="86">
        <f>PRODUCT('77'!S8,1)</f>
        <v>3</v>
      </c>
      <c r="O8" s="87">
        <f>PRODUCT('77'!U8,1)</f>
        <v>4</v>
      </c>
      <c r="P8" s="87">
        <f>PRODUCT('77'!W8,1)</f>
        <v>4</v>
      </c>
      <c r="Q8" s="87">
        <f>PRODUCT('77'!Y8,1)</f>
        <v>5</v>
      </c>
      <c r="R8" s="87">
        <f>PRODUCT('77'!AA8,1)</f>
        <v>6</v>
      </c>
      <c r="S8" s="87">
        <f>PRODUCT('77'!AC8,1)</f>
        <v>4</v>
      </c>
      <c r="T8" s="87">
        <f>PRODUCT('77'!AE8,1)</f>
        <v>4</v>
      </c>
      <c r="U8" s="87">
        <f>PRODUCT('77'!AG8,1)</f>
        <v>3</v>
      </c>
      <c r="V8" s="87">
        <f>PRODUCT('77'!AI8,1)</f>
        <v>1</v>
      </c>
      <c r="W8" s="87">
        <f>PRODUCT('77'!AK8,1)</f>
        <v>0</v>
      </c>
      <c r="X8" s="87">
        <f>PRODUCT('77'!AM8,1)</f>
        <v>-2</v>
      </c>
      <c r="Y8" s="87">
        <f>PRODUCT('77'!AO8,1)</f>
        <v>-3</v>
      </c>
      <c r="Z8" s="87">
        <f>PRODUCT('77'!AQ8,1)</f>
        <v>-4</v>
      </c>
      <c r="AA8" s="87">
        <f>PRODUCT('77'!AS8,1)</f>
        <v>-4</v>
      </c>
      <c r="AB8" s="87">
        <f>PRODUCT('77'!AU8,1)</f>
        <v>-6</v>
      </c>
      <c r="AC8" s="87">
        <f>PRODUCT('77'!AW8,1)</f>
        <v>-6</v>
      </c>
      <c r="AD8" s="87">
        <f>PRODUCT('77'!AY8,1)</f>
        <v>-6</v>
      </c>
      <c r="AE8" s="87">
        <f>PRODUCT('77'!BA8,1)</f>
        <v>-8</v>
      </c>
      <c r="AF8" s="87">
        <f>PRODUCT('77'!BC8,1)</f>
        <v>-8</v>
      </c>
      <c r="AG8" s="87">
        <f>PRODUCT('77'!BE8,1)</f>
        <v>-8</v>
      </c>
      <c r="AH8" s="87">
        <f>PRODUCT('77'!BG8,1)</f>
        <v>-8</v>
      </c>
      <c r="AI8" s="87">
        <f>PRODUCT('77'!BI8,1)</f>
        <v>-7</v>
      </c>
      <c r="AJ8" s="87">
        <f>PRODUCT('77'!BK8,1)</f>
        <v>-7</v>
      </c>
      <c r="AK8" s="87">
        <f>PRODUCT('77'!BM8,1)</f>
        <v>-6</v>
      </c>
      <c r="AL8" s="87">
        <f>PRODUCT('77'!BO8,1)</f>
        <v>-6</v>
      </c>
      <c r="AM8" s="87">
        <f>PRODUCT('77'!BQ8,1)</f>
        <v>-5</v>
      </c>
      <c r="AN8" s="87">
        <f>PRODUCT('77'!BS8,1)</f>
        <v>-3</v>
      </c>
      <c r="AO8" s="87">
        <f>PRODUCT('77'!BU8,1)</f>
        <v>-2</v>
      </c>
      <c r="AP8" s="87">
        <f>PRODUCT('77'!BW8,1)</f>
        <v>-2</v>
      </c>
      <c r="AQ8" s="87">
        <f>PRODUCT('77'!BY8,1)</f>
        <v>-1</v>
      </c>
      <c r="AR8" s="86">
        <f>PRODUCT('77'!CA8,1)</f>
        <v>-1</v>
      </c>
      <c r="AS8" s="86">
        <f>PRODUCT('77'!CC8,1)</f>
        <v>-1</v>
      </c>
      <c r="AT8" s="86">
        <f>PRODUCT('77'!CE8,1)</f>
        <v>-1</v>
      </c>
      <c r="AU8" s="86">
        <f>PRODUCT('77'!CG8,1)</f>
        <v>-1</v>
      </c>
      <c r="AV8" s="86">
        <f>PRODUCT('77'!CI8,1)</f>
        <v>0</v>
      </c>
      <c r="BD8" s="27"/>
      <c r="BE8"/>
    </row>
    <row r="9" spans="1:57" ht="15" customHeight="1">
      <c r="A9">
        <v>5</v>
      </c>
      <c r="B9" t="s">
        <v>59</v>
      </c>
      <c r="C9" t="s">
        <v>60</v>
      </c>
      <c r="D9" s="28">
        <v>45</v>
      </c>
      <c r="E9">
        <v>14</v>
      </c>
      <c r="F9" t="s">
        <v>61</v>
      </c>
      <c r="G9" t="s">
        <v>62</v>
      </c>
      <c r="H9" s="85">
        <f>PRODUCT('77'!H9,1)</f>
        <v>-6</v>
      </c>
      <c r="I9" s="85">
        <f>PRODUCT('77'!I9,1)</f>
        <v>35</v>
      </c>
      <c r="J9" s="86">
        <f>PRODUCT('77'!K9,1)</f>
        <v>0</v>
      </c>
      <c r="K9" s="86">
        <f>PRODUCT('77'!M9,1)</f>
        <v>1</v>
      </c>
      <c r="L9" s="86">
        <f>PRODUCT('77'!O9,1)</f>
        <v>2</v>
      </c>
      <c r="M9" s="86">
        <f>PRODUCT('77'!Q9,1)</f>
        <v>4</v>
      </c>
      <c r="N9" s="87">
        <f>PRODUCT('77'!S9,1)</f>
        <v>6</v>
      </c>
      <c r="O9" s="87">
        <f>PRODUCT('77'!U9,1)</f>
        <v>8</v>
      </c>
      <c r="P9" s="87">
        <f>PRODUCT('77'!W9,1)</f>
        <v>8</v>
      </c>
      <c r="Q9" s="87">
        <f>PRODUCT('77'!Y9,1)</f>
        <v>9</v>
      </c>
      <c r="R9" s="87">
        <f>PRODUCT('77'!AA9,1)</f>
        <v>10</v>
      </c>
      <c r="S9" s="87">
        <f>PRODUCT('77'!AC9,1)</f>
        <v>9</v>
      </c>
      <c r="T9" s="87">
        <f>PRODUCT('77'!AE9,1)</f>
        <v>9</v>
      </c>
      <c r="U9" s="87">
        <f>PRODUCT('77'!AG9,1)</f>
        <v>8</v>
      </c>
      <c r="V9" s="87">
        <f>PRODUCT('77'!AI9,1)</f>
        <v>8</v>
      </c>
      <c r="W9" s="87">
        <f>PRODUCT('77'!AK9,1)</f>
        <v>7</v>
      </c>
      <c r="X9" s="87">
        <f>PRODUCT('77'!AM9,1)</f>
        <v>7</v>
      </c>
      <c r="Y9" s="87">
        <f>PRODUCT('77'!AO9,1)</f>
        <v>6</v>
      </c>
      <c r="Z9" s="87">
        <f>PRODUCT('77'!AQ9,1)</f>
        <v>6</v>
      </c>
      <c r="AA9" s="87">
        <f>PRODUCT('77'!AS9,1)</f>
        <v>6</v>
      </c>
      <c r="AB9" s="87">
        <f>PRODUCT('77'!AU9,1)</f>
        <v>5</v>
      </c>
      <c r="AC9" s="87">
        <f>PRODUCT('77'!AW9,1)</f>
        <v>6</v>
      </c>
      <c r="AD9" s="87">
        <f>PRODUCT('77'!AY9,1)</f>
        <v>5</v>
      </c>
      <c r="AE9" s="87">
        <f>PRODUCT('77'!BA9,1)</f>
        <v>5</v>
      </c>
      <c r="AF9" s="87">
        <f>PRODUCT('77'!BC9,1)</f>
        <v>5</v>
      </c>
      <c r="AG9" s="87">
        <f>PRODUCT('77'!BE9,1)</f>
        <v>5</v>
      </c>
      <c r="AH9" s="87">
        <f>PRODUCT('77'!BG9,1)</f>
        <v>5</v>
      </c>
      <c r="AI9" s="87">
        <f>PRODUCT('77'!BI9,1)</f>
        <v>5</v>
      </c>
      <c r="AJ9" s="87">
        <f>PRODUCT('77'!BK9,1)</f>
        <v>5</v>
      </c>
      <c r="AK9" s="87">
        <f>PRODUCT('77'!BM9,1)</f>
        <v>5</v>
      </c>
      <c r="AL9" s="87">
        <f>PRODUCT('77'!BO9,1)</f>
        <v>5</v>
      </c>
      <c r="AM9" s="86">
        <f>PRODUCT('77'!BQ9,1)</f>
        <v>4</v>
      </c>
      <c r="AN9" s="87">
        <f>PRODUCT('77'!BS9,1)</f>
        <v>5</v>
      </c>
      <c r="AO9" s="87">
        <f>PRODUCT('77'!BU9,1)</f>
        <v>5</v>
      </c>
      <c r="AP9" s="86">
        <f>PRODUCT('77'!BW9,1)</f>
        <v>3</v>
      </c>
      <c r="AQ9" s="86">
        <f>PRODUCT('77'!BY9,1)</f>
        <v>3</v>
      </c>
      <c r="AR9" s="86">
        <f>PRODUCT('77'!CA9,1)</f>
        <v>2</v>
      </c>
      <c r="AS9" s="86">
        <f>PRODUCT('77'!CC9,1)</f>
        <v>1</v>
      </c>
      <c r="AT9" s="86">
        <f>PRODUCT('77'!CE9,1)</f>
        <v>0</v>
      </c>
      <c r="AU9" s="86">
        <f>PRODUCT('77'!CG9,1)</f>
        <v>-1</v>
      </c>
      <c r="AV9" s="86">
        <f>PRODUCT('77'!CI9,1)</f>
        <v>0</v>
      </c>
      <c r="BD9" s="27"/>
      <c r="BE9"/>
    </row>
    <row r="10" spans="1:57" ht="15" customHeight="1">
      <c r="D10" s="28">
        <v>43</v>
      </c>
      <c r="H10" s="85">
        <f>PRODUCT('77'!H10,1)</f>
        <v>22</v>
      </c>
      <c r="I10" s="85">
        <f>PRODUCT('77'!I10,1)</f>
        <v>-21</v>
      </c>
      <c r="J10" s="86">
        <f>PRODUCT('77'!K10,1)</f>
        <v>0</v>
      </c>
      <c r="K10" s="86">
        <f>PRODUCT('77'!M10,1)</f>
        <v>0</v>
      </c>
      <c r="L10" s="86">
        <f>PRODUCT('77'!O10,1)</f>
        <v>-8</v>
      </c>
      <c r="M10" s="86">
        <f>PRODUCT('77'!Q10,1)</f>
        <v>-24</v>
      </c>
      <c r="N10" s="87">
        <f>PRODUCT('77'!S10,1)</f>
        <v>-35</v>
      </c>
      <c r="O10" s="87">
        <f>PRODUCT('77'!U10,1)</f>
        <v>-48</v>
      </c>
      <c r="P10" s="87">
        <f>PRODUCT('77'!W10,1)</f>
        <v>-56</v>
      </c>
      <c r="Q10" s="87">
        <f>PRODUCT('77'!Y10,1)</f>
        <v>-63</v>
      </c>
      <c r="R10" s="87">
        <f>PRODUCT('77'!AA10,1)</f>
        <v>-69</v>
      </c>
      <c r="S10" s="87">
        <f>PRODUCT('77'!AC10,1)</f>
        <v>-78</v>
      </c>
      <c r="T10" s="87">
        <f>PRODUCT('77'!AE10,1)</f>
        <v>-81</v>
      </c>
      <c r="U10" s="87">
        <f>PRODUCT('77'!AG10,1)</f>
        <v>-87</v>
      </c>
      <c r="V10" s="87">
        <f>PRODUCT('77'!AI10,1)</f>
        <v>-93</v>
      </c>
      <c r="W10" s="87">
        <f>PRODUCT('77'!AK10,1)</f>
        <v>-95</v>
      </c>
      <c r="X10" s="87">
        <f>PRODUCT('77'!AM10,1)</f>
        <v>-99</v>
      </c>
      <c r="Y10" s="87">
        <f>PRODUCT('77'!AO10,1)</f>
        <v>-102</v>
      </c>
      <c r="Z10" s="87">
        <f>PRODUCT('77'!AQ10,1)</f>
        <v>-102</v>
      </c>
      <c r="AA10" s="87">
        <f>PRODUCT('77'!AS10,1)</f>
        <v>-104</v>
      </c>
      <c r="AB10" s="87">
        <f>PRODUCT('77'!AU10,1)</f>
        <v>-104</v>
      </c>
      <c r="AC10" s="87">
        <f>PRODUCT('77'!AW10,1)</f>
        <v>-103</v>
      </c>
      <c r="AD10" s="87">
        <f>PRODUCT('77'!AY10,1)</f>
        <v>-101</v>
      </c>
      <c r="AE10" s="87">
        <f>PRODUCT('77'!BA10,1)</f>
        <v>-99</v>
      </c>
      <c r="AF10" s="87">
        <f>PRODUCT('77'!BC10,1)</f>
        <v>-94</v>
      </c>
      <c r="AG10" s="87">
        <f>PRODUCT('77'!BE10,1)</f>
        <v>-90</v>
      </c>
      <c r="AH10" s="87">
        <f>PRODUCT('77'!BG10,1)</f>
        <v>-86</v>
      </c>
      <c r="AI10" s="87">
        <f>PRODUCT('77'!BI10,1)</f>
        <v>-82</v>
      </c>
      <c r="AJ10" s="87">
        <f>PRODUCT('77'!BK10,1)</f>
        <v>-78</v>
      </c>
      <c r="AK10" s="87">
        <f>PRODUCT('77'!BM10,1)</f>
        <v>-74</v>
      </c>
      <c r="AL10" s="87">
        <f>PRODUCT('77'!BO10,1)</f>
        <v>-69</v>
      </c>
      <c r="AM10" s="86">
        <f>PRODUCT('77'!BQ10,1)</f>
        <v>-60</v>
      </c>
      <c r="AN10" s="87">
        <f>PRODUCT('77'!BS10,1)</f>
        <v>-48</v>
      </c>
      <c r="AO10" s="87">
        <f>PRODUCT('77'!BU10,1)</f>
        <v>-37</v>
      </c>
      <c r="AP10" s="86">
        <f>PRODUCT('77'!BW10,1)</f>
        <v>-29</v>
      </c>
      <c r="AQ10" s="86">
        <f>PRODUCT('77'!BY10,1)</f>
        <v>-19</v>
      </c>
      <c r="AR10" s="86">
        <f>PRODUCT('77'!CA10,1)</f>
        <v>-11</v>
      </c>
      <c r="AS10" s="86">
        <f>PRODUCT('77'!CC10,1)</f>
        <v>-3</v>
      </c>
      <c r="AT10" s="86">
        <f>PRODUCT('77'!CE10,1)</f>
        <v>3</v>
      </c>
      <c r="AU10" s="86">
        <f>PRODUCT('77'!CG10,1)</f>
        <v>7</v>
      </c>
      <c r="AV10" s="86">
        <f>PRODUCT('77'!CI10,1)</f>
        <v>0</v>
      </c>
      <c r="BD10" s="27"/>
      <c r="BE10"/>
    </row>
    <row r="11" spans="1:57" ht="15" customHeight="1">
      <c r="A11">
        <v>6</v>
      </c>
      <c r="B11" t="s">
        <v>59</v>
      </c>
      <c r="C11" t="s">
        <v>60</v>
      </c>
      <c r="D11" s="28">
        <v>41</v>
      </c>
      <c r="E11">
        <v>13</v>
      </c>
      <c r="F11" t="s">
        <v>61</v>
      </c>
      <c r="G11" t="s">
        <v>62</v>
      </c>
      <c r="H11" s="85">
        <f>PRODUCT('77'!H11,1)</f>
        <v>-2</v>
      </c>
      <c r="I11" s="85">
        <f>PRODUCT('77'!I11,1)</f>
        <v>75</v>
      </c>
      <c r="J11" s="86">
        <f>PRODUCT('77'!K11,1)</f>
        <v>0</v>
      </c>
      <c r="K11" s="86">
        <f>PRODUCT('77'!M11,1)</f>
        <v>2</v>
      </c>
      <c r="L11" s="86">
        <f>PRODUCT('77'!O11,1)</f>
        <v>2</v>
      </c>
      <c r="M11" s="86">
        <f>PRODUCT('77'!Q11,1)</f>
        <v>4</v>
      </c>
      <c r="N11" s="87">
        <f>PRODUCT('77'!S11,1)</f>
        <v>6</v>
      </c>
      <c r="O11" s="87">
        <f>PRODUCT('77'!U11,1)</f>
        <v>8</v>
      </c>
      <c r="P11" s="87">
        <f>PRODUCT('77'!W11,1)</f>
        <v>7</v>
      </c>
      <c r="Q11" s="87">
        <f>PRODUCT('77'!Y11,1)</f>
        <v>8</v>
      </c>
      <c r="R11" s="87">
        <f>PRODUCT('77'!AA11,1)</f>
        <v>8</v>
      </c>
      <c r="S11" s="87">
        <f>PRODUCT('77'!AC11,1)</f>
        <v>6</v>
      </c>
      <c r="T11" s="87">
        <f>PRODUCT('77'!AE11,1)</f>
        <v>5</v>
      </c>
      <c r="U11" s="86">
        <f>PRODUCT('77'!AG11,1)</f>
        <v>4</v>
      </c>
      <c r="V11" s="86">
        <f>PRODUCT('77'!AI11,1)</f>
        <v>3</v>
      </c>
      <c r="W11" s="86">
        <f>PRODUCT('77'!AK11,1)</f>
        <v>3</v>
      </c>
      <c r="X11" s="86">
        <f>PRODUCT('77'!AM11,1)</f>
        <v>3</v>
      </c>
      <c r="Y11" s="86">
        <f>PRODUCT('77'!AO11,1)</f>
        <v>3</v>
      </c>
      <c r="Z11" s="86">
        <f>PRODUCT('77'!AQ11,1)</f>
        <v>3</v>
      </c>
      <c r="AA11" s="86">
        <f>PRODUCT('77'!AS11,1)</f>
        <v>3</v>
      </c>
      <c r="AB11" s="86">
        <f>PRODUCT('77'!AU11,1)</f>
        <v>3</v>
      </c>
      <c r="AC11" s="86">
        <f>PRODUCT('77'!AW11,1)</f>
        <v>3</v>
      </c>
      <c r="AD11" s="86">
        <f>PRODUCT('77'!AY11,1)</f>
        <v>3</v>
      </c>
      <c r="AE11" s="86">
        <f>PRODUCT('77'!BA11,1)</f>
        <v>2</v>
      </c>
      <c r="AF11" s="86">
        <f>PRODUCT('77'!BC11,1)</f>
        <v>1</v>
      </c>
      <c r="AG11" s="86">
        <f>PRODUCT('77'!BE11,1)</f>
        <v>1</v>
      </c>
      <c r="AH11" s="86">
        <f>PRODUCT('77'!BG11,1)</f>
        <v>1</v>
      </c>
      <c r="AI11" s="86">
        <f>PRODUCT('77'!BI11,1)</f>
        <v>0</v>
      </c>
      <c r="AJ11" s="86">
        <f>PRODUCT('77'!BK11,1)</f>
        <v>0</v>
      </c>
      <c r="AK11" s="86">
        <f>PRODUCT('77'!BM11,1)</f>
        <v>1</v>
      </c>
      <c r="AL11" s="86">
        <f>PRODUCT('77'!BO11,1)</f>
        <v>1</v>
      </c>
      <c r="AM11" s="86">
        <f>PRODUCT('77'!BQ11,1)</f>
        <v>0</v>
      </c>
      <c r="AN11" s="86">
        <f>PRODUCT('77'!BS11,1)</f>
        <v>1</v>
      </c>
      <c r="AO11" s="86">
        <f>PRODUCT('77'!BU11,1)</f>
        <v>1</v>
      </c>
      <c r="AP11" s="86">
        <f>PRODUCT('77'!BW11,1)</f>
        <v>0</v>
      </c>
      <c r="AQ11" s="86">
        <f>PRODUCT('77'!BY11,1)</f>
        <v>0</v>
      </c>
      <c r="AR11" s="86">
        <f>PRODUCT('77'!CA11,1)</f>
        <v>-1</v>
      </c>
      <c r="AS11" s="86">
        <f>PRODUCT('77'!CC11,1)</f>
        <v>-2</v>
      </c>
      <c r="AT11" s="86">
        <f>PRODUCT('77'!CE11,1)</f>
        <v>-2</v>
      </c>
      <c r="AU11" s="86">
        <f>PRODUCT('77'!CG11,1)</f>
        <v>-2</v>
      </c>
      <c r="AV11" s="86">
        <f>PRODUCT('77'!CI11,1)</f>
        <v>0</v>
      </c>
      <c r="BD11" s="27"/>
      <c r="BE11"/>
    </row>
    <row r="12" spans="1:57" ht="15" customHeight="1">
      <c r="A12">
        <v>7</v>
      </c>
      <c r="B12" t="s">
        <v>59</v>
      </c>
      <c r="C12" t="s">
        <v>60</v>
      </c>
      <c r="D12" s="28">
        <v>39</v>
      </c>
      <c r="E12">
        <v>12</v>
      </c>
      <c r="F12" t="s">
        <v>61</v>
      </c>
      <c r="G12" t="s">
        <v>62</v>
      </c>
      <c r="H12" s="85">
        <f>PRODUCT('77'!H12,1)</f>
        <v>1</v>
      </c>
      <c r="I12" s="85">
        <f>PRODUCT('77'!I12,1)</f>
        <v>0</v>
      </c>
      <c r="J12" s="86">
        <f>PRODUCT('77'!K12,1)</f>
        <v>0</v>
      </c>
      <c r="K12" s="86">
        <f>PRODUCT('77'!M12,1)</f>
        <v>2</v>
      </c>
      <c r="L12" s="86">
        <f>PRODUCT('77'!O12,1)</f>
        <v>3</v>
      </c>
      <c r="M12" s="86">
        <f>PRODUCT('77'!Q12,1)</f>
        <v>3</v>
      </c>
      <c r="N12" s="86">
        <f>PRODUCT('77'!S12,1)</f>
        <v>3</v>
      </c>
      <c r="O12" s="87">
        <f>PRODUCT('77'!U12,1)</f>
        <v>5</v>
      </c>
      <c r="P12" s="87">
        <f>PRODUCT('77'!W12,1)</f>
        <v>5</v>
      </c>
      <c r="Q12" s="87">
        <f>PRODUCT('77'!Y12,1)</f>
        <v>5</v>
      </c>
      <c r="R12" s="87">
        <f>PRODUCT('77'!AA12,1)</f>
        <v>6</v>
      </c>
      <c r="S12" s="86">
        <f>PRODUCT('77'!AC12,1)</f>
        <v>3</v>
      </c>
      <c r="T12" s="86">
        <f>PRODUCT('77'!AE12,1)</f>
        <v>1</v>
      </c>
      <c r="U12" s="86">
        <f>PRODUCT('77'!AG12,1)</f>
        <v>1</v>
      </c>
      <c r="V12" s="86">
        <f>PRODUCT('77'!AI12,1)</f>
        <v>1</v>
      </c>
      <c r="W12" s="86">
        <f>PRODUCT('77'!AK12,1)</f>
        <v>0</v>
      </c>
      <c r="X12" s="86">
        <f>PRODUCT('77'!AM12,1)</f>
        <v>1</v>
      </c>
      <c r="Y12" s="86">
        <f>PRODUCT('77'!AO12,1)</f>
        <v>3</v>
      </c>
      <c r="Z12" s="87">
        <f>PRODUCT('77'!AQ12,1)</f>
        <v>5</v>
      </c>
      <c r="AA12" s="87">
        <f>PRODUCT('77'!AS12,1)</f>
        <v>6</v>
      </c>
      <c r="AB12" s="87">
        <f>PRODUCT('77'!AU12,1)</f>
        <v>6</v>
      </c>
      <c r="AC12" s="87">
        <f>PRODUCT('77'!AW12,1)</f>
        <v>7</v>
      </c>
      <c r="AD12" s="87">
        <f>PRODUCT('77'!AY12,1)</f>
        <v>6</v>
      </c>
      <c r="AE12" s="87">
        <f>PRODUCT('77'!BA12,1)</f>
        <v>5</v>
      </c>
      <c r="AF12" s="86">
        <f>PRODUCT('77'!BC12,1)</f>
        <v>4</v>
      </c>
      <c r="AG12" s="86">
        <f>PRODUCT('77'!BE12,1)</f>
        <v>3</v>
      </c>
      <c r="AH12" s="86">
        <f>PRODUCT('77'!BG12,1)</f>
        <v>3</v>
      </c>
      <c r="AI12" s="86">
        <f>PRODUCT('77'!BI12,1)</f>
        <v>3</v>
      </c>
      <c r="AJ12" s="86">
        <f>PRODUCT('77'!BK12,1)</f>
        <v>4</v>
      </c>
      <c r="AK12" s="86">
        <f>PRODUCT('77'!BM12,1)</f>
        <v>3</v>
      </c>
      <c r="AL12" s="87">
        <f>PRODUCT('77'!BO12,1)</f>
        <v>5</v>
      </c>
      <c r="AM12" s="86">
        <f>PRODUCT('77'!BQ12,1)</f>
        <v>4</v>
      </c>
      <c r="AN12" s="87">
        <f>PRODUCT('77'!BS12,1)</f>
        <v>5</v>
      </c>
      <c r="AO12" s="87">
        <f>PRODUCT('77'!BU12,1)</f>
        <v>6</v>
      </c>
      <c r="AP12" s="87">
        <f>PRODUCT('77'!BW12,1)</f>
        <v>5</v>
      </c>
      <c r="AQ12" s="87">
        <f>PRODUCT('77'!BY12,1)</f>
        <v>5</v>
      </c>
      <c r="AR12" s="86">
        <f>PRODUCT('77'!CA12,1)</f>
        <v>3</v>
      </c>
      <c r="AS12" s="86">
        <f>PRODUCT('77'!CC12,1)</f>
        <v>2</v>
      </c>
      <c r="AT12" s="86">
        <f>PRODUCT('77'!CE12,1)</f>
        <v>1</v>
      </c>
      <c r="AU12" s="86">
        <f>PRODUCT('77'!CG12,1)</f>
        <v>0</v>
      </c>
      <c r="AV12" s="86">
        <f>PRODUCT('77'!CI12,1)</f>
        <v>0</v>
      </c>
      <c r="BD12" s="27"/>
      <c r="BE12"/>
    </row>
    <row r="13" spans="1:57" ht="15" customHeight="1">
      <c r="D13" s="28">
        <v>37</v>
      </c>
      <c r="H13" s="85">
        <f>PRODUCT('77'!H13,1)</f>
        <v>22</v>
      </c>
      <c r="I13" s="85">
        <f>PRODUCT('77'!I13,1)</f>
        <v>-33</v>
      </c>
      <c r="J13" s="86">
        <f>PRODUCT('77'!K13,1)</f>
        <v>0</v>
      </c>
      <c r="K13" s="86">
        <f>PRODUCT('77'!M13,1)</f>
        <v>3</v>
      </c>
      <c r="L13" s="86">
        <f>PRODUCT('77'!O13,1)</f>
        <v>2</v>
      </c>
      <c r="M13" s="86">
        <f>PRODUCT('77'!Q13,1)</f>
        <v>2</v>
      </c>
      <c r="N13" s="86">
        <f>PRODUCT('77'!S13,1)</f>
        <v>3</v>
      </c>
      <c r="O13" s="87">
        <f>PRODUCT('77'!U13,1)</f>
        <v>4</v>
      </c>
      <c r="P13" s="87">
        <f>PRODUCT('77'!W13,1)</f>
        <v>4</v>
      </c>
      <c r="Q13" s="87">
        <f>PRODUCT('77'!Y13,1)</f>
        <v>5</v>
      </c>
      <c r="R13" s="87">
        <f>PRODUCT('77'!AA13,1)</f>
        <v>6</v>
      </c>
      <c r="S13" s="86">
        <f>PRODUCT('77'!AC13,1)</f>
        <v>4</v>
      </c>
      <c r="T13" s="86">
        <f>PRODUCT('77'!AE13,1)</f>
        <v>4</v>
      </c>
      <c r="U13" s="86">
        <f>PRODUCT('77'!AG13,1)</f>
        <v>3</v>
      </c>
      <c r="V13" s="86">
        <f>PRODUCT('77'!AI13,1)</f>
        <v>1</v>
      </c>
      <c r="W13" s="86">
        <f>PRODUCT('77'!AK13,1)</f>
        <v>0</v>
      </c>
      <c r="X13" s="86">
        <f>PRODUCT('77'!AM13,1)</f>
        <v>-2</v>
      </c>
      <c r="Y13" s="86">
        <f>PRODUCT('77'!AO13,1)</f>
        <v>-3</v>
      </c>
      <c r="Z13" s="87">
        <f>PRODUCT('77'!AQ13,1)</f>
        <v>-4</v>
      </c>
      <c r="AA13" s="87">
        <f>PRODUCT('77'!AS13,1)</f>
        <v>-4</v>
      </c>
      <c r="AB13" s="87">
        <f>PRODUCT('77'!AU13,1)</f>
        <v>-6</v>
      </c>
      <c r="AC13" s="87">
        <f>PRODUCT('77'!AW13,1)</f>
        <v>-6</v>
      </c>
      <c r="AD13" s="87">
        <f>PRODUCT('77'!AY13,1)</f>
        <v>-6</v>
      </c>
      <c r="AE13" s="87">
        <f>PRODUCT('77'!BA13,1)</f>
        <v>-8</v>
      </c>
      <c r="AF13" s="86">
        <f>PRODUCT('77'!BC13,1)</f>
        <v>-8</v>
      </c>
      <c r="AG13" s="86">
        <f>PRODUCT('77'!BE13,1)</f>
        <v>-8</v>
      </c>
      <c r="AH13" s="86">
        <f>PRODUCT('77'!BG13,1)</f>
        <v>-8</v>
      </c>
      <c r="AI13" s="86">
        <f>PRODUCT('77'!BI13,1)</f>
        <v>-7</v>
      </c>
      <c r="AJ13" s="86">
        <f>PRODUCT('77'!BK13,1)</f>
        <v>-7</v>
      </c>
      <c r="AK13" s="86">
        <f>PRODUCT('77'!BM13,1)</f>
        <v>-6</v>
      </c>
      <c r="AL13" s="87">
        <f>PRODUCT('77'!BO13,1)</f>
        <v>-6</v>
      </c>
      <c r="AM13" s="86">
        <f>PRODUCT('77'!BQ13,1)</f>
        <v>-5</v>
      </c>
      <c r="AN13" s="87">
        <f>PRODUCT('77'!BS13,1)</f>
        <v>-3</v>
      </c>
      <c r="AO13" s="87">
        <f>PRODUCT('77'!BU13,1)</f>
        <v>-2</v>
      </c>
      <c r="AP13" s="87">
        <f>PRODUCT('77'!BW13,1)</f>
        <v>-2</v>
      </c>
      <c r="AQ13" s="87">
        <f>PRODUCT('77'!BY13,1)</f>
        <v>-1</v>
      </c>
      <c r="AR13" s="86">
        <f>PRODUCT('77'!CA13,1)</f>
        <v>-1</v>
      </c>
      <c r="AS13" s="86">
        <f>PRODUCT('77'!CC13,1)</f>
        <v>-1</v>
      </c>
      <c r="AT13" s="86">
        <f>PRODUCT('77'!CE13,1)</f>
        <v>-1</v>
      </c>
      <c r="AU13" s="86">
        <f>PRODUCT('77'!CG13,1)</f>
        <v>-1</v>
      </c>
      <c r="AV13" s="86">
        <f>PRODUCT('77'!CI13,1)</f>
        <v>0</v>
      </c>
      <c r="BD13" s="27"/>
      <c r="BE13"/>
    </row>
    <row r="14" spans="1:57" ht="15" customHeight="1">
      <c r="A14">
        <v>8</v>
      </c>
      <c r="B14" t="s">
        <v>59</v>
      </c>
      <c r="C14" t="s">
        <v>60</v>
      </c>
      <c r="D14" s="28">
        <v>35</v>
      </c>
      <c r="E14">
        <v>11</v>
      </c>
      <c r="F14" t="s">
        <v>61</v>
      </c>
      <c r="G14" t="s">
        <v>62</v>
      </c>
      <c r="H14" s="85">
        <f>PRODUCT('77'!H14,1)</f>
        <v>-29</v>
      </c>
      <c r="I14" s="85">
        <f>PRODUCT('77'!I14,1)</f>
        <v>-32</v>
      </c>
      <c r="J14" s="86">
        <f>PRODUCT('77'!K14,1)</f>
        <v>0</v>
      </c>
      <c r="K14" s="86">
        <f>PRODUCT('77'!M14,1)</f>
        <v>1</v>
      </c>
      <c r="L14" s="86">
        <f>PRODUCT('77'!O14,1)</f>
        <v>1</v>
      </c>
      <c r="M14" s="86">
        <f>PRODUCT('77'!Q14,1)</f>
        <v>1</v>
      </c>
      <c r="N14" s="86">
        <f>PRODUCT('77'!S14,1)</f>
        <v>1</v>
      </c>
      <c r="O14" s="86">
        <f>PRODUCT('77'!U14,1)</f>
        <v>3</v>
      </c>
      <c r="P14" s="86">
        <f>PRODUCT('77'!W14,1)</f>
        <v>2</v>
      </c>
      <c r="Q14" s="86">
        <f>PRODUCT('77'!Y14,1)</f>
        <v>4</v>
      </c>
      <c r="R14" s="87">
        <f>PRODUCT('77'!AA14,1)</f>
        <v>5</v>
      </c>
      <c r="S14" s="86">
        <f>PRODUCT('77'!AC14,1)</f>
        <v>4</v>
      </c>
      <c r="T14" s="87">
        <f>PRODUCT('77'!AE14,1)</f>
        <v>5</v>
      </c>
      <c r="U14" s="86">
        <f>PRODUCT('77'!AG14,1)</f>
        <v>4</v>
      </c>
      <c r="V14" s="86">
        <f>PRODUCT('77'!AI14,1)</f>
        <v>4</v>
      </c>
      <c r="W14" s="86">
        <f>PRODUCT('77'!AK14,1)</f>
        <v>3</v>
      </c>
      <c r="X14" s="86">
        <f>PRODUCT('77'!AM14,1)</f>
        <v>3</v>
      </c>
      <c r="Y14" s="86">
        <f>PRODUCT('77'!AO14,1)</f>
        <v>2</v>
      </c>
      <c r="Z14" s="86">
        <f>PRODUCT('77'!AQ14,1)</f>
        <v>2</v>
      </c>
      <c r="AA14" s="86">
        <f>PRODUCT('77'!AS14,1)</f>
        <v>1</v>
      </c>
      <c r="AB14" s="86">
        <f>PRODUCT('77'!AU14,1)</f>
        <v>1</v>
      </c>
      <c r="AC14" s="86">
        <f>PRODUCT('77'!AW14,1)</f>
        <v>1</v>
      </c>
      <c r="AD14" s="86">
        <f>PRODUCT('77'!AY14,1)</f>
        <v>1</v>
      </c>
      <c r="AE14" s="86">
        <f>PRODUCT('77'!BA14,1)</f>
        <v>0</v>
      </c>
      <c r="AF14" s="86">
        <f>PRODUCT('77'!BC14,1)</f>
        <v>0</v>
      </c>
      <c r="AG14" s="86">
        <f>PRODUCT('77'!BE14,1)</f>
        <v>-1</v>
      </c>
      <c r="AH14" s="86">
        <f>PRODUCT('77'!BG14,1)</f>
        <v>-1</v>
      </c>
      <c r="AI14" s="86">
        <f>PRODUCT('77'!BI14,1)</f>
        <v>0</v>
      </c>
      <c r="AJ14" s="86">
        <f>PRODUCT('77'!BK14,1)</f>
        <v>0</v>
      </c>
      <c r="AK14" s="86">
        <f>PRODUCT('77'!BM14,1)</f>
        <v>0</v>
      </c>
      <c r="AL14" s="86">
        <f>PRODUCT('77'!BO14,1)</f>
        <v>0</v>
      </c>
      <c r="AM14" s="86">
        <f>PRODUCT('77'!BQ14,1)</f>
        <v>0</v>
      </c>
      <c r="AN14" s="86">
        <f>PRODUCT('77'!BS14,1)</f>
        <v>1</v>
      </c>
      <c r="AO14" s="86">
        <f>PRODUCT('77'!BU14,1)</f>
        <v>1</v>
      </c>
      <c r="AP14" s="86">
        <f>PRODUCT('77'!BW14,1)</f>
        <v>0</v>
      </c>
      <c r="AQ14" s="86">
        <f>PRODUCT('77'!BY14,1)</f>
        <v>1</v>
      </c>
      <c r="AR14" s="86">
        <f>PRODUCT('77'!CA14,1)</f>
        <v>0</v>
      </c>
      <c r="AS14" s="86">
        <f>PRODUCT('77'!CC14,1)</f>
        <v>0</v>
      </c>
      <c r="AT14" s="86">
        <f>PRODUCT('77'!CE14,1)</f>
        <v>0</v>
      </c>
      <c r="AU14" s="86">
        <f>PRODUCT('77'!CG14,1)</f>
        <v>-1</v>
      </c>
      <c r="AV14" s="86">
        <f>PRODUCT('77'!CI14,1)</f>
        <v>0</v>
      </c>
      <c r="BD14" s="27"/>
      <c r="BE14"/>
    </row>
    <row r="15" spans="1:57" ht="15" customHeight="1">
      <c r="D15" s="28">
        <v>33</v>
      </c>
      <c r="H15" s="85">
        <f>PRODUCT('77'!H15,1)</f>
        <v>22</v>
      </c>
      <c r="I15" s="85">
        <f>PRODUCT('77'!I15,1)</f>
        <v>-7</v>
      </c>
      <c r="J15" s="86">
        <f>PRODUCT('77'!K15,1)</f>
        <v>0</v>
      </c>
      <c r="K15" s="86">
        <f>PRODUCT('77'!M15,1)</f>
        <v>0</v>
      </c>
      <c r="L15" s="86">
        <f>PRODUCT('77'!O15,1)</f>
        <v>-8</v>
      </c>
      <c r="M15" s="86">
        <f>PRODUCT('77'!Q15,1)</f>
        <v>-24</v>
      </c>
      <c r="N15" s="86">
        <f>PRODUCT('77'!S15,1)</f>
        <v>-35</v>
      </c>
      <c r="O15" s="86">
        <f>PRODUCT('77'!U15,1)</f>
        <v>-48</v>
      </c>
      <c r="P15" s="86">
        <f>PRODUCT('77'!W15,1)</f>
        <v>-56</v>
      </c>
      <c r="Q15" s="86">
        <f>PRODUCT('77'!Y15,1)</f>
        <v>-63</v>
      </c>
      <c r="R15" s="87">
        <f>PRODUCT('77'!AA15,1)</f>
        <v>-69</v>
      </c>
      <c r="S15" s="86">
        <f>PRODUCT('77'!AC15,1)</f>
        <v>-78</v>
      </c>
      <c r="T15" s="87">
        <f>PRODUCT('77'!AE15,1)</f>
        <v>-81</v>
      </c>
      <c r="U15" s="86">
        <f>PRODUCT('77'!AG15,1)</f>
        <v>-87</v>
      </c>
      <c r="V15" s="86">
        <f>PRODUCT('77'!AI15,1)</f>
        <v>-93</v>
      </c>
      <c r="W15" s="86">
        <f>PRODUCT('77'!AK15,1)</f>
        <v>-95</v>
      </c>
      <c r="X15" s="86">
        <f>PRODUCT('77'!AM15,1)</f>
        <v>-99</v>
      </c>
      <c r="Y15" s="86">
        <f>PRODUCT('77'!AO15,1)</f>
        <v>-102</v>
      </c>
      <c r="Z15" s="86">
        <f>PRODUCT('77'!AQ15,1)</f>
        <v>-102</v>
      </c>
      <c r="AA15" s="86">
        <f>PRODUCT('77'!AS15,1)</f>
        <v>-104</v>
      </c>
      <c r="AB15" s="86">
        <f>PRODUCT('77'!AU15,1)</f>
        <v>-104</v>
      </c>
      <c r="AC15" s="86">
        <f>PRODUCT('77'!AW15,1)</f>
        <v>-103</v>
      </c>
      <c r="AD15" s="86">
        <f>PRODUCT('77'!AY15,1)</f>
        <v>-101</v>
      </c>
      <c r="AE15" s="86">
        <f>PRODUCT('77'!BA15,1)</f>
        <v>-99</v>
      </c>
      <c r="AF15" s="86">
        <f>PRODUCT('77'!BC15,1)</f>
        <v>-94</v>
      </c>
      <c r="AG15" s="86">
        <f>PRODUCT('77'!BE15,1)</f>
        <v>-90</v>
      </c>
      <c r="AH15" s="86">
        <f>PRODUCT('77'!BG15,1)</f>
        <v>-86</v>
      </c>
      <c r="AI15" s="86">
        <f>PRODUCT('77'!BI15,1)</f>
        <v>-82</v>
      </c>
      <c r="AJ15" s="86">
        <f>PRODUCT('77'!BK15,1)</f>
        <v>-78</v>
      </c>
      <c r="AK15" s="86">
        <f>PRODUCT('77'!BM15,1)</f>
        <v>-74</v>
      </c>
      <c r="AL15" s="86">
        <f>PRODUCT('77'!BO15,1)</f>
        <v>-69</v>
      </c>
      <c r="AM15" s="86">
        <f>PRODUCT('77'!BQ15,1)</f>
        <v>-60</v>
      </c>
      <c r="AN15" s="86">
        <f>PRODUCT('77'!BS15,1)</f>
        <v>-48</v>
      </c>
      <c r="AO15" s="86">
        <f>PRODUCT('77'!BU15,1)</f>
        <v>-37</v>
      </c>
      <c r="AP15" s="86">
        <f>PRODUCT('77'!BW15,1)</f>
        <v>-29</v>
      </c>
      <c r="AQ15" s="86">
        <f>PRODUCT('77'!BY15,1)</f>
        <v>-19</v>
      </c>
      <c r="AR15" s="86">
        <f>PRODUCT('77'!CA15,1)</f>
        <v>-11</v>
      </c>
      <c r="AS15" s="86">
        <f>PRODUCT('77'!CC15,1)</f>
        <v>-3</v>
      </c>
      <c r="AT15" s="86">
        <f>PRODUCT('77'!CE15,1)</f>
        <v>3</v>
      </c>
      <c r="AU15" s="86">
        <f>PRODUCT('77'!CG15,1)</f>
        <v>7</v>
      </c>
      <c r="AV15" s="86">
        <f>PRODUCT('77'!CI15,1)</f>
        <v>0</v>
      </c>
      <c r="BD15" s="27"/>
      <c r="BE15"/>
    </row>
    <row r="16" spans="1:57" ht="15" customHeight="1">
      <c r="A16">
        <v>9</v>
      </c>
      <c r="B16" t="s">
        <v>59</v>
      </c>
      <c r="C16" t="s">
        <v>60</v>
      </c>
      <c r="D16" s="28">
        <v>31</v>
      </c>
      <c r="E16">
        <v>10</v>
      </c>
      <c r="F16" t="s">
        <v>61</v>
      </c>
      <c r="G16" t="s">
        <v>62</v>
      </c>
      <c r="H16" s="85">
        <f>PRODUCT('77'!H16,1)</f>
        <v>-7</v>
      </c>
      <c r="I16" s="85">
        <f>PRODUCT('77'!I16,1)</f>
        <v>8</v>
      </c>
      <c r="J16" s="86">
        <f>PRODUCT('77'!K16,1)</f>
        <v>0</v>
      </c>
      <c r="K16" s="86">
        <f>PRODUCT('77'!M16,1)</f>
        <v>1</v>
      </c>
      <c r="L16" s="86">
        <f>PRODUCT('77'!O16,1)</f>
        <v>3</v>
      </c>
      <c r="M16" s="86">
        <f>PRODUCT('77'!Q16,1)</f>
        <v>3</v>
      </c>
      <c r="N16" s="86">
        <f>PRODUCT('77'!S16,1)</f>
        <v>4</v>
      </c>
      <c r="O16" s="87">
        <f>PRODUCT('77'!U16,1)</f>
        <v>6</v>
      </c>
      <c r="P16" s="87">
        <f>PRODUCT('77'!W16,1)</f>
        <v>5</v>
      </c>
      <c r="Q16" s="87">
        <f>PRODUCT('77'!Y16,1)</f>
        <v>5</v>
      </c>
      <c r="R16" s="87">
        <f>PRODUCT('77'!AA16,1)</f>
        <v>5</v>
      </c>
      <c r="S16" s="86">
        <f>PRODUCT('77'!AC16,1)</f>
        <v>3</v>
      </c>
      <c r="T16" s="86">
        <f>PRODUCT('77'!AE16,1)</f>
        <v>2</v>
      </c>
      <c r="U16" s="86">
        <f>PRODUCT('77'!AG16,1)</f>
        <v>0</v>
      </c>
      <c r="V16" s="86">
        <f>PRODUCT('77'!AI16,1)</f>
        <v>-2</v>
      </c>
      <c r="W16" s="86">
        <f>PRODUCT('77'!AK16,1)</f>
        <v>-3</v>
      </c>
      <c r="X16" s="87">
        <f>PRODUCT('77'!AM16,1)</f>
        <v>-5</v>
      </c>
      <c r="Y16" s="87">
        <f>PRODUCT('77'!AO16,1)</f>
        <v>-6</v>
      </c>
      <c r="Z16" s="87">
        <f>PRODUCT('77'!AQ16,1)</f>
        <v>-6</v>
      </c>
      <c r="AA16" s="87">
        <f>PRODUCT('77'!AS16,1)</f>
        <v>-6</v>
      </c>
      <c r="AB16" s="87">
        <f>PRODUCT('77'!AU16,1)</f>
        <v>-6</v>
      </c>
      <c r="AC16" s="87">
        <f>PRODUCT('77'!AW16,1)</f>
        <v>-5</v>
      </c>
      <c r="AD16" s="87">
        <f>PRODUCT('77'!AY16,1)</f>
        <v>-5</v>
      </c>
      <c r="AE16" s="87">
        <f>PRODUCT('77'!BA16,1)</f>
        <v>-5</v>
      </c>
      <c r="AF16" s="87">
        <f>PRODUCT('77'!BC16,1)</f>
        <v>-5</v>
      </c>
      <c r="AG16" s="87">
        <f>PRODUCT('77'!BE16,1)</f>
        <v>-5</v>
      </c>
      <c r="AH16" s="87">
        <f>PRODUCT('77'!BG16,1)</f>
        <v>-5</v>
      </c>
      <c r="AI16" s="86">
        <f>PRODUCT('77'!BI16,1)</f>
        <v>-4</v>
      </c>
      <c r="AJ16" s="86">
        <f>PRODUCT('77'!BK16,1)</f>
        <v>-3</v>
      </c>
      <c r="AK16" s="86">
        <f>PRODUCT('77'!BM16,1)</f>
        <v>-3</v>
      </c>
      <c r="AL16" s="86">
        <f>PRODUCT('77'!BO16,1)</f>
        <v>-1</v>
      </c>
      <c r="AM16" s="86">
        <f>PRODUCT('77'!BQ16,1)</f>
        <v>-1</v>
      </c>
      <c r="AN16" s="86">
        <f>PRODUCT('77'!BS16,1)</f>
        <v>2</v>
      </c>
      <c r="AO16" s="86">
        <f>PRODUCT('77'!BU16,1)</f>
        <v>4</v>
      </c>
      <c r="AP16" s="86">
        <f>PRODUCT('77'!BW16,1)</f>
        <v>2</v>
      </c>
      <c r="AQ16" s="86">
        <f>PRODUCT('77'!BY16,1)</f>
        <v>3</v>
      </c>
      <c r="AR16" s="86">
        <f>PRODUCT('77'!CA16,1)</f>
        <v>2</v>
      </c>
      <c r="AS16" s="86">
        <f>PRODUCT('77'!CC16,1)</f>
        <v>0</v>
      </c>
      <c r="AT16" s="86">
        <f>PRODUCT('77'!CE16,1)</f>
        <v>0</v>
      </c>
      <c r="AU16" s="86">
        <f>PRODUCT('77'!CG16,1)</f>
        <v>-1</v>
      </c>
      <c r="AV16" s="86">
        <f>PRODUCT('77'!CI16,1)</f>
        <v>0</v>
      </c>
      <c r="BD16" s="27"/>
      <c r="BE16"/>
    </row>
    <row r="17" spans="1:58" ht="15" customHeight="1">
      <c r="A17">
        <v>10</v>
      </c>
      <c r="B17" t="s">
        <v>59</v>
      </c>
      <c r="C17" t="s">
        <v>60</v>
      </c>
      <c r="D17" s="28">
        <v>29</v>
      </c>
      <c r="E17">
        <v>9</v>
      </c>
      <c r="F17" t="s">
        <v>61</v>
      </c>
      <c r="G17" t="s">
        <v>62</v>
      </c>
      <c r="H17" s="85">
        <f>PRODUCT('77'!H17,1)</f>
        <v>14</v>
      </c>
      <c r="I17" s="85">
        <f>PRODUCT('77'!I17,1)</f>
        <v>33</v>
      </c>
      <c r="J17" s="86">
        <f>PRODUCT('77'!K17,1)</f>
        <v>0</v>
      </c>
      <c r="K17" s="86">
        <f>PRODUCT('77'!M17,1)</f>
        <v>1</v>
      </c>
      <c r="L17" s="86">
        <f>PRODUCT('77'!O17,1)</f>
        <v>1</v>
      </c>
      <c r="M17" s="86">
        <f>PRODUCT('77'!Q17,1)</f>
        <v>0</v>
      </c>
      <c r="N17" s="86">
        <f>PRODUCT('77'!S17,1)</f>
        <v>-1</v>
      </c>
      <c r="O17" s="86">
        <f>PRODUCT('77'!U17,1)</f>
        <v>-2</v>
      </c>
      <c r="P17" s="86">
        <f>PRODUCT('77'!W17,1)</f>
        <v>-4</v>
      </c>
      <c r="Q17" s="87">
        <f>PRODUCT('77'!Y17,1)</f>
        <v>-5</v>
      </c>
      <c r="R17" s="87">
        <f>PRODUCT('77'!AA17,1)</f>
        <v>-8</v>
      </c>
      <c r="S17" s="87">
        <f>PRODUCT('77'!AC17,1)</f>
        <v>-13</v>
      </c>
      <c r="T17" s="87">
        <f>PRODUCT('77'!AE17,1)</f>
        <v>-17</v>
      </c>
      <c r="U17" s="87">
        <f>PRODUCT('77'!AG17,1)</f>
        <v>-19</v>
      </c>
      <c r="V17" s="87">
        <f>PRODUCT('77'!AI17,1)</f>
        <v>-20</v>
      </c>
      <c r="W17" s="88">
        <f>PRODUCT('77'!AK17,1)</f>
        <v>-22</v>
      </c>
      <c r="X17" s="88">
        <f>PRODUCT('77'!AM17,1)</f>
        <v>-21</v>
      </c>
      <c r="Y17" s="87">
        <f>PRODUCT('77'!AO17,1)</f>
        <v>-20</v>
      </c>
      <c r="Z17" s="87">
        <f>PRODUCT('77'!AQ17,1)</f>
        <v>-19</v>
      </c>
      <c r="AA17" s="87">
        <f>PRODUCT('77'!AS17,1)</f>
        <v>-19</v>
      </c>
      <c r="AB17" s="87">
        <f>PRODUCT('77'!AU17,1)</f>
        <v>-18</v>
      </c>
      <c r="AC17" s="87">
        <f>PRODUCT('77'!AW17,1)</f>
        <v>-17</v>
      </c>
      <c r="AD17" s="87">
        <f>PRODUCT('77'!AY17,1)</f>
        <v>-16</v>
      </c>
      <c r="AE17" s="87">
        <f>PRODUCT('77'!BA17,1)</f>
        <v>-16</v>
      </c>
      <c r="AF17" s="87">
        <f>PRODUCT('77'!BC17,1)</f>
        <v>-15</v>
      </c>
      <c r="AG17" s="87">
        <f>PRODUCT('77'!BE17,1)</f>
        <v>-15</v>
      </c>
      <c r="AH17" s="87">
        <f>PRODUCT('77'!BG17,1)</f>
        <v>-15</v>
      </c>
      <c r="AI17" s="87">
        <f>PRODUCT('77'!BI17,1)</f>
        <v>-16</v>
      </c>
      <c r="AJ17" s="87">
        <f>PRODUCT('77'!BK17,1)</f>
        <v>-17</v>
      </c>
      <c r="AK17" s="87">
        <f>PRODUCT('77'!BM17,1)</f>
        <v>-14</v>
      </c>
      <c r="AL17" s="87">
        <f>PRODUCT('77'!BO17,1)</f>
        <v>-13</v>
      </c>
      <c r="AM17" s="87">
        <f>PRODUCT('77'!BQ17,1)</f>
        <v>-12</v>
      </c>
      <c r="AN17" s="87">
        <f>PRODUCT('77'!BS17,1)</f>
        <v>-8</v>
      </c>
      <c r="AO17" s="86">
        <f>PRODUCT('77'!BU17,1)</f>
        <v>-4</v>
      </c>
      <c r="AP17" s="86">
        <f>PRODUCT('77'!BW17,1)</f>
        <v>-2</v>
      </c>
      <c r="AQ17" s="86">
        <f>PRODUCT('77'!BY17,1)</f>
        <v>0</v>
      </c>
      <c r="AR17" s="86">
        <f>PRODUCT('77'!CA17,1)</f>
        <v>0</v>
      </c>
      <c r="AS17" s="86">
        <f>PRODUCT('77'!CC17,1)</f>
        <v>0</v>
      </c>
      <c r="AT17" s="86">
        <f>PRODUCT('77'!CE17,1)</f>
        <v>0</v>
      </c>
      <c r="AU17" s="86">
        <f>PRODUCT('77'!CG17,1)</f>
        <v>0</v>
      </c>
      <c r="AV17" s="86">
        <f>PRODUCT('77'!CI17,1)</f>
        <v>0</v>
      </c>
      <c r="BD17" s="27"/>
      <c r="BE17"/>
    </row>
    <row r="18" spans="1:58" ht="15" customHeight="1">
      <c r="D18" s="28">
        <v>27</v>
      </c>
      <c r="H18" s="85">
        <f>PRODUCT('77'!H18,1)</f>
        <v>22</v>
      </c>
      <c r="I18" s="85">
        <f>PRODUCT('77'!I18,1)</f>
        <v>54</v>
      </c>
      <c r="J18" s="86">
        <f>PRODUCT('77'!K18,1)</f>
        <v>0</v>
      </c>
      <c r="K18" s="86">
        <f>PRODUCT('77'!M18,1)</f>
        <v>3</v>
      </c>
      <c r="L18" s="86">
        <f>PRODUCT('77'!O18,1)</f>
        <v>2</v>
      </c>
      <c r="M18" s="86">
        <f>PRODUCT('77'!Q18,1)</f>
        <v>2</v>
      </c>
      <c r="N18" s="86">
        <f>PRODUCT('77'!S18,1)</f>
        <v>3</v>
      </c>
      <c r="O18" s="86">
        <f>PRODUCT('77'!U18,1)</f>
        <v>4</v>
      </c>
      <c r="P18" s="86">
        <f>PRODUCT('77'!W18,1)</f>
        <v>4</v>
      </c>
      <c r="Q18" s="87">
        <f>PRODUCT('77'!Y18,1)</f>
        <v>5</v>
      </c>
      <c r="R18" s="87">
        <f>PRODUCT('77'!AA18,1)</f>
        <v>6</v>
      </c>
      <c r="S18" s="87">
        <f>PRODUCT('77'!AC18,1)</f>
        <v>4</v>
      </c>
      <c r="T18" s="87">
        <f>PRODUCT('77'!AE18,1)</f>
        <v>4</v>
      </c>
      <c r="U18" s="87">
        <f>PRODUCT('77'!AG18,1)</f>
        <v>3</v>
      </c>
      <c r="V18" s="87">
        <f>PRODUCT('77'!AI18,1)</f>
        <v>1</v>
      </c>
      <c r="W18" s="88">
        <f>PRODUCT('77'!AK18,1)</f>
        <v>0</v>
      </c>
      <c r="X18" s="88">
        <f>PRODUCT('77'!AM18,1)</f>
        <v>-2</v>
      </c>
      <c r="Y18" s="87">
        <f>PRODUCT('77'!AO18,1)</f>
        <v>-3</v>
      </c>
      <c r="Z18" s="87">
        <f>PRODUCT('77'!AQ18,1)</f>
        <v>-4</v>
      </c>
      <c r="AA18" s="87">
        <f>PRODUCT('77'!AS18,1)</f>
        <v>-4</v>
      </c>
      <c r="AB18" s="87">
        <f>PRODUCT('77'!AU18,1)</f>
        <v>-6</v>
      </c>
      <c r="AC18" s="87">
        <f>PRODUCT('77'!AW18,1)</f>
        <v>-6</v>
      </c>
      <c r="AD18" s="87">
        <f>PRODUCT('77'!AY18,1)</f>
        <v>-6</v>
      </c>
      <c r="AE18" s="87">
        <f>PRODUCT('77'!BA18,1)</f>
        <v>-8</v>
      </c>
      <c r="AF18" s="87">
        <f>PRODUCT('77'!BC18,1)</f>
        <v>-8</v>
      </c>
      <c r="AG18" s="87">
        <f>PRODUCT('77'!BE18,1)</f>
        <v>-8</v>
      </c>
      <c r="AH18" s="87">
        <f>PRODUCT('77'!BG18,1)</f>
        <v>-8</v>
      </c>
      <c r="AI18" s="87">
        <f>PRODUCT('77'!BI18,1)</f>
        <v>-7</v>
      </c>
      <c r="AJ18" s="87">
        <f>PRODUCT('77'!BK18,1)</f>
        <v>-7</v>
      </c>
      <c r="AK18" s="87">
        <f>PRODUCT('77'!BM18,1)</f>
        <v>-6</v>
      </c>
      <c r="AL18" s="87">
        <f>PRODUCT('77'!BO18,1)</f>
        <v>-6</v>
      </c>
      <c r="AM18" s="87">
        <f>PRODUCT('77'!BQ18,1)</f>
        <v>-5</v>
      </c>
      <c r="AN18" s="87">
        <f>PRODUCT('77'!BS18,1)</f>
        <v>-3</v>
      </c>
      <c r="AO18" s="86">
        <f>PRODUCT('77'!BU18,1)</f>
        <v>-2</v>
      </c>
      <c r="AP18" s="86">
        <f>PRODUCT('77'!BW18,1)</f>
        <v>-2</v>
      </c>
      <c r="AQ18" s="86">
        <f>PRODUCT('77'!BY18,1)</f>
        <v>-1</v>
      </c>
      <c r="AR18" s="86">
        <f>PRODUCT('77'!CA18,1)</f>
        <v>-1</v>
      </c>
      <c r="AS18" s="86">
        <f>PRODUCT('77'!CC18,1)</f>
        <v>-1</v>
      </c>
      <c r="AT18" s="86">
        <f>PRODUCT('77'!CE18,1)</f>
        <v>-1</v>
      </c>
      <c r="AU18" s="86">
        <f>PRODUCT('77'!CG18,1)</f>
        <v>-1</v>
      </c>
      <c r="AV18" s="86">
        <f>PRODUCT('77'!CI18,1)</f>
        <v>0</v>
      </c>
      <c r="BD18" s="27"/>
      <c r="BE18"/>
    </row>
    <row r="19" spans="1:58" ht="15" customHeight="1">
      <c r="A19">
        <v>11</v>
      </c>
      <c r="B19" t="s">
        <v>59</v>
      </c>
      <c r="C19" t="s">
        <v>60</v>
      </c>
      <c r="D19" s="28">
        <v>25</v>
      </c>
      <c r="E19">
        <v>8</v>
      </c>
      <c r="F19" t="s">
        <v>61</v>
      </c>
      <c r="G19" t="s">
        <v>62</v>
      </c>
      <c r="H19" s="85">
        <f>PRODUCT('77'!H19,1)</f>
        <v>-33</v>
      </c>
      <c r="I19" s="85">
        <f>PRODUCT('77'!I19,1)</f>
        <v>-2.1000000000000001E-2</v>
      </c>
      <c r="J19" s="86">
        <f>PRODUCT('77'!K19,1)</f>
        <v>0</v>
      </c>
      <c r="K19" s="86">
        <f>PRODUCT('77'!M19,1)</f>
        <v>1</v>
      </c>
      <c r="L19" s="86">
        <f>PRODUCT('77'!O19,1)</f>
        <v>1</v>
      </c>
      <c r="M19" s="87">
        <f>PRODUCT('77'!Q19,1)</f>
        <v>0</v>
      </c>
      <c r="N19" s="87">
        <f>PRODUCT('77'!S19,1)</f>
        <v>-1</v>
      </c>
      <c r="O19" s="88">
        <f>PRODUCT('77'!U19,1)</f>
        <v>-2</v>
      </c>
      <c r="P19" s="88">
        <f>PRODUCT('77'!W19,1)</f>
        <v>-4</v>
      </c>
      <c r="Q19" s="88">
        <f>PRODUCT('77'!Y19,1)</f>
        <v>-5</v>
      </c>
      <c r="R19" s="88">
        <f>PRODUCT('77'!AA19,1)</f>
        <v>-8</v>
      </c>
      <c r="S19" s="88">
        <f>PRODUCT('77'!AC19,1)</f>
        <v>-13</v>
      </c>
      <c r="T19" s="89">
        <f>PRODUCT('77'!AE19,1)</f>
        <v>-17</v>
      </c>
      <c r="U19" s="89">
        <f>PRODUCT('77'!AG19,1)</f>
        <v>-19</v>
      </c>
      <c r="V19" s="89">
        <f>PRODUCT('77'!AI19,1)</f>
        <v>-20</v>
      </c>
      <c r="W19" s="89">
        <f>PRODUCT('77'!AK19,1)</f>
        <v>-22</v>
      </c>
      <c r="X19" s="89">
        <f>PRODUCT('77'!AM19,1)</f>
        <v>-21</v>
      </c>
      <c r="Y19" s="89">
        <f>PRODUCT('77'!AO19,1)</f>
        <v>-20</v>
      </c>
      <c r="Z19" s="89">
        <f>PRODUCT('77'!AQ19,1)</f>
        <v>-19</v>
      </c>
      <c r="AA19" s="89">
        <f>PRODUCT('77'!AS19,1)</f>
        <v>-19</v>
      </c>
      <c r="AB19" s="89">
        <f>PRODUCT('77'!AU19,1)</f>
        <v>-18</v>
      </c>
      <c r="AC19" s="89">
        <f>PRODUCT('77'!AW19,1)</f>
        <v>-17</v>
      </c>
      <c r="AD19" s="89">
        <f>PRODUCT('77'!AY19,1)</f>
        <v>-16</v>
      </c>
      <c r="AE19" s="89">
        <f>PRODUCT('77'!BA19,1)</f>
        <v>-16</v>
      </c>
      <c r="AF19" s="89">
        <f>PRODUCT('77'!BC19,1)</f>
        <v>-15</v>
      </c>
      <c r="AG19" s="89">
        <f>PRODUCT('77'!BE19,1)</f>
        <v>-15</v>
      </c>
      <c r="AH19" s="89">
        <f>PRODUCT('77'!BG19,1)</f>
        <v>-15</v>
      </c>
      <c r="AI19" s="89">
        <f>PRODUCT('77'!BI19,1)</f>
        <v>-16</v>
      </c>
      <c r="AJ19" s="89">
        <f>PRODUCT('77'!BK19,1)</f>
        <v>-17</v>
      </c>
      <c r="AK19" s="89">
        <f>PRODUCT('77'!BM19,1)</f>
        <v>-14</v>
      </c>
      <c r="AL19" s="89">
        <f>PRODUCT('77'!BO19,1)</f>
        <v>-13</v>
      </c>
      <c r="AM19" s="88">
        <f>PRODUCT('77'!BQ19,1)</f>
        <v>-12</v>
      </c>
      <c r="AN19" s="88">
        <f>PRODUCT('77'!BS19,1)</f>
        <v>-8</v>
      </c>
      <c r="AO19" s="87">
        <f>PRODUCT('77'!BU19,1)</f>
        <v>-4</v>
      </c>
      <c r="AP19" s="87">
        <f>PRODUCT('77'!BW19,1)</f>
        <v>-2</v>
      </c>
      <c r="AQ19" s="87">
        <f>PRODUCT('77'!BY19,1)</f>
        <v>0</v>
      </c>
      <c r="AR19" s="86">
        <f>PRODUCT('77'!CA19,1)</f>
        <v>0</v>
      </c>
      <c r="AS19" s="86">
        <f>PRODUCT('77'!CC19,1)</f>
        <v>0</v>
      </c>
      <c r="AT19" s="86">
        <f>PRODUCT('77'!CE19,1)</f>
        <v>0</v>
      </c>
      <c r="AU19" s="86">
        <f>PRODUCT('77'!CG19,1)</f>
        <v>0</v>
      </c>
      <c r="AV19" s="86">
        <f>PRODUCT('77'!CI19,1)</f>
        <v>0</v>
      </c>
      <c r="BD19" s="27"/>
      <c r="BE19"/>
    </row>
    <row r="20" spans="1:58" ht="15" customHeight="1">
      <c r="D20" s="28">
        <v>23</v>
      </c>
      <c r="H20" s="85">
        <f>PRODUCT('77'!H20,1)</f>
        <v>22</v>
      </c>
      <c r="I20" s="85">
        <f>PRODUCT('77'!I20,1)</f>
        <v>-6</v>
      </c>
      <c r="J20" s="86">
        <f>PRODUCT('77'!K20,1)</f>
        <v>0</v>
      </c>
      <c r="K20" s="86">
        <f>PRODUCT('77'!M20,1)</f>
        <v>3</v>
      </c>
      <c r="L20" s="86">
        <f>PRODUCT('77'!O20,1)</f>
        <v>2</v>
      </c>
      <c r="M20" s="87">
        <f>PRODUCT('77'!Q20,1)</f>
        <v>2</v>
      </c>
      <c r="N20" s="87">
        <f>PRODUCT('77'!S20,1)</f>
        <v>3</v>
      </c>
      <c r="O20" s="88">
        <f>PRODUCT('77'!U20,1)</f>
        <v>4</v>
      </c>
      <c r="P20" s="88">
        <f>PRODUCT('77'!W20,1)</f>
        <v>4</v>
      </c>
      <c r="Q20" s="88">
        <f>PRODUCT('77'!Y20,1)</f>
        <v>5</v>
      </c>
      <c r="R20" s="88">
        <f>PRODUCT('77'!AA20,1)</f>
        <v>6</v>
      </c>
      <c r="S20" s="88">
        <f>PRODUCT('77'!AC20,1)</f>
        <v>4</v>
      </c>
      <c r="T20" s="89">
        <f>PRODUCT('77'!AE20,1)</f>
        <v>4</v>
      </c>
      <c r="U20" s="89">
        <f>PRODUCT('77'!AG20,1)</f>
        <v>3</v>
      </c>
      <c r="V20" s="89">
        <f>PRODUCT('77'!AI20,1)</f>
        <v>1</v>
      </c>
      <c r="W20" s="89">
        <f>PRODUCT('77'!AK20,1)</f>
        <v>0</v>
      </c>
      <c r="X20" s="89">
        <f>PRODUCT('77'!AM20,1)</f>
        <v>-2</v>
      </c>
      <c r="Y20" s="89">
        <f>PRODUCT('77'!AO20,1)</f>
        <v>-3</v>
      </c>
      <c r="Z20" s="89">
        <f>PRODUCT('77'!AQ20,1)</f>
        <v>-4</v>
      </c>
      <c r="AA20" s="89">
        <f>PRODUCT('77'!AS20,1)</f>
        <v>-4</v>
      </c>
      <c r="AB20" s="89">
        <f>PRODUCT('77'!AU20,1)</f>
        <v>-6</v>
      </c>
      <c r="AC20" s="89">
        <f>PRODUCT('77'!AW20,1)</f>
        <v>-6</v>
      </c>
      <c r="AD20" s="89">
        <f>PRODUCT('77'!AY20,1)</f>
        <v>-6</v>
      </c>
      <c r="AE20" s="89">
        <f>PRODUCT('77'!BA20,1)</f>
        <v>-8</v>
      </c>
      <c r="AF20" s="89">
        <f>PRODUCT('77'!BC20,1)</f>
        <v>-8</v>
      </c>
      <c r="AG20" s="89">
        <f>PRODUCT('77'!BE20,1)</f>
        <v>-8</v>
      </c>
      <c r="AH20" s="89">
        <f>PRODUCT('77'!BG20,1)</f>
        <v>-8</v>
      </c>
      <c r="AI20" s="89">
        <f>PRODUCT('77'!BI20,1)</f>
        <v>-7</v>
      </c>
      <c r="AJ20" s="89">
        <f>PRODUCT('77'!BK20,1)</f>
        <v>-7</v>
      </c>
      <c r="AK20" s="89">
        <f>PRODUCT('77'!BM20,1)</f>
        <v>-6</v>
      </c>
      <c r="AL20" s="89">
        <f>PRODUCT('77'!BO20,1)</f>
        <v>-6</v>
      </c>
      <c r="AM20" s="88">
        <f>PRODUCT('77'!BQ20,1)</f>
        <v>-5</v>
      </c>
      <c r="AN20" s="88">
        <f>PRODUCT('77'!BS20,1)</f>
        <v>-3</v>
      </c>
      <c r="AO20" s="87">
        <f>PRODUCT('77'!BU20,1)</f>
        <v>-2</v>
      </c>
      <c r="AP20" s="87">
        <f>PRODUCT('77'!BW20,1)</f>
        <v>-2</v>
      </c>
      <c r="AQ20" s="87">
        <f>PRODUCT('77'!BY20,1)</f>
        <v>-1</v>
      </c>
      <c r="AR20" s="86">
        <f>PRODUCT('77'!CA20,1)</f>
        <v>-1</v>
      </c>
      <c r="AS20" s="86">
        <f>PRODUCT('77'!CC20,1)</f>
        <v>-1</v>
      </c>
      <c r="AT20" s="86">
        <f>PRODUCT('77'!CE20,1)</f>
        <v>-1</v>
      </c>
      <c r="AU20" s="86">
        <f>PRODUCT('77'!CG20,1)</f>
        <v>-1</v>
      </c>
      <c r="AV20" s="86">
        <f>PRODUCT('77'!CI20,1)</f>
        <v>0</v>
      </c>
      <c r="BD20" s="27"/>
      <c r="BE20"/>
    </row>
    <row r="21" spans="1:58" ht="15" customHeight="1">
      <c r="A21">
        <v>12</v>
      </c>
      <c r="B21" t="s">
        <v>59</v>
      </c>
      <c r="C21" t="s">
        <v>60</v>
      </c>
      <c r="D21" s="28">
        <v>21</v>
      </c>
      <c r="E21">
        <v>7</v>
      </c>
      <c r="F21" t="s">
        <v>61</v>
      </c>
      <c r="G21" t="s">
        <v>62</v>
      </c>
      <c r="H21" s="85">
        <f>PRODUCT('77'!H21,1)</f>
        <v>-58</v>
      </c>
      <c r="I21" s="85">
        <f>PRODUCT('77'!I21,1)</f>
        <v>-67</v>
      </c>
      <c r="J21" s="86">
        <f>PRODUCT('77'!K21,1)</f>
        <v>0</v>
      </c>
      <c r="K21" s="86">
        <f>PRODUCT('77'!M21,1)</f>
        <v>1</v>
      </c>
      <c r="L21" s="87">
        <f>PRODUCT('77'!O21,1)</f>
        <v>1</v>
      </c>
      <c r="M21" s="88">
        <f>PRODUCT('77'!Q21,1)</f>
        <v>0</v>
      </c>
      <c r="N21" s="88">
        <f>PRODUCT('77'!S21,1)</f>
        <v>-1</v>
      </c>
      <c r="O21" s="89">
        <f>PRODUCT('77'!U21,1)</f>
        <v>-2</v>
      </c>
      <c r="P21" s="89">
        <f>PRODUCT('77'!W21,1)</f>
        <v>-4</v>
      </c>
      <c r="Q21" s="89">
        <f>PRODUCT('77'!Y21,1)</f>
        <v>-5</v>
      </c>
      <c r="R21" s="89">
        <f>PRODUCT('77'!AA21,1)</f>
        <v>-8</v>
      </c>
      <c r="S21" s="89">
        <f>PRODUCT('77'!AC21,1)</f>
        <v>-13</v>
      </c>
      <c r="T21" s="89">
        <f>PRODUCT('77'!AE21,1)</f>
        <v>-17</v>
      </c>
      <c r="U21" s="89">
        <f>PRODUCT('77'!AG21,1)</f>
        <v>-19</v>
      </c>
      <c r="V21" s="89">
        <f>PRODUCT('77'!AI21,1)</f>
        <v>-20</v>
      </c>
      <c r="W21" s="89">
        <f>PRODUCT('77'!AK21,1)</f>
        <v>-22</v>
      </c>
      <c r="X21" s="89">
        <f>PRODUCT('77'!AM21,1)</f>
        <v>-21</v>
      </c>
      <c r="Y21" s="89">
        <f>PRODUCT('77'!AO21,1)</f>
        <v>-20</v>
      </c>
      <c r="Z21" s="89">
        <f>PRODUCT('77'!AQ21,1)</f>
        <v>-19</v>
      </c>
      <c r="AA21" s="89">
        <f>PRODUCT('77'!AS21,1)</f>
        <v>-19</v>
      </c>
      <c r="AB21" s="89">
        <f>PRODUCT('77'!AU21,1)</f>
        <v>-18</v>
      </c>
      <c r="AC21" s="89">
        <f>PRODUCT('77'!AW21,1)</f>
        <v>-17</v>
      </c>
      <c r="AD21" s="89">
        <f>PRODUCT('77'!AY21,1)</f>
        <v>-16</v>
      </c>
      <c r="AE21" s="89">
        <f>PRODUCT('77'!BA21,1)</f>
        <v>-16</v>
      </c>
      <c r="AF21" s="89">
        <f>PRODUCT('77'!BC21,1)</f>
        <v>-15</v>
      </c>
      <c r="AG21" s="89">
        <f>PRODUCT('77'!BE21,1)</f>
        <v>-15</v>
      </c>
      <c r="AH21" s="89">
        <f>PRODUCT('77'!BG21,1)</f>
        <v>-15</v>
      </c>
      <c r="AI21" s="89">
        <f>PRODUCT('77'!BI21,1)</f>
        <v>-16</v>
      </c>
      <c r="AJ21" s="89">
        <f>PRODUCT('77'!BK21,1)</f>
        <v>-17</v>
      </c>
      <c r="AK21" s="89">
        <f>PRODUCT('77'!BM21,1)</f>
        <v>-14</v>
      </c>
      <c r="AL21" s="89">
        <f>PRODUCT('77'!BO21,1)</f>
        <v>-13</v>
      </c>
      <c r="AM21" s="89">
        <f>PRODUCT('77'!BQ21,1)</f>
        <v>-12</v>
      </c>
      <c r="AN21" s="89">
        <f>PRODUCT('77'!BS21,1)</f>
        <v>-8</v>
      </c>
      <c r="AO21" s="88">
        <f>PRODUCT('77'!BU21,1)</f>
        <v>-4</v>
      </c>
      <c r="AP21" s="88">
        <f>PRODUCT('77'!BW21,1)</f>
        <v>-2</v>
      </c>
      <c r="AQ21" s="87">
        <f>PRODUCT('77'!BY21,1)</f>
        <v>0</v>
      </c>
      <c r="AR21" s="87">
        <f>PRODUCT('77'!CA21,1)</f>
        <v>0</v>
      </c>
      <c r="AS21" s="86">
        <f>PRODUCT('77'!CC21,1)</f>
        <v>0</v>
      </c>
      <c r="AT21" s="86">
        <f>PRODUCT('77'!CE21,1)</f>
        <v>0</v>
      </c>
      <c r="AU21" s="87">
        <f>PRODUCT('77'!CG21,1)</f>
        <v>0</v>
      </c>
      <c r="AV21" s="86">
        <f>PRODUCT('77'!CI21,1)</f>
        <v>0</v>
      </c>
      <c r="BD21" s="27"/>
      <c r="BE21"/>
    </row>
    <row r="22" spans="1:58" ht="15" customHeight="1">
      <c r="D22" s="28">
        <v>19</v>
      </c>
      <c r="H22" s="85">
        <f>PRODUCT('77'!H22,1)</f>
        <v>22</v>
      </c>
      <c r="I22" s="85">
        <f>PRODUCT('77'!I22,1)</f>
        <v>-33</v>
      </c>
      <c r="J22" s="86">
        <f>PRODUCT('77'!K22,1)</f>
        <v>0</v>
      </c>
      <c r="K22" s="86">
        <f>PRODUCT('77'!M22,1)</f>
        <v>3</v>
      </c>
      <c r="L22" s="87">
        <f>PRODUCT('77'!O22,1)</f>
        <v>2</v>
      </c>
      <c r="M22" s="88">
        <f>PRODUCT('77'!Q22,1)</f>
        <v>2</v>
      </c>
      <c r="N22" s="88">
        <f>PRODUCT('77'!S22,1)</f>
        <v>3</v>
      </c>
      <c r="O22" s="89">
        <f>PRODUCT('77'!U22,1)</f>
        <v>4</v>
      </c>
      <c r="P22" s="89">
        <f>PRODUCT('77'!W22,1)</f>
        <v>4</v>
      </c>
      <c r="Q22" s="89">
        <f>PRODUCT('77'!Y22,1)</f>
        <v>5</v>
      </c>
      <c r="R22" s="89">
        <f>PRODUCT('77'!AA22,1)</f>
        <v>6</v>
      </c>
      <c r="S22" s="89">
        <f>PRODUCT('77'!AC22,1)</f>
        <v>4</v>
      </c>
      <c r="T22" s="89">
        <f>PRODUCT('77'!AE22,1)</f>
        <v>4</v>
      </c>
      <c r="U22" s="89">
        <f>PRODUCT('77'!AG22,1)</f>
        <v>3</v>
      </c>
      <c r="V22" s="89">
        <f>PRODUCT('77'!AI22,1)</f>
        <v>1</v>
      </c>
      <c r="W22" s="89">
        <f>PRODUCT('77'!AK22,1)</f>
        <v>0</v>
      </c>
      <c r="X22" s="89">
        <f>PRODUCT('77'!AM22,1)</f>
        <v>-2</v>
      </c>
      <c r="Y22" s="89">
        <f>PRODUCT('77'!AO22,1)</f>
        <v>-3</v>
      </c>
      <c r="Z22" s="89">
        <f>PRODUCT('77'!AQ22,1)</f>
        <v>-4</v>
      </c>
      <c r="AA22" s="89">
        <f>PRODUCT('77'!AS22,1)</f>
        <v>-4</v>
      </c>
      <c r="AB22" s="89">
        <f>PRODUCT('77'!AU22,1)</f>
        <v>-6</v>
      </c>
      <c r="AC22" s="89">
        <f>PRODUCT('77'!AW22,1)</f>
        <v>-6</v>
      </c>
      <c r="AD22" s="89">
        <f>PRODUCT('77'!AY22,1)</f>
        <v>-6</v>
      </c>
      <c r="AE22" s="89">
        <f>PRODUCT('77'!BA22,1)</f>
        <v>-8</v>
      </c>
      <c r="AF22" s="89">
        <f>PRODUCT('77'!BC22,1)</f>
        <v>-8</v>
      </c>
      <c r="AG22" s="89">
        <f>PRODUCT('77'!BE22,1)</f>
        <v>-8</v>
      </c>
      <c r="AH22" s="89">
        <f>PRODUCT('77'!BG22,1)</f>
        <v>-8</v>
      </c>
      <c r="AI22" s="89">
        <f>PRODUCT('77'!BI22,1)</f>
        <v>-7</v>
      </c>
      <c r="AJ22" s="89">
        <f>PRODUCT('77'!BK22,1)</f>
        <v>-7</v>
      </c>
      <c r="AK22" s="89">
        <f>PRODUCT('77'!BM22,1)</f>
        <v>-6</v>
      </c>
      <c r="AL22" s="89">
        <f>PRODUCT('77'!BO22,1)</f>
        <v>-6</v>
      </c>
      <c r="AM22" s="89">
        <f>PRODUCT('77'!BQ22,1)</f>
        <v>-5</v>
      </c>
      <c r="AN22" s="89">
        <f>PRODUCT('77'!BS22,1)</f>
        <v>-3</v>
      </c>
      <c r="AO22" s="88">
        <f>PRODUCT('77'!BU22,1)</f>
        <v>-2</v>
      </c>
      <c r="AP22" s="88">
        <f>PRODUCT('77'!BW22,1)</f>
        <v>-2</v>
      </c>
      <c r="AQ22" s="87">
        <f>PRODUCT('77'!BY22,1)</f>
        <v>-1</v>
      </c>
      <c r="AR22" s="87">
        <f>PRODUCT('77'!CA22,1)</f>
        <v>-1</v>
      </c>
      <c r="AS22" s="86">
        <f>PRODUCT('77'!CC22,1)</f>
        <v>-1</v>
      </c>
      <c r="AT22" s="86">
        <f>PRODUCT('77'!CE22,1)</f>
        <v>-1</v>
      </c>
      <c r="AU22" s="87">
        <f>PRODUCT('77'!CG22,1)</f>
        <v>-1</v>
      </c>
      <c r="AV22" s="86">
        <f>PRODUCT('77'!CI22,1)</f>
        <v>0</v>
      </c>
      <c r="BD22" s="27"/>
      <c r="BE22"/>
    </row>
    <row r="23" spans="1:58" ht="15" customHeight="1">
      <c r="A23">
        <v>13</v>
      </c>
      <c r="B23" t="s">
        <v>59</v>
      </c>
      <c r="C23" t="s">
        <v>60</v>
      </c>
      <c r="D23" s="28">
        <v>17</v>
      </c>
      <c r="E23">
        <v>6</v>
      </c>
      <c r="F23" t="s">
        <v>61</v>
      </c>
      <c r="G23" t="s">
        <v>62</v>
      </c>
      <c r="H23" s="85">
        <f>PRODUCT('77'!H23,1)</f>
        <v>10</v>
      </c>
      <c r="I23" s="85">
        <f>PRODUCT('77'!I23,1)</f>
        <v>-77</v>
      </c>
      <c r="J23" s="86">
        <f>PRODUCT('77'!K23,1)</f>
        <v>0</v>
      </c>
      <c r="K23" s="86">
        <f>PRODUCT('77'!M23,1)</f>
        <v>-1</v>
      </c>
      <c r="L23" s="86">
        <f>PRODUCT('77'!O23,1)</f>
        <v>-4</v>
      </c>
      <c r="M23" s="87">
        <f>PRODUCT('77'!Q23,1)</f>
        <v>-7</v>
      </c>
      <c r="N23" s="87">
        <f>PRODUCT('77'!S23,1)</f>
        <v>-13</v>
      </c>
      <c r="O23" s="87">
        <f>PRODUCT('77'!U23,1)</f>
        <v>-17</v>
      </c>
      <c r="P23" s="88">
        <f>PRODUCT('77'!W23,1)</f>
        <v>-22</v>
      </c>
      <c r="Q23" s="88">
        <f>PRODUCT('77'!Y23,1)</f>
        <v>-27</v>
      </c>
      <c r="R23" s="88">
        <f>PRODUCT('77'!AA23,1)</f>
        <v>-31</v>
      </c>
      <c r="S23" s="88">
        <f>PRODUCT('77'!AC23,1)</f>
        <v>-37</v>
      </c>
      <c r="T23" s="89">
        <f>PRODUCT('77'!AE23,1)</f>
        <v>-42</v>
      </c>
      <c r="U23" s="89">
        <f>PRODUCT('77'!AG23,1)</f>
        <v>-46</v>
      </c>
      <c r="V23" s="89">
        <f>PRODUCT('77'!AI23,1)</f>
        <v>-51</v>
      </c>
      <c r="W23" s="89">
        <f>PRODUCT('77'!AK23,1)</f>
        <v>-55</v>
      </c>
      <c r="X23" s="89">
        <f>PRODUCT('77'!AM23,1)</f>
        <v>-60</v>
      </c>
      <c r="Y23" s="89">
        <f>PRODUCT('77'!AO23,1)</f>
        <v>-66</v>
      </c>
      <c r="Z23" s="89">
        <f>PRODUCT('77'!AQ23,1)</f>
        <v>-70</v>
      </c>
      <c r="AA23" s="89">
        <f>PRODUCT('77'!AS23,1)</f>
        <v>-74</v>
      </c>
      <c r="AB23" s="89">
        <f>PRODUCT('77'!AU23,1)</f>
        <v>-79</v>
      </c>
      <c r="AC23" s="89">
        <f>PRODUCT('77'!AW23,1)</f>
        <v>-83</v>
      </c>
      <c r="AD23" s="89">
        <f>PRODUCT('77'!AY23,1)</f>
        <v>-85</v>
      </c>
      <c r="AE23" s="89">
        <f>PRODUCT('77'!BA23,1)</f>
        <v>-89</v>
      </c>
      <c r="AF23" s="89">
        <f>PRODUCT('77'!BC23,1)</f>
        <v>-91</v>
      </c>
      <c r="AG23" s="89">
        <f>PRODUCT('77'!BE23,1)</f>
        <v>-89</v>
      </c>
      <c r="AH23" s="89">
        <f>PRODUCT('77'!BG23,1)</f>
        <v>-88</v>
      </c>
      <c r="AI23" s="89">
        <f>PRODUCT('77'!BI23,1)</f>
        <v>-84</v>
      </c>
      <c r="AJ23" s="89">
        <f>PRODUCT('77'!BK23,1)</f>
        <v>-80</v>
      </c>
      <c r="AK23" s="89">
        <f>PRODUCT('77'!BM23,1)</f>
        <v>-74</v>
      </c>
      <c r="AL23" s="89">
        <f>PRODUCT('77'!BO23,1)</f>
        <v>-67</v>
      </c>
      <c r="AM23" s="89">
        <f>PRODUCT('77'!BQ23,1)</f>
        <v>-60</v>
      </c>
      <c r="AN23" s="89">
        <f>PRODUCT('77'!BS23,1)</f>
        <v>-51</v>
      </c>
      <c r="AO23" s="88">
        <f>PRODUCT('77'!BU23,1)</f>
        <v>-38</v>
      </c>
      <c r="AP23" s="88">
        <f>PRODUCT('77'!BW23,1)</f>
        <v>-30</v>
      </c>
      <c r="AQ23" s="88">
        <f>PRODUCT('77'!BY23,1)</f>
        <v>-22</v>
      </c>
      <c r="AR23" s="87">
        <f>PRODUCT('77'!CA23,1)</f>
        <v>-17</v>
      </c>
      <c r="AS23" s="87">
        <f>PRODUCT('77'!CC23,1)</f>
        <v>-9</v>
      </c>
      <c r="AT23" s="87">
        <f>PRODUCT('77'!CE23,1)</f>
        <v>-5</v>
      </c>
      <c r="AU23" s="86">
        <f>PRODUCT('77'!CG23,1)</f>
        <v>-3</v>
      </c>
      <c r="AV23" s="86">
        <f>PRODUCT('77'!CI23,1)</f>
        <v>0</v>
      </c>
      <c r="BD23" s="27"/>
      <c r="BE23"/>
    </row>
    <row r="24" spans="1:58" ht="15" customHeight="1">
      <c r="A24">
        <v>14</v>
      </c>
      <c r="B24" t="s">
        <v>59</v>
      </c>
      <c r="C24" t="s">
        <v>60</v>
      </c>
      <c r="D24" s="28">
        <v>15</v>
      </c>
      <c r="E24">
        <v>5</v>
      </c>
      <c r="F24" t="s">
        <v>61</v>
      </c>
      <c r="G24" t="s">
        <v>62</v>
      </c>
      <c r="H24" s="85">
        <f>PRODUCT('77'!H24,1)</f>
        <v>28</v>
      </c>
      <c r="I24" s="85">
        <f>PRODUCT('77'!I24,1)</f>
        <v>81</v>
      </c>
      <c r="J24" s="86">
        <f>PRODUCT('77'!K24,1)</f>
        <v>0</v>
      </c>
      <c r="K24" s="86">
        <f>PRODUCT('77'!M24,1)</f>
        <v>1</v>
      </c>
      <c r="L24" s="86">
        <f>PRODUCT('77'!O24,1)</f>
        <v>3</v>
      </c>
      <c r="M24" s="87">
        <f>PRODUCT('77'!Q24,1)</f>
        <v>7</v>
      </c>
      <c r="N24" s="87">
        <f>PRODUCT('77'!S24,1)</f>
        <v>10</v>
      </c>
      <c r="O24" s="87">
        <f>PRODUCT('77'!U24,1)</f>
        <v>12</v>
      </c>
      <c r="P24" s="87">
        <f>PRODUCT('77'!W24,1)</f>
        <v>11</v>
      </c>
      <c r="Q24" s="87">
        <f>PRODUCT('77'!Y24,1)</f>
        <v>11</v>
      </c>
      <c r="R24" s="87">
        <f>PRODUCT('77'!AA24,1)</f>
        <v>10</v>
      </c>
      <c r="S24" s="87">
        <f>PRODUCT('77'!AC24,1)</f>
        <v>6</v>
      </c>
      <c r="T24" s="86">
        <f>PRODUCT('77'!AE24,1)</f>
        <v>3</v>
      </c>
      <c r="U24" s="86">
        <f>PRODUCT('77'!AG24,1)</f>
        <v>1</v>
      </c>
      <c r="V24" s="87">
        <f>PRODUCT('77'!AI24,1)</f>
        <v>-5</v>
      </c>
      <c r="W24" s="87">
        <f>PRODUCT('77'!AK24,1)</f>
        <v>-9</v>
      </c>
      <c r="X24" s="87">
        <f>PRODUCT('77'!AM24,1)</f>
        <v>-15</v>
      </c>
      <c r="Y24" s="87">
        <f>PRODUCT('77'!AO24,1)</f>
        <v>-20</v>
      </c>
      <c r="Z24" s="88">
        <f>PRODUCT('77'!AQ24,1)</f>
        <v>-24</v>
      </c>
      <c r="AA24" s="88">
        <f>PRODUCT('77'!AS24,1)</f>
        <v>-27</v>
      </c>
      <c r="AB24" s="88">
        <f>PRODUCT('77'!AU24,1)</f>
        <v>-31</v>
      </c>
      <c r="AC24" s="88">
        <f>PRODUCT('77'!AW24,1)</f>
        <v>-31</v>
      </c>
      <c r="AD24" s="88">
        <f>PRODUCT('77'!AY24,1)</f>
        <v>-31</v>
      </c>
      <c r="AE24" s="88">
        <f>PRODUCT('77'!BA24,1)</f>
        <v>-31</v>
      </c>
      <c r="AF24" s="88">
        <f>PRODUCT('77'!BC24,1)</f>
        <v>-30</v>
      </c>
      <c r="AG24" s="88">
        <f>PRODUCT('77'!BE24,1)</f>
        <v>-28</v>
      </c>
      <c r="AH24" s="88">
        <f>PRODUCT('77'!BG24,1)</f>
        <v>-28</v>
      </c>
      <c r="AI24" s="88">
        <f>PRODUCT('77'!BI24,1)</f>
        <v>-28</v>
      </c>
      <c r="AJ24" s="88">
        <f>PRODUCT('77'!BK24,1)</f>
        <v>-27</v>
      </c>
      <c r="AK24" s="88">
        <f>PRODUCT('77'!BM24,1)</f>
        <v>-27</v>
      </c>
      <c r="AL24" s="88">
        <f>PRODUCT('77'!BO24,1)</f>
        <v>-25</v>
      </c>
      <c r="AM24" s="88">
        <f>PRODUCT('77'!BQ24,1)</f>
        <v>-25</v>
      </c>
      <c r="AN24" s="88">
        <f>PRODUCT('77'!BS24,1)</f>
        <v>-24</v>
      </c>
      <c r="AO24" s="87">
        <f>PRODUCT('77'!BU24,1)</f>
        <v>-20</v>
      </c>
      <c r="AP24" s="87">
        <f>PRODUCT('77'!BW24,1)</f>
        <v>-19</v>
      </c>
      <c r="AQ24" s="87">
        <f>PRODUCT('77'!BY24,1)</f>
        <v>-17</v>
      </c>
      <c r="AR24" s="87">
        <f>PRODUCT('77'!CA24,1)</f>
        <v>-16</v>
      </c>
      <c r="AS24" s="87">
        <f>PRODUCT('77'!CC24,1)</f>
        <v>-15</v>
      </c>
      <c r="AT24" s="87">
        <f>PRODUCT('77'!CE24,1)</f>
        <v>-11</v>
      </c>
      <c r="AU24" s="87">
        <f>PRODUCT('77'!CG24,1)</f>
        <v>-9</v>
      </c>
      <c r="AV24" s="86">
        <f>PRODUCT('77'!CI24,1)</f>
        <v>0</v>
      </c>
      <c r="BD24" s="27"/>
      <c r="BE24"/>
    </row>
    <row r="25" spans="1:58" ht="15" customHeight="1">
      <c r="D25" s="28">
        <v>13</v>
      </c>
      <c r="H25" s="85">
        <f>PRODUCT('77'!H25,1)</f>
        <v>22</v>
      </c>
      <c r="I25" s="85">
        <f>PRODUCT('77'!I25,1)</f>
        <v>33</v>
      </c>
      <c r="J25" s="86">
        <f>PRODUCT('77'!K25,1)</f>
        <v>0</v>
      </c>
      <c r="K25" s="86">
        <f>PRODUCT('77'!M25,1)</f>
        <v>3</v>
      </c>
      <c r="L25" s="86">
        <f>PRODUCT('77'!O25,1)</f>
        <v>2</v>
      </c>
      <c r="M25" s="87">
        <f>PRODUCT('77'!Q25,1)</f>
        <v>2</v>
      </c>
      <c r="N25" s="87">
        <f>PRODUCT('77'!S25,1)</f>
        <v>3</v>
      </c>
      <c r="O25" s="87">
        <f>PRODUCT('77'!U25,1)</f>
        <v>4</v>
      </c>
      <c r="P25" s="87">
        <f>PRODUCT('77'!W25,1)</f>
        <v>4</v>
      </c>
      <c r="Q25" s="87">
        <f>PRODUCT('77'!Y25,1)</f>
        <v>5</v>
      </c>
      <c r="R25" s="87">
        <f>PRODUCT('77'!AA25,1)</f>
        <v>6</v>
      </c>
      <c r="S25" s="87">
        <f>PRODUCT('77'!AC25,1)</f>
        <v>4</v>
      </c>
      <c r="T25" s="86">
        <f>PRODUCT('77'!AE25,1)</f>
        <v>4</v>
      </c>
      <c r="U25" s="86">
        <f>PRODUCT('77'!AG25,1)</f>
        <v>3</v>
      </c>
      <c r="V25" s="87">
        <f>PRODUCT('77'!AI25,1)</f>
        <v>1</v>
      </c>
      <c r="W25" s="87">
        <f>PRODUCT('77'!AK25,1)</f>
        <v>0</v>
      </c>
      <c r="X25" s="87">
        <f>PRODUCT('77'!AM25,1)</f>
        <v>-2</v>
      </c>
      <c r="Y25" s="87">
        <f>PRODUCT('77'!AO25,1)</f>
        <v>-3</v>
      </c>
      <c r="Z25" s="88">
        <f>PRODUCT('77'!AQ25,1)</f>
        <v>-4</v>
      </c>
      <c r="AA25" s="88">
        <f>PRODUCT('77'!AS25,1)</f>
        <v>-4</v>
      </c>
      <c r="AB25" s="88">
        <f>PRODUCT('77'!AU25,1)</f>
        <v>-6</v>
      </c>
      <c r="AC25" s="88">
        <f>PRODUCT('77'!AW25,1)</f>
        <v>-6</v>
      </c>
      <c r="AD25" s="88">
        <f>PRODUCT('77'!AY25,1)</f>
        <v>-6</v>
      </c>
      <c r="AE25" s="88">
        <f>PRODUCT('77'!BA25,1)</f>
        <v>-8</v>
      </c>
      <c r="AF25" s="88">
        <f>PRODUCT('77'!BC25,1)</f>
        <v>-8</v>
      </c>
      <c r="AG25" s="88">
        <f>PRODUCT('77'!BE25,1)</f>
        <v>-8</v>
      </c>
      <c r="AH25" s="88">
        <f>PRODUCT('77'!BG25,1)</f>
        <v>-8</v>
      </c>
      <c r="AI25" s="88">
        <f>PRODUCT('77'!BI25,1)</f>
        <v>-7</v>
      </c>
      <c r="AJ25" s="88">
        <f>PRODUCT('77'!BK25,1)</f>
        <v>-7</v>
      </c>
      <c r="AK25" s="88">
        <f>PRODUCT('77'!BM25,1)</f>
        <v>-6</v>
      </c>
      <c r="AL25" s="88">
        <f>PRODUCT('77'!BO25,1)</f>
        <v>-6</v>
      </c>
      <c r="AM25" s="88">
        <f>PRODUCT('77'!BQ25,1)</f>
        <v>-5</v>
      </c>
      <c r="AN25" s="88">
        <f>PRODUCT('77'!BS25,1)</f>
        <v>-3</v>
      </c>
      <c r="AO25" s="87">
        <f>PRODUCT('77'!BU25,1)</f>
        <v>-2</v>
      </c>
      <c r="AP25" s="87">
        <f>PRODUCT('77'!BW25,1)</f>
        <v>-2</v>
      </c>
      <c r="AQ25" s="87">
        <f>PRODUCT('77'!BY25,1)</f>
        <v>-1</v>
      </c>
      <c r="AR25" s="87">
        <f>PRODUCT('77'!CA25,1)</f>
        <v>-1</v>
      </c>
      <c r="AS25" s="87">
        <f>PRODUCT('77'!CC25,1)</f>
        <v>-1</v>
      </c>
      <c r="AT25" s="87">
        <f>PRODUCT('77'!CE25,1)</f>
        <v>-1</v>
      </c>
      <c r="AU25" s="87">
        <f>PRODUCT('77'!CG25,1)</f>
        <v>-1</v>
      </c>
      <c r="AV25" s="86">
        <f>PRODUCT('77'!CI25,1)</f>
        <v>0</v>
      </c>
      <c r="BD25" s="27"/>
      <c r="BE25"/>
    </row>
    <row r="26" spans="1:58" ht="15" customHeight="1">
      <c r="A26">
        <v>15</v>
      </c>
      <c r="B26" t="s">
        <v>59</v>
      </c>
      <c r="C26" t="s">
        <v>60</v>
      </c>
      <c r="D26" s="28">
        <v>11</v>
      </c>
      <c r="E26">
        <v>4</v>
      </c>
      <c r="F26" t="s">
        <v>61</v>
      </c>
      <c r="G26" t="s">
        <v>62</v>
      </c>
      <c r="H26" s="85">
        <f>PRODUCT('77'!H26,1)</f>
        <v>27</v>
      </c>
      <c r="I26" s="85">
        <f>PRODUCT('77'!I26,1)</f>
        <v>14</v>
      </c>
      <c r="J26" s="86">
        <f>PRODUCT('77'!K26,1)</f>
        <v>0</v>
      </c>
      <c r="K26" s="86">
        <f>PRODUCT('77'!M26,1)</f>
        <v>0</v>
      </c>
      <c r="L26" s="86">
        <f>PRODUCT('77'!O26,1)</f>
        <v>2</v>
      </c>
      <c r="M26" s="86">
        <f>PRODUCT('77'!Q26,1)</f>
        <v>4</v>
      </c>
      <c r="N26" s="87">
        <f>PRODUCT('77'!S26,1)</f>
        <v>5</v>
      </c>
      <c r="O26" s="87">
        <f>PRODUCT('77'!U26,1)</f>
        <v>5</v>
      </c>
      <c r="P26" s="86">
        <f>PRODUCT('77'!W26,1)</f>
        <v>3</v>
      </c>
      <c r="Q26" s="86">
        <f>PRODUCT('77'!Y26,1)</f>
        <v>1</v>
      </c>
      <c r="R26" s="86">
        <f>PRODUCT('77'!AA26,1)</f>
        <v>-2</v>
      </c>
      <c r="S26" s="87">
        <f>PRODUCT('77'!AC26,1)</f>
        <v>-7</v>
      </c>
      <c r="T26" s="87">
        <f>PRODUCT('77'!AE26,1)</f>
        <v>-14</v>
      </c>
      <c r="U26" s="87">
        <f>PRODUCT('77'!AG26,1)</f>
        <v>-19</v>
      </c>
      <c r="V26" s="88">
        <f>PRODUCT('77'!AI26,1)</f>
        <v>-23</v>
      </c>
      <c r="W26" s="88">
        <f>PRODUCT('77'!AK26,1)</f>
        <v>-29</v>
      </c>
      <c r="X26" s="88">
        <f>PRODUCT('77'!AM26,1)</f>
        <v>-34</v>
      </c>
      <c r="Y26" s="88">
        <f>PRODUCT('77'!AO26,1)</f>
        <v>-39</v>
      </c>
      <c r="Z26" s="88">
        <f>PRODUCT('77'!AQ26,1)</f>
        <v>-40</v>
      </c>
      <c r="AA26" s="89">
        <f>PRODUCT('77'!AS26,1)</f>
        <v>-41</v>
      </c>
      <c r="AB26" s="89">
        <f>PRODUCT('77'!AU26,1)</f>
        <v>-43</v>
      </c>
      <c r="AC26" s="89">
        <f>PRODUCT('77'!AW26,1)</f>
        <v>-43</v>
      </c>
      <c r="AD26" s="89">
        <f>PRODUCT('77'!AY26,1)</f>
        <v>-43</v>
      </c>
      <c r="AE26" s="89">
        <f>PRODUCT('77'!BA26,1)</f>
        <v>-43</v>
      </c>
      <c r="AF26" s="89">
        <f>PRODUCT('77'!BC26,1)</f>
        <v>-43</v>
      </c>
      <c r="AG26" s="89">
        <f>PRODUCT('77'!BE26,1)</f>
        <v>-42</v>
      </c>
      <c r="AH26" s="89">
        <f>PRODUCT('77'!BG26,1)</f>
        <v>-43</v>
      </c>
      <c r="AI26" s="89">
        <f>PRODUCT('77'!BI26,1)</f>
        <v>-44</v>
      </c>
      <c r="AJ26" s="89">
        <f>PRODUCT('77'!BK26,1)</f>
        <v>-45</v>
      </c>
      <c r="AK26" s="89">
        <f>PRODUCT('77'!BM26,1)</f>
        <v>-46</v>
      </c>
      <c r="AL26" s="89">
        <f>PRODUCT('77'!BO26,1)</f>
        <v>-48</v>
      </c>
      <c r="AM26" s="89">
        <f>PRODUCT('77'!BQ26,1)</f>
        <v>-50</v>
      </c>
      <c r="AN26" s="89">
        <f>PRODUCT('77'!BS26,1)</f>
        <v>-49</v>
      </c>
      <c r="AO26" s="89">
        <f>PRODUCT('77'!BU26,1)</f>
        <v>-46</v>
      </c>
      <c r="AP26" s="89">
        <f>PRODUCT('77'!BW26,1)</f>
        <v>-42</v>
      </c>
      <c r="AQ26" s="88">
        <f>PRODUCT('77'!BY26,1)</f>
        <v>-36</v>
      </c>
      <c r="AR26" s="88">
        <f>PRODUCT('77'!CA26,1)</f>
        <v>-30</v>
      </c>
      <c r="AS26" s="87">
        <f>PRODUCT('77'!CC26,1)</f>
        <v>-19</v>
      </c>
      <c r="AT26" s="87">
        <f>PRODUCT('77'!CE26,1)</f>
        <v>-14</v>
      </c>
      <c r="AU26" s="87">
        <f>PRODUCT('77'!CG26,1)</f>
        <v>-10</v>
      </c>
      <c r="AV26" s="86">
        <f>PRODUCT('77'!CI26,1)</f>
        <v>0</v>
      </c>
      <c r="BD26" s="27"/>
      <c r="BE26"/>
    </row>
    <row r="27" spans="1:58" ht="15" customHeight="1">
      <c r="D27" s="28">
        <v>9</v>
      </c>
      <c r="H27" s="85">
        <f>PRODUCT('77'!H27,1)</f>
        <v>22</v>
      </c>
      <c r="I27" s="85">
        <f>PRODUCT('77'!I27,1)</f>
        <v>-29</v>
      </c>
      <c r="J27" s="86">
        <f>PRODUCT('77'!K27,1)</f>
        <v>0</v>
      </c>
      <c r="K27" s="86">
        <f>PRODUCT('77'!M27,1)</f>
        <v>3</v>
      </c>
      <c r="L27" s="86">
        <f>PRODUCT('77'!O27,1)</f>
        <v>2</v>
      </c>
      <c r="M27" s="86">
        <f>PRODUCT('77'!Q27,1)</f>
        <v>2</v>
      </c>
      <c r="N27" s="87">
        <f>PRODUCT('77'!S27,1)</f>
        <v>3</v>
      </c>
      <c r="O27" s="87">
        <f>PRODUCT('77'!U27,1)</f>
        <v>4</v>
      </c>
      <c r="P27" s="86">
        <f>PRODUCT('77'!W27,1)</f>
        <v>4</v>
      </c>
      <c r="Q27" s="86">
        <f>PRODUCT('77'!Y27,1)</f>
        <v>5</v>
      </c>
      <c r="R27" s="86">
        <f>PRODUCT('77'!AA27,1)</f>
        <v>6</v>
      </c>
      <c r="S27" s="87">
        <f>PRODUCT('77'!AC27,1)</f>
        <v>4</v>
      </c>
      <c r="T27" s="87">
        <f>PRODUCT('77'!AE27,1)</f>
        <v>4</v>
      </c>
      <c r="U27" s="87">
        <f>PRODUCT('77'!AG27,1)</f>
        <v>3</v>
      </c>
      <c r="V27" s="88">
        <f>PRODUCT('77'!AI27,1)</f>
        <v>1</v>
      </c>
      <c r="W27" s="88">
        <f>PRODUCT('77'!AK27,1)</f>
        <v>0</v>
      </c>
      <c r="X27" s="88">
        <f>PRODUCT('77'!AM27,1)</f>
        <v>-2</v>
      </c>
      <c r="Y27" s="88">
        <f>PRODUCT('77'!AO27,1)</f>
        <v>-3</v>
      </c>
      <c r="Z27" s="88">
        <f>PRODUCT('77'!AQ27,1)</f>
        <v>-4</v>
      </c>
      <c r="AA27" s="89">
        <f>PRODUCT('77'!AS27,1)</f>
        <v>-4</v>
      </c>
      <c r="AB27" s="89">
        <f>PRODUCT('77'!AU27,1)</f>
        <v>-6</v>
      </c>
      <c r="AC27" s="89">
        <f>PRODUCT('77'!AW27,1)</f>
        <v>-6</v>
      </c>
      <c r="AD27" s="89">
        <f>PRODUCT('77'!AY27,1)</f>
        <v>-6</v>
      </c>
      <c r="AE27" s="89">
        <f>PRODUCT('77'!BA27,1)</f>
        <v>-8</v>
      </c>
      <c r="AF27" s="89">
        <f>PRODUCT('77'!BC27,1)</f>
        <v>-8</v>
      </c>
      <c r="AG27" s="89">
        <f>PRODUCT('77'!BE27,1)</f>
        <v>-8</v>
      </c>
      <c r="AH27" s="89">
        <f>PRODUCT('77'!BG27,1)</f>
        <v>-8</v>
      </c>
      <c r="AI27" s="89">
        <f>PRODUCT('77'!BI27,1)</f>
        <v>-7</v>
      </c>
      <c r="AJ27" s="89">
        <f>PRODUCT('77'!BK27,1)</f>
        <v>-7</v>
      </c>
      <c r="AK27" s="89">
        <f>PRODUCT('77'!BM27,1)</f>
        <v>-6</v>
      </c>
      <c r="AL27" s="89">
        <f>PRODUCT('77'!BO27,1)</f>
        <v>-6</v>
      </c>
      <c r="AM27" s="89">
        <f>PRODUCT('77'!BQ27,1)</f>
        <v>-5</v>
      </c>
      <c r="AN27" s="89">
        <f>PRODUCT('77'!BS27,1)</f>
        <v>-3</v>
      </c>
      <c r="AO27" s="89">
        <f>PRODUCT('77'!BU27,1)</f>
        <v>-2</v>
      </c>
      <c r="AP27" s="89">
        <f>PRODUCT('77'!BW27,1)</f>
        <v>-2</v>
      </c>
      <c r="AQ27" s="88">
        <f>PRODUCT('77'!BY27,1)</f>
        <v>-1</v>
      </c>
      <c r="AR27" s="88">
        <f>PRODUCT('77'!CA27,1)</f>
        <v>-1</v>
      </c>
      <c r="AS27" s="87">
        <f>PRODUCT('77'!CC27,1)</f>
        <v>-1</v>
      </c>
      <c r="AT27" s="87">
        <f>PRODUCT('77'!CE27,1)</f>
        <v>-1</v>
      </c>
      <c r="AU27" s="87">
        <f>PRODUCT('77'!CG27,1)</f>
        <v>-1</v>
      </c>
      <c r="AV27" s="86">
        <f>PRODUCT('77'!CI27,1)</f>
        <v>0</v>
      </c>
      <c r="BD27" s="27"/>
      <c r="BE27"/>
    </row>
    <row r="28" spans="1:58" ht="15" customHeight="1">
      <c r="A28">
        <v>16</v>
      </c>
      <c r="B28" t="s">
        <v>59</v>
      </c>
      <c r="C28" t="s">
        <v>60</v>
      </c>
      <c r="D28" s="28">
        <v>7</v>
      </c>
      <c r="E28">
        <v>3</v>
      </c>
      <c r="F28" t="s">
        <v>61</v>
      </c>
      <c r="G28" t="s">
        <v>62</v>
      </c>
      <c r="H28" s="85">
        <f>PRODUCT('77'!H28,1)</f>
        <v>-9</v>
      </c>
      <c r="I28" s="85">
        <f>PRODUCT('77'!I28,1)</f>
        <v>81</v>
      </c>
      <c r="J28" s="86">
        <f>PRODUCT('77'!K28,1)</f>
        <v>0</v>
      </c>
      <c r="K28" s="86">
        <f>PRODUCT('77'!M28,1)</f>
        <v>0</v>
      </c>
      <c r="L28" s="86">
        <f>PRODUCT('77'!O28,1)</f>
        <v>-1</v>
      </c>
      <c r="M28" s="86">
        <f>PRODUCT('77'!Q28,1)</f>
        <v>-2</v>
      </c>
      <c r="N28" s="86">
        <f>PRODUCT('77'!S28,1)</f>
        <v>-4</v>
      </c>
      <c r="O28" s="87">
        <f>PRODUCT('77'!U28,1)</f>
        <v>-7</v>
      </c>
      <c r="P28" s="87">
        <f>PRODUCT('77'!W28,1)</f>
        <v>-10</v>
      </c>
      <c r="Q28" s="87">
        <f>PRODUCT('77'!Y28,1)</f>
        <v>-14</v>
      </c>
      <c r="R28" s="87">
        <f>PRODUCT('77'!AA28,1)</f>
        <v>-19</v>
      </c>
      <c r="S28" s="88">
        <f>PRODUCT('77'!AC28,1)</f>
        <v>-25</v>
      </c>
      <c r="T28" s="88">
        <f>PRODUCT('77'!AE28,1)</f>
        <v>-31</v>
      </c>
      <c r="U28" s="88">
        <f>PRODUCT('77'!AG28,1)</f>
        <v>-38</v>
      </c>
      <c r="V28" s="89">
        <f>PRODUCT('77'!AI28,1)</f>
        <v>-44</v>
      </c>
      <c r="W28" s="89">
        <f>PRODUCT('77'!AK28,1)</f>
        <v>-51</v>
      </c>
      <c r="X28" s="89">
        <f>PRODUCT('77'!AM28,1)</f>
        <v>-57</v>
      </c>
      <c r="Y28" s="89">
        <f>PRODUCT('77'!AO28,1)</f>
        <v>-63</v>
      </c>
      <c r="Z28" s="89">
        <f>PRODUCT('77'!AQ28,1)</f>
        <v>-65</v>
      </c>
      <c r="AA28" s="89">
        <f>PRODUCT('77'!AS28,1)</f>
        <v>-68</v>
      </c>
      <c r="AB28" s="89">
        <f>PRODUCT('77'!AU28,1)</f>
        <v>-71</v>
      </c>
      <c r="AC28" s="89">
        <f>PRODUCT('77'!AW28,1)</f>
        <v>-70</v>
      </c>
      <c r="AD28" s="89">
        <f>PRODUCT('77'!AY28,1)</f>
        <v>-71</v>
      </c>
      <c r="AE28" s="89">
        <f>PRODUCT('77'!BA28,1)</f>
        <v>-72</v>
      </c>
      <c r="AF28" s="89">
        <f>PRODUCT('77'!BC28,1)</f>
        <v>-71</v>
      </c>
      <c r="AG28" s="89">
        <f>PRODUCT('77'!BE28,1)</f>
        <v>-69</v>
      </c>
      <c r="AH28" s="89">
        <f>PRODUCT('77'!BG28,1)</f>
        <v>-67</v>
      </c>
      <c r="AI28" s="89">
        <f>PRODUCT('77'!BI28,1)</f>
        <v>-65</v>
      </c>
      <c r="AJ28" s="89">
        <f>PRODUCT('77'!BK28,1)</f>
        <v>-63</v>
      </c>
      <c r="AK28" s="89">
        <f>PRODUCT('77'!BM28,1)</f>
        <v>-62</v>
      </c>
      <c r="AL28" s="89">
        <f>PRODUCT('77'!BO28,1)</f>
        <v>-61</v>
      </c>
      <c r="AM28" s="89">
        <f>PRODUCT('77'!BQ28,1)</f>
        <v>-59</v>
      </c>
      <c r="AN28" s="89">
        <f>PRODUCT('77'!BS28,1)</f>
        <v>-56</v>
      </c>
      <c r="AO28" s="89">
        <f>PRODUCT('77'!BU28,1)</f>
        <v>-50</v>
      </c>
      <c r="AP28" s="89">
        <f>PRODUCT('77'!BW28,1)</f>
        <v>-44</v>
      </c>
      <c r="AQ28" s="88">
        <f>PRODUCT('77'!BY28,1)</f>
        <v>-36</v>
      </c>
      <c r="AR28" s="88">
        <f>PRODUCT('77'!CA28,1)</f>
        <v>-28</v>
      </c>
      <c r="AS28" s="87">
        <f>PRODUCT('77'!CC28,1)</f>
        <v>-19</v>
      </c>
      <c r="AT28" s="87">
        <f>PRODUCT('77'!CE28,1)</f>
        <v>-13</v>
      </c>
      <c r="AU28" s="87">
        <f>PRODUCT('77'!CG28,1)</f>
        <v>-7</v>
      </c>
      <c r="AV28" s="86">
        <f>PRODUCT('77'!CI28,1)</f>
        <v>0</v>
      </c>
      <c r="BD28" s="27"/>
      <c r="BE28"/>
    </row>
    <row r="29" spans="1:58" ht="15" customHeight="1">
      <c r="D29" s="28">
        <v>5</v>
      </c>
      <c r="H29" s="85">
        <f>PRODUCT('77'!H29,1)</f>
        <v>22</v>
      </c>
      <c r="I29" s="85">
        <f>PRODUCT('77'!I29,1)</f>
        <v>29</v>
      </c>
      <c r="J29" s="86">
        <f>PRODUCT('77'!K29,1)</f>
        <v>0</v>
      </c>
      <c r="K29" s="86">
        <f>PRODUCT('77'!M29,1)</f>
        <v>3</v>
      </c>
      <c r="L29" s="86">
        <f>PRODUCT('77'!O29,1)</f>
        <v>2</v>
      </c>
      <c r="M29" s="86">
        <f>PRODUCT('77'!Q29,1)</f>
        <v>2</v>
      </c>
      <c r="N29" s="86">
        <f>PRODUCT('77'!S29,1)</f>
        <v>3</v>
      </c>
      <c r="O29" s="87">
        <f>PRODUCT('77'!U29,1)</f>
        <v>4</v>
      </c>
      <c r="P29" s="87">
        <f>PRODUCT('77'!W29,1)</f>
        <v>4</v>
      </c>
      <c r="Q29" s="87">
        <f>PRODUCT('77'!Y29,1)</f>
        <v>5</v>
      </c>
      <c r="R29" s="87">
        <f>PRODUCT('77'!AA29,1)</f>
        <v>6</v>
      </c>
      <c r="S29" s="88">
        <f>PRODUCT('77'!AC29,1)</f>
        <v>4</v>
      </c>
      <c r="T29" s="88">
        <f>PRODUCT('77'!AE29,1)</f>
        <v>4</v>
      </c>
      <c r="U29" s="88">
        <f>PRODUCT('77'!AG29,1)</f>
        <v>3</v>
      </c>
      <c r="V29" s="89">
        <f>PRODUCT('77'!AI29,1)</f>
        <v>1</v>
      </c>
      <c r="W29" s="89">
        <f>PRODUCT('77'!AK29,1)</f>
        <v>0</v>
      </c>
      <c r="X29" s="89">
        <f>PRODUCT('77'!AM29,1)</f>
        <v>-2</v>
      </c>
      <c r="Y29" s="89">
        <f>PRODUCT('77'!AO29,1)</f>
        <v>-3</v>
      </c>
      <c r="Z29" s="89">
        <f>PRODUCT('77'!AQ29,1)</f>
        <v>-4</v>
      </c>
      <c r="AA29" s="89">
        <f>PRODUCT('77'!AS29,1)</f>
        <v>-4</v>
      </c>
      <c r="AB29" s="89">
        <f>PRODUCT('77'!AU29,1)</f>
        <v>-6</v>
      </c>
      <c r="AC29" s="89">
        <f>PRODUCT('77'!AW29,1)</f>
        <v>-6</v>
      </c>
      <c r="AD29" s="89">
        <f>PRODUCT('77'!AY29,1)</f>
        <v>-6</v>
      </c>
      <c r="AE29" s="89">
        <f>PRODUCT('77'!BA29,1)</f>
        <v>-8</v>
      </c>
      <c r="AF29" s="89">
        <f>PRODUCT('77'!BC29,1)</f>
        <v>-8</v>
      </c>
      <c r="AG29" s="89">
        <f>PRODUCT('77'!BE29,1)</f>
        <v>-8</v>
      </c>
      <c r="AH29" s="89">
        <f>PRODUCT('77'!BG29,1)</f>
        <v>-8</v>
      </c>
      <c r="AI29" s="89">
        <f>PRODUCT('77'!BI29,1)</f>
        <v>-7</v>
      </c>
      <c r="AJ29" s="89">
        <f>PRODUCT('77'!BK29,1)</f>
        <v>-7</v>
      </c>
      <c r="AK29" s="89">
        <f>PRODUCT('77'!BM29,1)</f>
        <v>-6</v>
      </c>
      <c r="AL29" s="89">
        <f>PRODUCT('77'!BO29,1)</f>
        <v>-6</v>
      </c>
      <c r="AM29" s="89">
        <f>PRODUCT('77'!BQ29,1)</f>
        <v>-5</v>
      </c>
      <c r="AN29" s="89">
        <f>PRODUCT('77'!BS29,1)</f>
        <v>-3</v>
      </c>
      <c r="AO29" s="89">
        <f>PRODUCT('77'!BU29,1)</f>
        <v>-2</v>
      </c>
      <c r="AP29" s="89">
        <f>PRODUCT('77'!BW29,1)</f>
        <v>-2</v>
      </c>
      <c r="AQ29" s="88">
        <f>PRODUCT('77'!BY29,1)</f>
        <v>-1</v>
      </c>
      <c r="AR29" s="88">
        <f>PRODUCT('77'!CA29,1)</f>
        <v>-1</v>
      </c>
      <c r="AS29" s="87">
        <f>PRODUCT('77'!CC29,1)</f>
        <v>-1</v>
      </c>
      <c r="AT29" s="87">
        <f>PRODUCT('77'!CE29,1)</f>
        <v>-1</v>
      </c>
      <c r="AU29" s="87">
        <f>PRODUCT('77'!CG29,1)</f>
        <v>-1</v>
      </c>
      <c r="AV29" s="86">
        <f>PRODUCT('77'!CI29,1)</f>
        <v>0</v>
      </c>
      <c r="BD29" s="27"/>
      <c r="BE29"/>
    </row>
    <row r="30" spans="1:58" ht="15" customHeight="1">
      <c r="A30">
        <v>17</v>
      </c>
      <c r="B30" t="s">
        <v>59</v>
      </c>
      <c r="C30" t="s">
        <v>60</v>
      </c>
      <c r="D30" s="28">
        <v>3</v>
      </c>
      <c r="E30">
        <v>2</v>
      </c>
      <c r="F30" t="s">
        <v>61</v>
      </c>
      <c r="G30" t="s">
        <v>62</v>
      </c>
      <c r="H30" s="85">
        <f>PRODUCT('77'!H30,1)</f>
        <v>-1</v>
      </c>
      <c r="I30" s="85">
        <f>PRODUCT('77'!I30,1)</f>
        <v>-43</v>
      </c>
      <c r="J30" s="86">
        <f>PRODUCT('77'!K30,1)</f>
        <v>0</v>
      </c>
      <c r="K30" s="86">
        <f>PRODUCT('77'!M30,1)</f>
        <v>0</v>
      </c>
      <c r="L30" s="86">
        <f>PRODUCT('77'!O30,1)</f>
        <v>0</v>
      </c>
      <c r="M30" s="86">
        <f>PRODUCT('77'!Q30,1)</f>
        <v>-1</v>
      </c>
      <c r="N30" s="86">
        <f>PRODUCT('77'!S30,1)</f>
        <v>-2</v>
      </c>
      <c r="O30" s="86">
        <f>PRODUCT('77'!U30,1)</f>
        <v>-2</v>
      </c>
      <c r="P30" s="87">
        <f>PRODUCT('77'!W30,1)</f>
        <v>-5</v>
      </c>
      <c r="Q30" s="87">
        <f>PRODUCT('77'!Y30,1)</f>
        <v>-6</v>
      </c>
      <c r="R30" s="87">
        <f>PRODUCT('77'!AA30,1)</f>
        <v>-8</v>
      </c>
      <c r="S30" s="87">
        <f>PRODUCT('77'!AC30,1)</f>
        <v>-12</v>
      </c>
      <c r="T30" s="87">
        <f>PRODUCT('77'!AE30,1)</f>
        <v>-14</v>
      </c>
      <c r="U30" s="87">
        <f>PRODUCT('77'!AG30,1)</f>
        <v>-17</v>
      </c>
      <c r="V30" s="87">
        <f>PRODUCT('77'!AI30,1)</f>
        <v>-20</v>
      </c>
      <c r="W30" s="88">
        <f>PRODUCT('77'!AK30,1)</f>
        <v>-24</v>
      </c>
      <c r="X30" s="88">
        <f>PRODUCT('77'!AM30,1)</f>
        <v>-28</v>
      </c>
      <c r="Y30" s="88">
        <f>PRODUCT('77'!AO30,1)</f>
        <v>-31</v>
      </c>
      <c r="Z30" s="88">
        <f>PRODUCT('77'!AQ30,1)</f>
        <v>-34</v>
      </c>
      <c r="AA30" s="88">
        <f>PRODUCT('77'!AS30,1)</f>
        <v>-36</v>
      </c>
      <c r="AB30" s="88">
        <f>PRODUCT('77'!AU30,1)</f>
        <v>-38</v>
      </c>
      <c r="AC30" s="88">
        <f>PRODUCT('77'!AW30,1)</f>
        <v>-39</v>
      </c>
      <c r="AD30" s="88">
        <f>PRODUCT('77'!AY30,1)</f>
        <v>-40</v>
      </c>
      <c r="AE30" s="89">
        <f>PRODUCT('77'!BA30,1)</f>
        <v>-41</v>
      </c>
      <c r="AF30" s="88">
        <f>PRODUCT('77'!BC30,1)</f>
        <v>-40</v>
      </c>
      <c r="AG30" s="88">
        <f>PRODUCT('77'!BE30,1)</f>
        <v>-39</v>
      </c>
      <c r="AH30" s="88">
        <f>PRODUCT('77'!BG30,1)</f>
        <v>-38</v>
      </c>
      <c r="AI30" s="88">
        <f>PRODUCT('77'!BI30,1)</f>
        <v>-35</v>
      </c>
      <c r="AJ30" s="88">
        <f>PRODUCT('77'!BK30,1)</f>
        <v>-33</v>
      </c>
      <c r="AK30" s="88">
        <f>PRODUCT('77'!BM30,1)</f>
        <v>-31</v>
      </c>
      <c r="AL30" s="88">
        <f>PRODUCT('77'!BO30,1)</f>
        <v>-29</v>
      </c>
      <c r="AM30" s="88">
        <f>PRODUCT('77'!BQ30,1)</f>
        <v>-27</v>
      </c>
      <c r="AN30" s="88">
        <f>PRODUCT('77'!BS30,1)</f>
        <v>-24</v>
      </c>
      <c r="AO30" s="88">
        <f>PRODUCT('77'!BU30,1)</f>
        <v>-21</v>
      </c>
      <c r="AP30" s="87">
        <f>PRODUCT('77'!BW30,1)</f>
        <v>-19</v>
      </c>
      <c r="AQ30" s="87">
        <f>PRODUCT('77'!BY30,1)</f>
        <v>-15</v>
      </c>
      <c r="AR30" s="87">
        <f>PRODUCT('77'!CA30,1)</f>
        <v>-12</v>
      </c>
      <c r="AS30" s="87">
        <f>PRODUCT('77'!CC30,1)</f>
        <v>-7</v>
      </c>
      <c r="AT30" s="87">
        <f>PRODUCT('77'!CE30,1)</f>
        <v>-5</v>
      </c>
      <c r="AU30" s="86">
        <f>PRODUCT('77'!CG30,1)</f>
        <v>-3</v>
      </c>
      <c r="AV30" s="86">
        <f>PRODUCT('77'!CI30,1)</f>
        <v>0</v>
      </c>
      <c r="BD30" s="27"/>
      <c r="BE30"/>
    </row>
    <row r="31" spans="1:58" ht="15" customHeight="1">
      <c r="A31">
        <v>18</v>
      </c>
      <c r="B31" t="s">
        <v>59</v>
      </c>
      <c r="C31" t="s">
        <v>60</v>
      </c>
      <c r="D31" s="28">
        <v>1</v>
      </c>
      <c r="E31">
        <v>1</v>
      </c>
      <c r="F31" t="s">
        <v>61</v>
      </c>
      <c r="G31" t="s">
        <v>62</v>
      </c>
      <c r="H31" s="85">
        <f>PRODUCT('77'!H31,1)</f>
        <v>-30</v>
      </c>
      <c r="I31" s="85">
        <f>PRODUCT('77'!I31,1)</f>
        <v>50</v>
      </c>
      <c r="J31" s="86">
        <f>PRODUCT('77'!K31,1)</f>
        <v>0</v>
      </c>
      <c r="K31" s="86">
        <f>PRODUCT('77'!M31,1)</f>
        <v>3</v>
      </c>
      <c r="L31" s="86">
        <f>PRODUCT('77'!O31,1)</f>
        <v>4</v>
      </c>
      <c r="M31" s="87">
        <f>PRODUCT('77'!Q31,1)</f>
        <v>6</v>
      </c>
      <c r="N31" s="87">
        <f>PRODUCT('77'!S31,1)</f>
        <v>9</v>
      </c>
      <c r="O31" s="87">
        <f>PRODUCT('77'!U31,1)</f>
        <v>12</v>
      </c>
      <c r="P31" s="87">
        <f>PRODUCT('77'!W31,1)</f>
        <v>12</v>
      </c>
      <c r="Q31" s="87">
        <f>PRODUCT('77'!Y31,1)</f>
        <v>13</v>
      </c>
      <c r="R31" s="87">
        <f>PRODUCT('77'!AA31,1)</f>
        <v>13</v>
      </c>
      <c r="S31" s="87">
        <f>PRODUCT('77'!AC31,1)</f>
        <v>11</v>
      </c>
      <c r="T31" s="87">
        <f>PRODUCT('77'!AE31,1)</f>
        <v>9</v>
      </c>
      <c r="U31" s="87">
        <f>PRODUCT('77'!AG31,1)</f>
        <v>5</v>
      </c>
      <c r="V31" s="86">
        <f>PRODUCT('77'!AI31,1)</f>
        <v>2</v>
      </c>
      <c r="W31" s="86">
        <f>PRODUCT('77'!AK31,1)</f>
        <v>-3</v>
      </c>
      <c r="X31" s="87">
        <f>PRODUCT('77'!AM31,1)</f>
        <v>-10</v>
      </c>
      <c r="Y31" s="87">
        <f>PRODUCT('77'!AO31,1)</f>
        <v>-16</v>
      </c>
      <c r="Z31" s="88">
        <f>PRODUCT('77'!AQ31,1)</f>
        <v>-21</v>
      </c>
      <c r="AA31" s="88">
        <f>PRODUCT('77'!AS31,1)</f>
        <v>-28</v>
      </c>
      <c r="AB31" s="88">
        <f>PRODUCT('77'!AU31,1)</f>
        <v>-33</v>
      </c>
      <c r="AC31" s="88">
        <f>PRODUCT('77'!AW31,1)</f>
        <v>-35</v>
      </c>
      <c r="AD31" s="88">
        <f>PRODUCT('77'!AY31,1)</f>
        <v>-37</v>
      </c>
      <c r="AE31" s="88">
        <f>PRODUCT('77'!BA31,1)</f>
        <v>-38</v>
      </c>
      <c r="AF31" s="88">
        <f>PRODUCT('77'!BC31,1)</f>
        <v>-39</v>
      </c>
      <c r="AG31" s="88">
        <f>PRODUCT('77'!BE31,1)</f>
        <v>-38</v>
      </c>
      <c r="AH31" s="88">
        <f>PRODUCT('77'!BG31,1)</f>
        <v>-37</v>
      </c>
      <c r="AI31" s="88">
        <f>PRODUCT('77'!BI31,1)</f>
        <v>-37</v>
      </c>
      <c r="AJ31" s="88">
        <f>PRODUCT('77'!BK31,1)</f>
        <v>-34</v>
      </c>
      <c r="AK31" s="88">
        <f>PRODUCT('77'!BM31,1)</f>
        <v>-33</v>
      </c>
      <c r="AL31" s="88">
        <f>PRODUCT('77'!BO31,1)</f>
        <v>-29</v>
      </c>
      <c r="AM31" s="88">
        <f>PRODUCT('77'!BQ31,1)</f>
        <v>-27</v>
      </c>
      <c r="AN31" s="88">
        <f>PRODUCT('77'!BS31,1)</f>
        <v>-25</v>
      </c>
      <c r="AO31" s="88">
        <f>PRODUCT('77'!BU31,1)</f>
        <v>-21</v>
      </c>
      <c r="AP31" s="87">
        <f>PRODUCT('77'!BW31,1)</f>
        <v>-19</v>
      </c>
      <c r="AQ31" s="87">
        <f>PRODUCT('77'!BY31,1)</f>
        <v>-17</v>
      </c>
      <c r="AR31" s="87">
        <f>PRODUCT('77'!CA31,1)</f>
        <v>-14</v>
      </c>
      <c r="AS31" s="87">
        <f>PRODUCT('77'!CC31,1)</f>
        <v>-10</v>
      </c>
      <c r="AT31" s="87">
        <f>PRODUCT('77'!CE31,1)</f>
        <v>-8</v>
      </c>
      <c r="AU31" s="87">
        <f>PRODUCT('77'!CG31,1)</f>
        <v>-7</v>
      </c>
      <c r="AV31" s="86">
        <f>PRODUCT('77'!CI31,1)</f>
        <v>0</v>
      </c>
      <c r="BD31" s="27"/>
      <c r="BE31"/>
    </row>
    <row r="32" spans="1:58" ht="15" customHeight="1">
      <c r="D32" s="33"/>
      <c r="H32" s="4"/>
      <c r="I32" s="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BE32"/>
      <c r="BF32" s="27"/>
    </row>
    <row r="33" spans="4:58" ht="15" customHeight="1">
      <c r="D33" s="33"/>
      <c r="H33" s="4"/>
      <c r="I33" s="4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BE33"/>
      <c r="BF33" s="27"/>
    </row>
    <row r="34" spans="4:58" ht="15" customHeight="1">
      <c r="D34" s="33"/>
      <c r="H34" s="4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BE34"/>
      <c r="BF34" s="27"/>
    </row>
    <row r="35" spans="4:58" ht="15" customHeight="1">
      <c r="D35" s="33" t="s">
        <v>48</v>
      </c>
      <c r="H35" s="81">
        <f>SUM(H2:H34)</f>
        <v>161</v>
      </c>
      <c r="I35" s="81">
        <f>SUM(I2:I34)</f>
        <v>282.97900000000004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BE35"/>
      <c r="BF35" s="27"/>
    </row>
    <row r="36" spans="4:58" ht="24.95" customHeight="1">
      <c r="D36" s="33" t="s">
        <v>49</v>
      </c>
      <c r="H36" s="81">
        <f>PRODUCT(H35,1/18)</f>
        <v>8.9444444444444446</v>
      </c>
      <c r="I36" s="81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34" t="s">
        <v>53</v>
      </c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</row>
    <row r="37" spans="4:58" s="1" customFormat="1" ht="20.25">
      <c r="D37" s="35"/>
      <c r="H37" s="36"/>
      <c r="I37" s="37" t="str">
        <f>IF(BR77&lt;1.1,"A+",IF(BR77&lt;2.1,"A",IF(BR77&lt;3.1,"A-",IF(BR77&lt;4.1,"B+",IF(BR77&lt;5.1,"B",IF(BR77&lt;6.1,"B-",IF(BR77&lt;7.1,"C+",IF(BR77&lt;8.1,"C",IF(BR77&lt;9.1,"C-",IF(BR77&lt;10.1,"D+",IF(BR77&lt;11.1,"D",IF(BR77&lt;12.1,"D-",IF(BR77&lt;13.1,"F")))))))))))))</f>
        <v>B-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BE37" s="27"/>
    </row>
    <row r="38" spans="4:58" s="1" customFormat="1" ht="12.75">
      <c r="D38" s="9"/>
      <c r="H38" s="38"/>
      <c r="I38" s="39" t="s">
        <v>63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10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BE38" s="27"/>
    </row>
    <row r="39" spans="4:58" s="1" customFormat="1" ht="69.95" customHeight="1">
      <c r="D39" t="s">
        <v>3</v>
      </c>
      <c r="H39" s="4"/>
      <c r="I39" s="2"/>
      <c r="J39" s="2" t="s">
        <v>47</v>
      </c>
      <c r="K39" s="26" t="s">
        <v>9</v>
      </c>
      <c r="L39" s="26" t="s">
        <v>10</v>
      </c>
      <c r="M39" s="26" t="s">
        <v>11</v>
      </c>
      <c r="N39" s="26" t="s">
        <v>12</v>
      </c>
      <c r="O39" s="26" t="s">
        <v>13</v>
      </c>
      <c r="P39" s="26" t="s">
        <v>14</v>
      </c>
      <c r="Q39" s="26" t="s">
        <v>15</v>
      </c>
      <c r="R39" s="26" t="s">
        <v>16</v>
      </c>
      <c r="S39" s="26" t="s">
        <v>17</v>
      </c>
      <c r="T39" s="26" t="s">
        <v>18</v>
      </c>
      <c r="U39" s="26" t="s">
        <v>19</v>
      </c>
      <c r="V39" s="26" t="s">
        <v>20</v>
      </c>
      <c r="W39" s="26" t="s">
        <v>21</v>
      </c>
      <c r="X39" s="26" t="s">
        <v>22</v>
      </c>
      <c r="Y39" s="26" t="s">
        <v>23</v>
      </c>
      <c r="Z39" s="26" t="s">
        <v>24</v>
      </c>
      <c r="AA39" s="26" t="s">
        <v>25</v>
      </c>
      <c r="AB39" s="26" t="s">
        <v>26</v>
      </c>
      <c r="AC39" s="26" t="s">
        <v>27</v>
      </c>
      <c r="AD39" s="107">
        <v>20</v>
      </c>
      <c r="AE39" s="26" t="s">
        <v>28</v>
      </c>
      <c r="AF39" s="26" t="s">
        <v>29</v>
      </c>
      <c r="AG39" s="26" t="s">
        <v>30</v>
      </c>
      <c r="AH39" s="26" t="s">
        <v>31</v>
      </c>
      <c r="AI39" s="26" t="s">
        <v>32</v>
      </c>
      <c r="AJ39" s="26" t="s">
        <v>33</v>
      </c>
      <c r="AK39" s="26" t="s">
        <v>34</v>
      </c>
      <c r="AL39" s="26" t="s">
        <v>35</v>
      </c>
      <c r="AM39" s="26" t="s">
        <v>36</v>
      </c>
      <c r="AN39" s="26" t="s">
        <v>37</v>
      </c>
      <c r="AO39" s="26" t="s">
        <v>38</v>
      </c>
      <c r="AP39" s="26" t="s">
        <v>39</v>
      </c>
      <c r="AQ39" s="26" t="s">
        <v>40</v>
      </c>
      <c r="AR39" s="26" t="s">
        <v>41</v>
      </c>
      <c r="AS39" s="26" t="s">
        <v>42</v>
      </c>
      <c r="AT39" s="26" t="s">
        <v>43</v>
      </c>
      <c r="AU39" s="26" t="s">
        <v>44</v>
      </c>
      <c r="AV39" s="26" t="s">
        <v>45</v>
      </c>
      <c r="AW39" s="26" t="s">
        <v>46</v>
      </c>
      <c r="AY39" s="7" t="s">
        <v>50</v>
      </c>
      <c r="BE39" s="27"/>
    </row>
    <row r="40" spans="4:58" s="1" customFormat="1" ht="69.95" customHeight="1">
      <c r="D40" s="28">
        <v>59</v>
      </c>
      <c r="H40" s="4"/>
      <c r="I40" s="2"/>
      <c r="J40" s="81">
        <f t="shared" ref="J40:J67" si="0">PRODUCT(-H2,1/39)</f>
        <v>7.6923076923076927E-2</v>
      </c>
      <c r="K40" s="81">
        <f t="shared" ref="K40:AV40" si="1">SUM($AW40,J2,-K2)</f>
        <v>-2.9230769230769229</v>
      </c>
      <c r="L40" s="81">
        <f t="shared" si="1"/>
        <v>1.0769230769230771</v>
      </c>
      <c r="M40" s="81">
        <f t="shared" si="1"/>
        <v>7.6923076923077094E-2</v>
      </c>
      <c r="N40" s="81">
        <f t="shared" si="1"/>
        <v>-0.92307692307692291</v>
      </c>
      <c r="O40" s="81">
        <f t="shared" si="1"/>
        <v>-0.92307692307692291</v>
      </c>
      <c r="P40" s="81">
        <f t="shared" si="1"/>
        <v>7.692307692307665E-2</v>
      </c>
      <c r="Q40" s="81">
        <f t="shared" si="1"/>
        <v>-0.92307692307692335</v>
      </c>
      <c r="R40" s="81">
        <f t="shared" si="1"/>
        <v>-0.92307692307692335</v>
      </c>
      <c r="S40" s="81">
        <f t="shared" si="1"/>
        <v>2.0769230769230766</v>
      </c>
      <c r="T40" s="81">
        <f t="shared" si="1"/>
        <v>7.692307692307665E-2</v>
      </c>
      <c r="U40" s="81">
        <f t="shared" si="1"/>
        <v>1.0769230769230766</v>
      </c>
      <c r="V40" s="81">
        <f t="shared" si="1"/>
        <v>2.0769230769230771</v>
      </c>
      <c r="W40" s="81">
        <f t="shared" si="1"/>
        <v>1.0769230769230769</v>
      </c>
      <c r="X40" s="81">
        <f t="shared" si="1"/>
        <v>2.0769230769230771</v>
      </c>
      <c r="Y40" s="81">
        <f t="shared" si="1"/>
        <v>1.0769230769230769</v>
      </c>
      <c r="Z40" s="81">
        <f t="shared" si="1"/>
        <v>1.0769230769230771</v>
      </c>
      <c r="AA40" s="81">
        <f t="shared" si="1"/>
        <v>7.6923076923077094E-2</v>
      </c>
      <c r="AB40" s="81">
        <f t="shared" si="1"/>
        <v>2.0769230769230771</v>
      </c>
      <c r="AC40" s="81">
        <f t="shared" si="1"/>
        <v>7.692307692307665E-2</v>
      </c>
      <c r="AD40" s="81">
        <f t="shared" si="1"/>
        <v>7.692307692307665E-2</v>
      </c>
      <c r="AE40" s="81">
        <f t="shared" si="1"/>
        <v>2.0769230769230766</v>
      </c>
      <c r="AF40" s="81">
        <f t="shared" si="1"/>
        <v>7.692307692307665E-2</v>
      </c>
      <c r="AG40" s="81">
        <f t="shared" si="1"/>
        <v>7.692307692307665E-2</v>
      </c>
      <c r="AH40" s="81">
        <f t="shared" si="1"/>
        <v>7.692307692307665E-2</v>
      </c>
      <c r="AI40" s="81">
        <f t="shared" si="1"/>
        <v>-0.92307692307692335</v>
      </c>
      <c r="AJ40" s="81">
        <f t="shared" si="1"/>
        <v>7.692307692307665E-2</v>
      </c>
      <c r="AK40" s="81">
        <f t="shared" si="1"/>
        <v>-0.92307692307692335</v>
      </c>
      <c r="AL40" s="81">
        <f t="shared" si="1"/>
        <v>7.692307692307665E-2</v>
      </c>
      <c r="AM40" s="81">
        <f t="shared" si="1"/>
        <v>-0.92307692307692335</v>
      </c>
      <c r="AN40" s="81">
        <f t="shared" si="1"/>
        <v>-1.9230769230769234</v>
      </c>
      <c r="AO40" s="81">
        <f t="shared" si="1"/>
        <v>-0.92307692307692291</v>
      </c>
      <c r="AP40" s="81">
        <f t="shared" si="1"/>
        <v>7.6923076923076872E-2</v>
      </c>
      <c r="AQ40" s="81">
        <f t="shared" si="1"/>
        <v>-0.92307692307692313</v>
      </c>
      <c r="AR40" s="81">
        <f t="shared" si="1"/>
        <v>7.6923076923076872E-2</v>
      </c>
      <c r="AS40" s="81">
        <f t="shared" si="1"/>
        <v>7.6923076923076872E-2</v>
      </c>
      <c r="AT40" s="81">
        <f t="shared" si="1"/>
        <v>7.6923076923076872E-2</v>
      </c>
      <c r="AU40" s="81">
        <f t="shared" si="1"/>
        <v>7.6923076923076872E-2</v>
      </c>
      <c r="AV40" s="81">
        <f t="shared" si="1"/>
        <v>-0.92307692307692313</v>
      </c>
      <c r="AW40" s="81">
        <f t="shared" ref="AW40:AW67" si="2">PRODUCT(-H2,1/39)</f>
        <v>7.6923076923076927E-2</v>
      </c>
      <c r="AY40" s="1">
        <f>'77'!CO2</f>
        <v>3.9200000000000004</v>
      </c>
      <c r="BE40" s="27"/>
    </row>
    <row r="41" spans="4:58" s="1" customFormat="1" ht="69.95" customHeight="1">
      <c r="D41" s="28">
        <v>57</v>
      </c>
      <c r="H41" s="4"/>
      <c r="I41" s="2"/>
      <c r="J41" s="81">
        <f t="shared" si="0"/>
        <v>-0.5641025641025641</v>
      </c>
      <c r="K41" s="81">
        <f t="shared" ref="K41" si="3">SUM($AW41,J3,-K3)</f>
        <v>-1.5641025641025641</v>
      </c>
      <c r="L41" s="81">
        <f t="shared" ref="L41" si="4">SUM($AW41,K3,-L3)</f>
        <v>-0.5641025641025641</v>
      </c>
      <c r="M41" s="81">
        <f t="shared" ref="M41" si="5">SUM($AW41,L3,-M3)</f>
        <v>0.4358974358974359</v>
      </c>
      <c r="N41" s="81">
        <f t="shared" ref="N41" si="6">SUM($AW41,M3,-N3)</f>
        <v>0.4358974358974359</v>
      </c>
      <c r="O41" s="81">
        <f t="shared" ref="O41" si="7">SUM($AW41,N3,-O3)</f>
        <v>0.4358974358974359</v>
      </c>
      <c r="P41" s="81">
        <f t="shared" ref="P41" si="8">SUM($AW41,O3,-P3)</f>
        <v>1.4358974358974361</v>
      </c>
      <c r="Q41" s="81">
        <f t="shared" ref="Q41" si="9">SUM($AW41,P3,-Q3)</f>
        <v>0.43589743589743613</v>
      </c>
      <c r="R41" s="81">
        <f t="shared" ref="R41" si="10">SUM($AW41,Q3,-R3)</f>
        <v>2.4358974358974361</v>
      </c>
      <c r="S41" s="81">
        <f t="shared" ref="S41" si="11">SUM($AW41,R3,-S3)</f>
        <v>4.4358974358974361</v>
      </c>
      <c r="T41" s="81">
        <f t="shared" ref="T41" si="12">SUM($AW41,S3,-T3)</f>
        <v>3.4358974358974361</v>
      </c>
      <c r="U41" s="81">
        <f t="shared" ref="U41" si="13">SUM($AW41,T3,-U3)</f>
        <v>1.4358974358974343</v>
      </c>
      <c r="V41" s="81">
        <f t="shared" ref="V41" si="14">SUM($AW41,U3,-V3)</f>
        <v>0.43589743589743435</v>
      </c>
      <c r="W41" s="81">
        <f t="shared" ref="W41" si="15">SUM($AW41,V3,-W3)</f>
        <v>1.4358974358974343</v>
      </c>
      <c r="X41" s="81">
        <f t="shared" ref="X41" si="16">SUM($AW41,W3,-X3)</f>
        <v>-1.5641025641025657</v>
      </c>
      <c r="Y41" s="81">
        <f t="shared" ref="Y41" si="17">SUM($AW41,X3,-Y3)</f>
        <v>-1.5641025641025657</v>
      </c>
      <c r="Z41" s="81">
        <f t="shared" ref="Z41" si="18">SUM($AW41,Y3,-Z3)</f>
        <v>-1.5641025641025657</v>
      </c>
      <c r="AA41" s="81">
        <f t="shared" ref="AA41" si="19">SUM($AW41,Z3,-AA3)</f>
        <v>-0.56410256410256565</v>
      </c>
      <c r="AB41" s="81">
        <f t="shared" ref="AB41" si="20">SUM($AW41,AA3,-AB3)</f>
        <v>-1.5641025641025657</v>
      </c>
      <c r="AC41" s="81">
        <f t="shared" ref="AC41" si="21">SUM($AW41,AB3,-AC3)</f>
        <v>-1.5641025641025657</v>
      </c>
      <c r="AD41" s="81">
        <f t="shared" ref="AD41" si="22">SUM($AW41,AC3,-AD3)</f>
        <v>-1.5641025641025657</v>
      </c>
      <c r="AE41" s="81">
        <f t="shared" ref="AE41" si="23">SUM($AW41,AD3,-AE3)</f>
        <v>-0.56410256410256565</v>
      </c>
      <c r="AF41" s="81">
        <f t="shared" ref="AF41" si="24">SUM($AW41,AE3,-AF3)</f>
        <v>-1.5641025641025657</v>
      </c>
      <c r="AG41" s="81">
        <f t="shared" ref="AG41" si="25">SUM($AW41,AF3,-AG3)</f>
        <v>-0.56410256410256387</v>
      </c>
      <c r="AH41" s="81">
        <f t="shared" ref="AH41" si="26">SUM($AW41,AG3,-AH3)</f>
        <v>-0.56410256410256387</v>
      </c>
      <c r="AI41" s="81">
        <f t="shared" ref="AI41" si="27">SUM($AW41,AH3,-AI3)</f>
        <v>0.43589743589743613</v>
      </c>
      <c r="AJ41" s="81">
        <f t="shared" ref="AJ41" si="28">SUM($AW41,AI3,-AJ3)</f>
        <v>0.43589743589743435</v>
      </c>
      <c r="AK41" s="81">
        <f t="shared" ref="AK41" si="29">SUM($AW41,AJ3,-AK3)</f>
        <v>-3.5641025641025657</v>
      </c>
      <c r="AL41" s="81">
        <f t="shared" ref="AL41" si="30">SUM($AW41,AK3,-AL3)</f>
        <v>-1.5641025641025639</v>
      </c>
      <c r="AM41" s="81">
        <f t="shared" ref="AM41" si="31">SUM($AW41,AL3,-AM3)</f>
        <v>-1.5641025641025639</v>
      </c>
      <c r="AN41" s="81">
        <f t="shared" ref="AN41" si="32">SUM($AW41,AM3,-AN3)</f>
        <v>-4.5641025641025639</v>
      </c>
      <c r="AO41" s="81">
        <f t="shared" ref="AO41" si="33">SUM($AW41,AN3,-AO3)</f>
        <v>-4.5641025641025639</v>
      </c>
      <c r="AP41" s="81">
        <f t="shared" ref="AP41" si="34">SUM($AW41,AO3,-AP3)</f>
        <v>-2.5641025641025639</v>
      </c>
      <c r="AQ41" s="81">
        <f t="shared" ref="AQ41" si="35">SUM($AW41,AP3,-AQ3)</f>
        <v>-2.5641025641025639</v>
      </c>
      <c r="AR41" s="81">
        <f t="shared" ref="AR41" si="36">SUM($AW41,AQ3,-AR3)</f>
        <v>-0.5641025641025641</v>
      </c>
      <c r="AS41" s="81">
        <f t="shared" ref="AS41" si="37">SUM($AW41,AR3,-AS3)</f>
        <v>-0.5641025641025641</v>
      </c>
      <c r="AT41" s="81">
        <f t="shared" ref="AT41" si="38">SUM($AW41,AS3,-AT3)</f>
        <v>-0.5641025641025641</v>
      </c>
      <c r="AU41" s="81">
        <f t="shared" ref="AU41" si="39">SUM($AW41,AT3,-AU3)</f>
        <v>-0.5641025641025641</v>
      </c>
      <c r="AV41" s="81">
        <f t="shared" ref="AV41" si="40">SUM($AW41,AU3,-AV3)</f>
        <v>-0.5641025641025641</v>
      </c>
      <c r="AW41" s="81">
        <f t="shared" si="2"/>
        <v>-0.5641025641025641</v>
      </c>
      <c r="AY41" s="1">
        <f>'77'!CO3</f>
        <v>10.386666666666667</v>
      </c>
      <c r="BE41" s="27"/>
    </row>
    <row r="42" spans="4:58" s="1" customFormat="1" ht="69.95" customHeight="1">
      <c r="D42" s="28">
        <v>55</v>
      </c>
      <c r="H42" s="4"/>
      <c r="I42" s="2"/>
      <c r="J42" s="81">
        <f t="shared" si="0"/>
        <v>-0.58974358974358976</v>
      </c>
      <c r="K42" s="81">
        <f t="shared" ref="K42:AV42" si="41">SUM($AW42,J4,-K4)</f>
        <v>-1.5897435897435899</v>
      </c>
      <c r="L42" s="81">
        <f t="shared" si="41"/>
        <v>-1.5897435897435899</v>
      </c>
      <c r="M42" s="81">
        <f t="shared" si="41"/>
        <v>-1.5897435897435899</v>
      </c>
      <c r="N42" s="81">
        <f t="shared" si="41"/>
        <v>-2.5897435897435899</v>
      </c>
      <c r="O42" s="81">
        <f t="shared" si="41"/>
        <v>-2.5897435897435894</v>
      </c>
      <c r="P42" s="81">
        <f t="shared" si="41"/>
        <v>-0.58974358974358942</v>
      </c>
      <c r="Q42" s="81">
        <f t="shared" si="41"/>
        <v>-2.5897435897435894</v>
      </c>
      <c r="R42" s="81">
        <f t="shared" si="41"/>
        <v>-1.5897435897435894</v>
      </c>
      <c r="S42" s="81">
        <f t="shared" si="41"/>
        <v>0.41025641025641058</v>
      </c>
      <c r="T42" s="81">
        <f t="shared" si="41"/>
        <v>-0.58974358974358942</v>
      </c>
      <c r="U42" s="81">
        <f t="shared" si="41"/>
        <v>0.41025641025641058</v>
      </c>
      <c r="V42" s="81">
        <f t="shared" si="41"/>
        <v>0.41025641025641058</v>
      </c>
      <c r="W42" s="81">
        <f t="shared" si="41"/>
        <v>0.41025641025641058</v>
      </c>
      <c r="X42" s="81">
        <f t="shared" si="41"/>
        <v>1.4102564102564106</v>
      </c>
      <c r="Y42" s="81">
        <f t="shared" si="41"/>
        <v>0.41025641025641013</v>
      </c>
      <c r="Z42" s="81">
        <f t="shared" si="41"/>
        <v>-0.58974358974358987</v>
      </c>
      <c r="AA42" s="81">
        <f t="shared" si="41"/>
        <v>-0.58974358974358987</v>
      </c>
      <c r="AB42" s="81">
        <f t="shared" si="41"/>
        <v>0.41025641025641013</v>
      </c>
      <c r="AC42" s="81">
        <f t="shared" si="41"/>
        <v>-0.58974358974358987</v>
      </c>
      <c r="AD42" s="81">
        <f t="shared" si="41"/>
        <v>-0.58974358974358987</v>
      </c>
      <c r="AE42" s="81">
        <f t="shared" si="41"/>
        <v>0.41025641025641013</v>
      </c>
      <c r="AF42" s="81">
        <f t="shared" si="41"/>
        <v>-0.58974358974358976</v>
      </c>
      <c r="AG42" s="81">
        <f t="shared" si="41"/>
        <v>-0.58974358974358976</v>
      </c>
      <c r="AH42" s="81">
        <f t="shared" si="41"/>
        <v>-1.5897435897435899</v>
      </c>
      <c r="AI42" s="81">
        <f t="shared" si="41"/>
        <v>-0.58974358974358987</v>
      </c>
      <c r="AJ42" s="81">
        <f t="shared" si="41"/>
        <v>-0.58974358974358987</v>
      </c>
      <c r="AK42" s="81">
        <f t="shared" si="41"/>
        <v>-1.5897435897435899</v>
      </c>
      <c r="AL42" s="81">
        <f t="shared" si="41"/>
        <v>-0.58974358974358987</v>
      </c>
      <c r="AM42" s="81">
        <f t="shared" si="41"/>
        <v>0.41025641025641013</v>
      </c>
      <c r="AN42" s="81">
        <f t="shared" si="41"/>
        <v>-1.5897435897435899</v>
      </c>
      <c r="AO42" s="81">
        <f t="shared" si="41"/>
        <v>-1.5897435897435899</v>
      </c>
      <c r="AP42" s="81">
        <f t="shared" si="41"/>
        <v>0.41025641025641013</v>
      </c>
      <c r="AQ42" s="81">
        <f t="shared" si="41"/>
        <v>0.41025641025641013</v>
      </c>
      <c r="AR42" s="81">
        <f t="shared" si="41"/>
        <v>-0.58974358974358987</v>
      </c>
      <c r="AS42" s="81">
        <f t="shared" si="41"/>
        <v>1.4102564102564101</v>
      </c>
      <c r="AT42" s="81">
        <f t="shared" si="41"/>
        <v>-0.58974358974358976</v>
      </c>
      <c r="AU42" s="81">
        <f t="shared" si="41"/>
        <v>0.41025641025641024</v>
      </c>
      <c r="AV42" s="81">
        <f t="shared" si="41"/>
        <v>-1.5897435897435899</v>
      </c>
      <c r="AW42" s="81">
        <f t="shared" si="2"/>
        <v>-0.58974358974358976</v>
      </c>
      <c r="AY42" s="1">
        <f>'77'!CO4</f>
        <v>3.5333333333333337</v>
      </c>
      <c r="BE42" s="27"/>
    </row>
    <row r="43" spans="4:58" s="1" customFormat="1" ht="69.95" customHeight="1">
      <c r="D43" s="28">
        <v>53</v>
      </c>
      <c r="H43" s="4"/>
      <c r="I43" s="2"/>
      <c r="J43" s="81">
        <f t="shared" si="0"/>
        <v>0.76923076923076916</v>
      </c>
      <c r="K43" s="81">
        <f t="shared" ref="K43:AV44" si="42">SUM($AW43,J5,-K5)</f>
        <v>-1.2307692307692308</v>
      </c>
      <c r="L43" s="81">
        <f t="shared" si="42"/>
        <v>-0.23076923076923084</v>
      </c>
      <c r="M43" s="81">
        <f t="shared" si="42"/>
        <v>-1.2307692307692308</v>
      </c>
      <c r="N43" s="81">
        <f t="shared" si="42"/>
        <v>-1.2307692307692308</v>
      </c>
      <c r="O43" s="81">
        <f t="shared" si="42"/>
        <v>-2.2307692307692308</v>
      </c>
      <c r="P43" s="81">
        <f t="shared" si="42"/>
        <v>-0.23076923076922995</v>
      </c>
      <c r="Q43" s="81">
        <f t="shared" si="42"/>
        <v>-1.2307692307692299</v>
      </c>
      <c r="R43" s="81">
        <f t="shared" si="42"/>
        <v>-1.2307692307692299</v>
      </c>
      <c r="S43" s="81">
        <f t="shared" si="42"/>
        <v>0.76923076923077005</v>
      </c>
      <c r="T43" s="81">
        <f t="shared" si="42"/>
        <v>-2.2307692307692299</v>
      </c>
      <c r="U43" s="81">
        <f t="shared" si="42"/>
        <v>-1.2307692307692299</v>
      </c>
      <c r="V43" s="81">
        <f t="shared" si="42"/>
        <v>-1.2307692307692299</v>
      </c>
      <c r="W43" s="81">
        <f t="shared" si="42"/>
        <v>-1.2307692307692299</v>
      </c>
      <c r="X43" s="81">
        <f t="shared" si="42"/>
        <v>-1.2307692307692299</v>
      </c>
      <c r="Y43" s="81">
        <f t="shared" si="42"/>
        <v>-1.2307692307692299</v>
      </c>
      <c r="Z43" s="81">
        <f t="shared" si="42"/>
        <v>-1.2307692307692299</v>
      </c>
      <c r="AA43" s="81">
        <f t="shared" si="42"/>
        <v>-3.2307692307692299</v>
      </c>
      <c r="AB43" s="81">
        <f t="shared" si="42"/>
        <v>-3.2307692307692335</v>
      </c>
      <c r="AC43" s="81">
        <f t="shared" si="42"/>
        <v>-3.2307692307692335</v>
      </c>
      <c r="AD43" s="81">
        <f t="shared" si="42"/>
        <v>4.7692307692307665</v>
      </c>
      <c r="AE43" s="81">
        <f t="shared" si="42"/>
        <v>3.7692307692307665</v>
      </c>
      <c r="AF43" s="81">
        <f t="shared" si="42"/>
        <v>3.7692307692307665</v>
      </c>
      <c r="AG43" s="81">
        <f t="shared" si="42"/>
        <v>3.7692307692307665</v>
      </c>
      <c r="AH43" s="81">
        <f t="shared" si="42"/>
        <v>4.7692307692307701</v>
      </c>
      <c r="AI43" s="81">
        <f t="shared" si="42"/>
        <v>4.7692307692307701</v>
      </c>
      <c r="AJ43" s="81">
        <f t="shared" si="42"/>
        <v>2.7692307692307701</v>
      </c>
      <c r="AK43" s="81">
        <f t="shared" si="42"/>
        <v>4.7692307692307701</v>
      </c>
      <c r="AL43" s="81">
        <f t="shared" si="42"/>
        <v>3.7692307692307701</v>
      </c>
      <c r="AM43" s="81">
        <f t="shared" si="42"/>
        <v>1.7692307692307701</v>
      </c>
      <c r="AN43" s="81">
        <f t="shared" si="42"/>
        <v>0.76923076923077005</v>
      </c>
      <c r="AO43" s="81">
        <f t="shared" si="42"/>
        <v>0.76923076923077005</v>
      </c>
      <c r="AP43" s="81">
        <f t="shared" si="42"/>
        <v>2.7692307692307701</v>
      </c>
      <c r="AQ43" s="81">
        <f t="shared" si="42"/>
        <v>0.76923076923077005</v>
      </c>
      <c r="AR43" s="81">
        <f t="shared" si="42"/>
        <v>3.7692307692307701</v>
      </c>
      <c r="AS43" s="81">
        <f t="shared" si="42"/>
        <v>2.7692307692307692</v>
      </c>
      <c r="AT43" s="81">
        <f t="shared" si="42"/>
        <v>3.7692307692307692</v>
      </c>
      <c r="AU43" s="81">
        <f t="shared" si="42"/>
        <v>1.7692307692307692</v>
      </c>
      <c r="AV43" s="81">
        <f t="shared" si="42"/>
        <v>0.76923076923076916</v>
      </c>
      <c r="AW43" s="81">
        <f t="shared" si="2"/>
        <v>0.76923076923076916</v>
      </c>
      <c r="AY43" s="1">
        <f>'77'!CO5</f>
        <v>17.333333333333336</v>
      </c>
      <c r="BE43" s="27"/>
    </row>
    <row r="44" spans="4:58" s="1" customFormat="1" ht="69.95" customHeight="1">
      <c r="D44" s="28">
        <v>51</v>
      </c>
      <c r="H44" s="4"/>
      <c r="I44" s="2"/>
      <c r="J44" s="81">
        <f t="shared" si="0"/>
        <v>-0.5641025641025641</v>
      </c>
      <c r="K44" s="81">
        <f t="shared" si="42"/>
        <v>-1.5641025641025641</v>
      </c>
      <c r="L44" s="81">
        <f t="shared" si="42"/>
        <v>3.4358974358974361</v>
      </c>
      <c r="M44" s="81">
        <f t="shared" si="42"/>
        <v>5.4358974358974361</v>
      </c>
      <c r="N44" s="81">
        <f t="shared" si="42"/>
        <v>7.4358974358974361</v>
      </c>
      <c r="O44" s="81">
        <f t="shared" si="42"/>
        <v>7.4358974358974343</v>
      </c>
      <c r="P44" s="81">
        <f t="shared" si="42"/>
        <v>4.4358974358974343</v>
      </c>
      <c r="Q44" s="81">
        <f t="shared" si="42"/>
        <v>3.4358974358974343</v>
      </c>
      <c r="R44" s="81">
        <f t="shared" si="42"/>
        <v>2.4358974358974379</v>
      </c>
      <c r="S44" s="81">
        <f t="shared" si="42"/>
        <v>1.4358974358974379</v>
      </c>
      <c r="T44" s="81">
        <f t="shared" si="42"/>
        <v>2.4358974358974379</v>
      </c>
      <c r="U44" s="81">
        <f t="shared" si="42"/>
        <v>1.4358974358974379</v>
      </c>
      <c r="V44" s="81">
        <f t="shared" si="42"/>
        <v>4.4358974358974379</v>
      </c>
      <c r="W44" s="81">
        <f t="shared" si="42"/>
        <v>3.4358974358974379</v>
      </c>
      <c r="X44" s="81">
        <f t="shared" si="42"/>
        <v>4.4358974358974379</v>
      </c>
      <c r="Y44" s="81">
        <f t="shared" si="42"/>
        <v>4.4358974358974379</v>
      </c>
      <c r="Z44" s="81">
        <f t="shared" si="42"/>
        <v>4.4358974358974379</v>
      </c>
      <c r="AA44" s="81">
        <f t="shared" si="42"/>
        <v>1.4358974358974308</v>
      </c>
      <c r="AB44" s="81">
        <f t="shared" si="42"/>
        <v>1.4358974358974308</v>
      </c>
      <c r="AC44" s="81">
        <f t="shared" si="42"/>
        <v>2.4358974358974308</v>
      </c>
      <c r="AD44" s="81">
        <f t="shared" si="42"/>
        <v>-0.5641025641025692</v>
      </c>
      <c r="AE44" s="81">
        <f t="shared" si="42"/>
        <v>-1.5641025641025692</v>
      </c>
      <c r="AF44" s="81">
        <f t="shared" si="42"/>
        <v>-1.5641025641025692</v>
      </c>
      <c r="AG44" s="81">
        <f t="shared" si="42"/>
        <v>-4.5641025641025692</v>
      </c>
      <c r="AH44" s="81">
        <f t="shared" si="42"/>
        <v>-3.5641025641025692</v>
      </c>
      <c r="AI44" s="81">
        <f t="shared" si="42"/>
        <v>-5.5641025641025692</v>
      </c>
      <c r="AJ44" s="81">
        <f t="shared" si="42"/>
        <v>-5.5641025641025621</v>
      </c>
      <c r="AK44" s="81">
        <f t="shared" si="42"/>
        <v>-5.5641025641025621</v>
      </c>
      <c r="AL44" s="81">
        <f t="shared" si="42"/>
        <v>-10.564102564102562</v>
      </c>
      <c r="AM44" s="81">
        <f t="shared" si="42"/>
        <v>-6.5641025641025621</v>
      </c>
      <c r="AN44" s="81">
        <f t="shared" si="42"/>
        <v>-9.5641025641025621</v>
      </c>
      <c r="AO44" s="81">
        <f t="shared" si="42"/>
        <v>-11.564102564102566</v>
      </c>
      <c r="AP44" s="81">
        <f t="shared" si="42"/>
        <v>-5.5641025641025639</v>
      </c>
      <c r="AQ44" s="81">
        <f t="shared" si="42"/>
        <v>-5.5641025641025639</v>
      </c>
      <c r="AR44" s="81">
        <f t="shared" si="42"/>
        <v>-3.5641025641025639</v>
      </c>
      <c r="AS44" s="81">
        <f t="shared" si="42"/>
        <v>-3.5641025641025639</v>
      </c>
      <c r="AT44" s="81">
        <f t="shared" si="42"/>
        <v>-1.5641025641025641</v>
      </c>
      <c r="AU44" s="81">
        <f t="shared" si="42"/>
        <v>-1.5641025641025641</v>
      </c>
      <c r="AV44" s="81">
        <f t="shared" si="42"/>
        <v>2.4358974358974361</v>
      </c>
      <c r="AW44" s="81">
        <f t="shared" si="2"/>
        <v>-0.5641025641025641</v>
      </c>
      <c r="AY44" s="1">
        <f>'77'!CO6</f>
        <v>38.64</v>
      </c>
      <c r="BE44" s="27"/>
    </row>
    <row r="45" spans="4:58" s="1" customFormat="1" ht="69.95" customHeight="1">
      <c r="D45" s="28">
        <v>49</v>
      </c>
      <c r="H45" s="4"/>
      <c r="I45" s="2"/>
      <c r="J45" s="81">
        <f t="shared" si="0"/>
        <v>-5.128205128205128E-2</v>
      </c>
      <c r="K45" s="81">
        <f t="shared" ref="K45:AV46" si="43">SUM($AW45,J7,-K7)</f>
        <v>-2.0512820512820511</v>
      </c>
      <c r="L45" s="81">
        <f t="shared" si="43"/>
        <v>-5.1282051282051322E-2</v>
      </c>
      <c r="M45" s="81">
        <f t="shared" si="43"/>
        <v>-2.0512820512820511</v>
      </c>
      <c r="N45" s="81">
        <f t="shared" si="43"/>
        <v>-5.12820512820511E-2</v>
      </c>
      <c r="O45" s="81">
        <f t="shared" si="43"/>
        <v>-2.0512820512820511</v>
      </c>
      <c r="P45" s="81">
        <f t="shared" si="43"/>
        <v>-5.12820512820511E-2</v>
      </c>
      <c r="Q45" s="81">
        <f t="shared" si="43"/>
        <v>-1.0512820512820511</v>
      </c>
      <c r="R45" s="81">
        <f t="shared" si="43"/>
        <v>-1.0512820512820511</v>
      </c>
      <c r="S45" s="81">
        <f t="shared" si="43"/>
        <v>0.9487179487179489</v>
      </c>
      <c r="T45" s="81">
        <f t="shared" si="43"/>
        <v>-1.0512820512820511</v>
      </c>
      <c r="U45" s="81">
        <f t="shared" si="43"/>
        <v>-5.12820512820511E-2</v>
      </c>
      <c r="V45" s="81">
        <f t="shared" si="43"/>
        <v>-5.12820512820511E-2</v>
      </c>
      <c r="W45" s="81">
        <f t="shared" si="43"/>
        <v>-5.12820512820511E-2</v>
      </c>
      <c r="X45" s="81">
        <f t="shared" si="43"/>
        <v>0.9487179487179489</v>
      </c>
      <c r="Y45" s="81">
        <f t="shared" si="43"/>
        <v>0.9487179487179489</v>
      </c>
      <c r="Z45" s="81">
        <f t="shared" si="43"/>
        <v>-1.0512820512820511</v>
      </c>
      <c r="AA45" s="81">
        <f t="shared" si="43"/>
        <v>0.9487179487179489</v>
      </c>
      <c r="AB45" s="81">
        <f t="shared" si="43"/>
        <v>0.9487179487179489</v>
      </c>
      <c r="AC45" s="81">
        <f t="shared" si="43"/>
        <v>-1.0512820512820511</v>
      </c>
      <c r="AD45" s="81">
        <f t="shared" si="43"/>
        <v>-5.12820512820511E-2</v>
      </c>
      <c r="AE45" s="81">
        <f t="shared" si="43"/>
        <v>0.9487179487179489</v>
      </c>
      <c r="AF45" s="81">
        <f t="shared" si="43"/>
        <v>-1.0512820512820511</v>
      </c>
      <c r="AG45" s="81">
        <f t="shared" si="43"/>
        <v>-5.12820512820511E-2</v>
      </c>
      <c r="AH45" s="81">
        <f t="shared" si="43"/>
        <v>-5.12820512820511E-2</v>
      </c>
      <c r="AI45" s="81">
        <f t="shared" si="43"/>
        <v>-1.0512820512820511</v>
      </c>
      <c r="AJ45" s="81">
        <f t="shared" si="43"/>
        <v>-5.12820512820511E-2</v>
      </c>
      <c r="AK45" s="81">
        <f t="shared" si="43"/>
        <v>-1.0512820512820511</v>
      </c>
      <c r="AL45" s="81">
        <f t="shared" si="43"/>
        <v>-5.12820512820511E-2</v>
      </c>
      <c r="AM45" s="81">
        <f t="shared" si="43"/>
        <v>0.9487179487179489</v>
      </c>
      <c r="AN45" s="81">
        <f t="shared" si="43"/>
        <v>-1.0512820512820511</v>
      </c>
      <c r="AO45" s="81">
        <f t="shared" si="43"/>
        <v>0.9487179487179489</v>
      </c>
      <c r="AP45" s="81">
        <f t="shared" si="43"/>
        <v>0.9487179487179489</v>
      </c>
      <c r="AQ45" s="81">
        <f t="shared" si="43"/>
        <v>-5.12820512820511E-2</v>
      </c>
      <c r="AR45" s="81">
        <f t="shared" si="43"/>
        <v>1.9487179487179489</v>
      </c>
      <c r="AS45" s="81">
        <f t="shared" si="43"/>
        <v>1.9487179487179489</v>
      </c>
      <c r="AT45" s="81">
        <f t="shared" si="43"/>
        <v>0.94871794871794868</v>
      </c>
      <c r="AU45" s="81">
        <f t="shared" si="43"/>
        <v>0.94871794871794868</v>
      </c>
      <c r="AV45" s="81">
        <f t="shared" si="43"/>
        <v>-5.128205128205128E-2</v>
      </c>
      <c r="AW45" s="81">
        <f t="shared" si="2"/>
        <v>-5.128205128205128E-2</v>
      </c>
      <c r="AY45" s="1">
        <f>'77'!CO7</f>
        <v>5.7200000000000006</v>
      </c>
      <c r="BE45" s="27"/>
    </row>
    <row r="46" spans="4:58" s="1" customFormat="1" ht="69.95" customHeight="1">
      <c r="D46" s="28">
        <v>47</v>
      </c>
      <c r="H46" s="4"/>
      <c r="I46" s="2"/>
      <c r="J46" s="81">
        <f t="shared" si="0"/>
        <v>-0.5641025641025641</v>
      </c>
      <c r="K46" s="81">
        <f t="shared" si="43"/>
        <v>-3.5641025641025639</v>
      </c>
      <c r="L46" s="81">
        <f t="shared" si="43"/>
        <v>0.43589743589743613</v>
      </c>
      <c r="M46" s="81">
        <f t="shared" si="43"/>
        <v>-0.5641025641025641</v>
      </c>
      <c r="N46" s="81">
        <f t="shared" si="43"/>
        <v>-1.5641025641025641</v>
      </c>
      <c r="O46" s="81">
        <f t="shared" si="43"/>
        <v>-1.5641025641025639</v>
      </c>
      <c r="P46" s="81">
        <f t="shared" si="43"/>
        <v>-0.56410256410256387</v>
      </c>
      <c r="Q46" s="81">
        <f t="shared" si="43"/>
        <v>-1.5641025641025639</v>
      </c>
      <c r="R46" s="81">
        <f t="shared" si="43"/>
        <v>-1.5641025641025639</v>
      </c>
      <c r="S46" s="81">
        <f t="shared" si="43"/>
        <v>1.4358974358974361</v>
      </c>
      <c r="T46" s="81">
        <f t="shared" si="43"/>
        <v>-0.56410256410256387</v>
      </c>
      <c r="U46" s="81">
        <f t="shared" si="43"/>
        <v>0.43589743589743613</v>
      </c>
      <c r="V46" s="81">
        <f t="shared" si="43"/>
        <v>1.4358974358974361</v>
      </c>
      <c r="W46" s="81">
        <f t="shared" si="43"/>
        <v>0.4358974358974359</v>
      </c>
      <c r="X46" s="81">
        <f t="shared" si="43"/>
        <v>1.4358974358974359</v>
      </c>
      <c r="Y46" s="81">
        <f t="shared" si="43"/>
        <v>0.43589743589743613</v>
      </c>
      <c r="Z46" s="81">
        <f t="shared" si="43"/>
        <v>0.43589743589743613</v>
      </c>
      <c r="AA46" s="81">
        <f t="shared" si="43"/>
        <v>-0.56410256410256387</v>
      </c>
      <c r="AB46" s="81">
        <f t="shared" si="43"/>
        <v>1.4358974358974361</v>
      </c>
      <c r="AC46" s="81">
        <f t="shared" si="43"/>
        <v>-0.56410256410256387</v>
      </c>
      <c r="AD46" s="81">
        <f t="shared" si="43"/>
        <v>-0.56410256410256387</v>
      </c>
      <c r="AE46" s="81">
        <f t="shared" si="43"/>
        <v>1.4358974358974361</v>
      </c>
      <c r="AF46" s="81">
        <f t="shared" si="43"/>
        <v>-0.56410256410256387</v>
      </c>
      <c r="AG46" s="81">
        <f t="shared" si="43"/>
        <v>-0.56410256410256387</v>
      </c>
      <c r="AH46" s="81">
        <f t="shared" si="43"/>
        <v>-0.56410256410256387</v>
      </c>
      <c r="AI46" s="81">
        <f t="shared" si="43"/>
        <v>-1.5641025641025639</v>
      </c>
      <c r="AJ46" s="81">
        <f t="shared" si="43"/>
        <v>-0.56410256410256387</v>
      </c>
      <c r="AK46" s="81">
        <f t="shared" si="43"/>
        <v>-1.5641025641025639</v>
      </c>
      <c r="AL46" s="81">
        <f t="shared" si="43"/>
        <v>-0.56410256410256387</v>
      </c>
      <c r="AM46" s="81">
        <f t="shared" si="43"/>
        <v>-1.5641025641025639</v>
      </c>
      <c r="AN46" s="81">
        <f t="shared" si="43"/>
        <v>-2.5641025641025639</v>
      </c>
      <c r="AO46" s="81">
        <f t="shared" si="43"/>
        <v>-1.5641025641025639</v>
      </c>
      <c r="AP46" s="81">
        <f t="shared" si="43"/>
        <v>-0.56410256410256387</v>
      </c>
      <c r="AQ46" s="81">
        <f t="shared" si="43"/>
        <v>-1.5641025641025639</v>
      </c>
      <c r="AR46" s="81">
        <f t="shared" si="43"/>
        <v>-0.5641025641025641</v>
      </c>
      <c r="AS46" s="81">
        <f t="shared" si="43"/>
        <v>-0.5641025641025641</v>
      </c>
      <c r="AT46" s="81">
        <f t="shared" si="43"/>
        <v>-0.5641025641025641</v>
      </c>
      <c r="AU46" s="81">
        <f t="shared" si="43"/>
        <v>-0.5641025641025641</v>
      </c>
      <c r="AV46" s="81">
        <f t="shared" si="43"/>
        <v>-1.5641025641025641</v>
      </c>
      <c r="AW46" s="81">
        <f t="shared" si="2"/>
        <v>-0.5641025641025641</v>
      </c>
      <c r="AY46" s="1">
        <f>'77'!CO8</f>
        <v>3.9200000000000004</v>
      </c>
      <c r="BE46" s="27"/>
    </row>
    <row r="47" spans="4:58" s="1" customFormat="1" ht="69.95" customHeight="1">
      <c r="D47" s="28">
        <v>45</v>
      </c>
      <c r="H47" s="4"/>
      <c r="I47" s="2"/>
      <c r="J47" s="81">
        <f t="shared" si="0"/>
        <v>0.15384615384615385</v>
      </c>
      <c r="K47" s="81">
        <f t="shared" ref="K47:AV48" si="44">SUM($AW47,J9,-K9)</f>
        <v>-0.84615384615384615</v>
      </c>
      <c r="L47" s="81">
        <f t="shared" si="44"/>
        <v>-0.84615384615384626</v>
      </c>
      <c r="M47" s="81">
        <f t="shared" si="44"/>
        <v>-1.8461538461538463</v>
      </c>
      <c r="N47" s="81">
        <f t="shared" si="44"/>
        <v>-1.8461538461538458</v>
      </c>
      <c r="O47" s="81">
        <f t="shared" si="44"/>
        <v>-1.8461538461538458</v>
      </c>
      <c r="P47" s="81">
        <f t="shared" si="44"/>
        <v>0.1538461538461533</v>
      </c>
      <c r="Q47" s="81">
        <f t="shared" si="44"/>
        <v>-0.8461538461538467</v>
      </c>
      <c r="R47" s="81">
        <f t="shared" si="44"/>
        <v>-0.8461538461538467</v>
      </c>
      <c r="S47" s="81">
        <f t="shared" si="44"/>
        <v>1.1538461538461533</v>
      </c>
      <c r="T47" s="81">
        <f t="shared" si="44"/>
        <v>0.1538461538461533</v>
      </c>
      <c r="U47" s="81">
        <f t="shared" si="44"/>
        <v>1.1538461538461533</v>
      </c>
      <c r="V47" s="81">
        <f t="shared" si="44"/>
        <v>0.1538461538461533</v>
      </c>
      <c r="W47" s="81">
        <f t="shared" si="44"/>
        <v>1.1538461538461533</v>
      </c>
      <c r="X47" s="81">
        <f t="shared" si="44"/>
        <v>0.15384615384615419</v>
      </c>
      <c r="Y47" s="81">
        <f t="shared" si="44"/>
        <v>1.1538461538461542</v>
      </c>
      <c r="Z47" s="81">
        <f t="shared" si="44"/>
        <v>0.15384615384615419</v>
      </c>
      <c r="AA47" s="81">
        <f t="shared" si="44"/>
        <v>0.15384615384615419</v>
      </c>
      <c r="AB47" s="81">
        <f t="shared" si="44"/>
        <v>1.1538461538461542</v>
      </c>
      <c r="AC47" s="81">
        <f t="shared" si="44"/>
        <v>-0.84615384615384581</v>
      </c>
      <c r="AD47" s="81">
        <f t="shared" si="44"/>
        <v>1.1538461538461542</v>
      </c>
      <c r="AE47" s="81">
        <f t="shared" si="44"/>
        <v>0.15384615384615419</v>
      </c>
      <c r="AF47" s="81">
        <f t="shared" si="44"/>
        <v>0.15384615384615419</v>
      </c>
      <c r="AG47" s="81">
        <f t="shared" si="44"/>
        <v>0.15384615384615419</v>
      </c>
      <c r="AH47" s="81">
        <f t="shared" si="44"/>
        <v>0.15384615384615419</v>
      </c>
      <c r="AI47" s="81">
        <f t="shared" si="44"/>
        <v>0.15384615384615419</v>
      </c>
      <c r="AJ47" s="81">
        <f t="shared" si="44"/>
        <v>0.15384615384615419</v>
      </c>
      <c r="AK47" s="81">
        <f t="shared" si="44"/>
        <v>0.15384615384615419</v>
      </c>
      <c r="AL47" s="81">
        <f t="shared" si="44"/>
        <v>0.15384615384615419</v>
      </c>
      <c r="AM47" s="81">
        <f t="shared" si="44"/>
        <v>1.1538461538461542</v>
      </c>
      <c r="AN47" s="81">
        <f t="shared" si="44"/>
        <v>-0.84615384615384581</v>
      </c>
      <c r="AO47" s="81">
        <f t="shared" si="44"/>
        <v>0.15384615384615419</v>
      </c>
      <c r="AP47" s="81">
        <f t="shared" si="44"/>
        <v>2.1538461538461542</v>
      </c>
      <c r="AQ47" s="81">
        <f t="shared" si="44"/>
        <v>0.15384615384615374</v>
      </c>
      <c r="AR47" s="81">
        <f t="shared" si="44"/>
        <v>1.1538461538461537</v>
      </c>
      <c r="AS47" s="81">
        <f t="shared" si="44"/>
        <v>1.1538461538461537</v>
      </c>
      <c r="AT47" s="81">
        <f t="shared" si="44"/>
        <v>1.1538461538461537</v>
      </c>
      <c r="AU47" s="81">
        <f t="shared" si="44"/>
        <v>1.1538461538461537</v>
      </c>
      <c r="AV47" s="81">
        <f t="shared" si="44"/>
        <v>-0.84615384615384615</v>
      </c>
      <c r="AW47" s="81">
        <f t="shared" si="2"/>
        <v>0.15384615384615385</v>
      </c>
      <c r="AY47" s="1">
        <f>'77'!CO9</f>
        <v>5.1733333333333338</v>
      </c>
      <c r="BE47" s="27"/>
    </row>
    <row r="48" spans="4:58" s="1" customFormat="1" ht="69.95" customHeight="1">
      <c r="D48" s="28">
        <v>43</v>
      </c>
      <c r="H48" s="4"/>
      <c r="I48" s="2"/>
      <c r="J48" s="81">
        <f t="shared" si="0"/>
        <v>-0.5641025641025641</v>
      </c>
      <c r="K48" s="81">
        <f t="shared" si="44"/>
        <v>-0.5641025641025641</v>
      </c>
      <c r="L48" s="81">
        <f t="shared" si="44"/>
        <v>7.4358974358974361</v>
      </c>
      <c r="M48" s="81">
        <f t="shared" si="44"/>
        <v>15.435897435897436</v>
      </c>
      <c r="N48" s="81">
        <f t="shared" si="44"/>
        <v>10.435897435897434</v>
      </c>
      <c r="O48" s="81">
        <f t="shared" si="44"/>
        <v>12.435897435897438</v>
      </c>
      <c r="P48" s="81">
        <f t="shared" si="44"/>
        <v>7.4358974358974379</v>
      </c>
      <c r="Q48" s="81">
        <f t="shared" si="44"/>
        <v>6.4358974358974379</v>
      </c>
      <c r="R48" s="81">
        <f t="shared" si="44"/>
        <v>5.4358974358974379</v>
      </c>
      <c r="S48" s="81">
        <f t="shared" si="44"/>
        <v>8.4358974358974308</v>
      </c>
      <c r="T48" s="81">
        <f t="shared" si="44"/>
        <v>2.4358974358974308</v>
      </c>
      <c r="U48" s="81">
        <f t="shared" si="44"/>
        <v>5.4358974358974308</v>
      </c>
      <c r="V48" s="81">
        <f t="shared" si="44"/>
        <v>5.4358974358974308</v>
      </c>
      <c r="W48" s="81">
        <f t="shared" si="44"/>
        <v>1.4358974358974308</v>
      </c>
      <c r="X48" s="81">
        <f t="shared" si="44"/>
        <v>3.4358974358974308</v>
      </c>
      <c r="Y48" s="81">
        <f t="shared" si="44"/>
        <v>2.4358974358974308</v>
      </c>
      <c r="Z48" s="81">
        <f t="shared" si="44"/>
        <v>-0.5641025641025692</v>
      </c>
      <c r="AA48" s="81">
        <f t="shared" si="44"/>
        <v>1.4358974358974308</v>
      </c>
      <c r="AB48" s="81">
        <f t="shared" si="44"/>
        <v>-0.5641025641025692</v>
      </c>
      <c r="AC48" s="81">
        <f t="shared" si="44"/>
        <v>-1.5641025641025692</v>
      </c>
      <c r="AD48" s="81">
        <f t="shared" si="44"/>
        <v>-2.5641025641025692</v>
      </c>
      <c r="AE48" s="81">
        <f t="shared" si="44"/>
        <v>-2.5641025641025692</v>
      </c>
      <c r="AF48" s="81">
        <f t="shared" si="44"/>
        <v>-5.5641025641025692</v>
      </c>
      <c r="AG48" s="81">
        <f t="shared" si="44"/>
        <v>-4.5641025641025692</v>
      </c>
      <c r="AH48" s="81">
        <f t="shared" si="44"/>
        <v>-4.5641025641025692</v>
      </c>
      <c r="AI48" s="81">
        <f t="shared" si="44"/>
        <v>-4.5641025641025692</v>
      </c>
      <c r="AJ48" s="81">
        <f t="shared" si="44"/>
        <v>-4.5641025641025692</v>
      </c>
      <c r="AK48" s="81">
        <f t="shared" si="44"/>
        <v>-4.5641025641025692</v>
      </c>
      <c r="AL48" s="81">
        <f t="shared" si="44"/>
        <v>-5.5641025641025692</v>
      </c>
      <c r="AM48" s="81">
        <f t="shared" si="44"/>
        <v>-9.5641025641025692</v>
      </c>
      <c r="AN48" s="81">
        <f t="shared" si="44"/>
        <v>-12.564102564102562</v>
      </c>
      <c r="AO48" s="81">
        <f t="shared" si="44"/>
        <v>-11.564102564102562</v>
      </c>
      <c r="AP48" s="81">
        <f t="shared" si="44"/>
        <v>-8.5641025641025621</v>
      </c>
      <c r="AQ48" s="81">
        <f t="shared" si="44"/>
        <v>-10.564102564102566</v>
      </c>
      <c r="AR48" s="81">
        <f t="shared" si="44"/>
        <v>-8.5641025641025657</v>
      </c>
      <c r="AS48" s="81">
        <f t="shared" si="44"/>
        <v>-8.5641025641025639</v>
      </c>
      <c r="AT48" s="81">
        <f t="shared" si="44"/>
        <v>-6.5641025641025639</v>
      </c>
      <c r="AU48" s="81">
        <f t="shared" si="44"/>
        <v>-4.5641025641025639</v>
      </c>
      <c r="AV48" s="81">
        <f t="shared" si="44"/>
        <v>6.4358974358974361</v>
      </c>
      <c r="AW48" s="81">
        <f t="shared" si="2"/>
        <v>-0.5641025641025641</v>
      </c>
      <c r="AY48" s="1">
        <f>'77'!CO10</f>
        <v>62.186666666666667</v>
      </c>
      <c r="BE48" s="27"/>
    </row>
    <row r="49" spans="4:57" s="1" customFormat="1" ht="69.95" customHeight="1">
      <c r="D49" s="28">
        <v>41</v>
      </c>
      <c r="H49" s="4"/>
      <c r="I49" s="2"/>
      <c r="J49" s="81">
        <f t="shared" si="0"/>
        <v>5.128205128205128E-2</v>
      </c>
      <c r="K49" s="81">
        <f t="shared" ref="K49:AV49" si="45">SUM($AW49,J11,-K11)</f>
        <v>-1.9487179487179487</v>
      </c>
      <c r="L49" s="81">
        <f t="shared" si="45"/>
        <v>5.12820512820511E-2</v>
      </c>
      <c r="M49" s="81">
        <f t="shared" si="45"/>
        <v>-1.9487179487179489</v>
      </c>
      <c r="N49" s="81">
        <f t="shared" si="45"/>
        <v>-1.9487179487179489</v>
      </c>
      <c r="O49" s="81">
        <f t="shared" si="45"/>
        <v>-1.9487179487179489</v>
      </c>
      <c r="P49" s="81">
        <f t="shared" si="45"/>
        <v>1.0512820512820511</v>
      </c>
      <c r="Q49" s="81">
        <f t="shared" si="45"/>
        <v>-0.9487179487179489</v>
      </c>
      <c r="R49" s="81">
        <f t="shared" si="45"/>
        <v>5.12820512820511E-2</v>
      </c>
      <c r="S49" s="81">
        <f t="shared" si="45"/>
        <v>2.0512820512820511</v>
      </c>
      <c r="T49" s="81">
        <f t="shared" si="45"/>
        <v>1.0512820512820511</v>
      </c>
      <c r="U49" s="81">
        <f t="shared" si="45"/>
        <v>1.0512820512820511</v>
      </c>
      <c r="V49" s="81">
        <f t="shared" si="45"/>
        <v>1.0512820512820511</v>
      </c>
      <c r="W49" s="81">
        <f t="shared" si="45"/>
        <v>5.12820512820511E-2</v>
      </c>
      <c r="X49" s="81">
        <f t="shared" si="45"/>
        <v>5.12820512820511E-2</v>
      </c>
      <c r="Y49" s="81">
        <f t="shared" si="45"/>
        <v>5.12820512820511E-2</v>
      </c>
      <c r="Z49" s="81">
        <f t="shared" si="45"/>
        <v>5.12820512820511E-2</v>
      </c>
      <c r="AA49" s="81">
        <f t="shared" si="45"/>
        <v>5.12820512820511E-2</v>
      </c>
      <c r="AB49" s="81">
        <f t="shared" si="45"/>
        <v>5.12820512820511E-2</v>
      </c>
      <c r="AC49" s="81">
        <f t="shared" si="45"/>
        <v>5.12820512820511E-2</v>
      </c>
      <c r="AD49" s="81">
        <f t="shared" si="45"/>
        <v>5.12820512820511E-2</v>
      </c>
      <c r="AE49" s="81">
        <f t="shared" si="45"/>
        <v>1.0512820512820511</v>
      </c>
      <c r="AF49" s="81">
        <f t="shared" si="45"/>
        <v>1.0512820512820511</v>
      </c>
      <c r="AG49" s="81">
        <f t="shared" si="45"/>
        <v>5.1282051282051322E-2</v>
      </c>
      <c r="AH49" s="81">
        <f t="shared" si="45"/>
        <v>5.1282051282051322E-2</v>
      </c>
      <c r="AI49" s="81">
        <f t="shared" si="45"/>
        <v>1.0512820512820513</v>
      </c>
      <c r="AJ49" s="81">
        <f t="shared" si="45"/>
        <v>5.128205128205128E-2</v>
      </c>
      <c r="AK49" s="81">
        <f t="shared" si="45"/>
        <v>-0.94871794871794868</v>
      </c>
      <c r="AL49" s="81">
        <f t="shared" si="45"/>
        <v>5.1282051282051322E-2</v>
      </c>
      <c r="AM49" s="81">
        <f t="shared" si="45"/>
        <v>1.0512820512820513</v>
      </c>
      <c r="AN49" s="81">
        <f t="shared" si="45"/>
        <v>-0.94871794871794868</v>
      </c>
      <c r="AO49" s="81">
        <f t="shared" si="45"/>
        <v>5.1282051282051322E-2</v>
      </c>
      <c r="AP49" s="81">
        <f t="shared" si="45"/>
        <v>1.0512820512820513</v>
      </c>
      <c r="AQ49" s="81">
        <f t="shared" si="45"/>
        <v>5.128205128205128E-2</v>
      </c>
      <c r="AR49" s="81">
        <f t="shared" si="45"/>
        <v>1.0512820512820513</v>
      </c>
      <c r="AS49" s="81">
        <f t="shared" si="45"/>
        <v>1.0512820512820513</v>
      </c>
      <c r="AT49" s="81">
        <f t="shared" si="45"/>
        <v>5.1282051282051322E-2</v>
      </c>
      <c r="AU49" s="81">
        <f t="shared" si="45"/>
        <v>5.1282051282051322E-2</v>
      </c>
      <c r="AV49" s="81">
        <f t="shared" si="45"/>
        <v>-1.9487179487179487</v>
      </c>
      <c r="AW49" s="81">
        <f t="shared" si="2"/>
        <v>5.128205128205128E-2</v>
      </c>
      <c r="AY49" s="1">
        <f>'77'!CO11</f>
        <v>2.7866666666666666</v>
      </c>
      <c r="BE49" s="27"/>
    </row>
    <row r="50" spans="4:57" s="1" customFormat="1" ht="69.95" customHeight="1">
      <c r="D50" s="28">
        <v>39</v>
      </c>
      <c r="H50" s="4"/>
      <c r="I50" s="2"/>
      <c r="J50" s="81">
        <f t="shared" si="0"/>
        <v>-2.564102564102564E-2</v>
      </c>
      <c r="K50" s="81">
        <f t="shared" ref="K50:AV51" si="46">SUM($AW50,J12,-K12)</f>
        <v>-2.0256410256410255</v>
      </c>
      <c r="L50" s="81">
        <f t="shared" si="46"/>
        <v>-1.0256410256410255</v>
      </c>
      <c r="M50" s="81">
        <f t="shared" si="46"/>
        <v>-2.564102564102555E-2</v>
      </c>
      <c r="N50" s="81">
        <f t="shared" si="46"/>
        <v>-2.564102564102555E-2</v>
      </c>
      <c r="O50" s="81">
        <f t="shared" si="46"/>
        <v>-2.0256410256410255</v>
      </c>
      <c r="P50" s="81">
        <f t="shared" si="46"/>
        <v>-2.564102564102555E-2</v>
      </c>
      <c r="Q50" s="81">
        <f t="shared" si="46"/>
        <v>-2.564102564102555E-2</v>
      </c>
      <c r="R50" s="81">
        <f t="shared" si="46"/>
        <v>-1.0256410256410255</v>
      </c>
      <c r="S50" s="81">
        <f t="shared" si="46"/>
        <v>2.9743589743589745</v>
      </c>
      <c r="T50" s="81">
        <f t="shared" si="46"/>
        <v>1.9743589743589745</v>
      </c>
      <c r="U50" s="81">
        <f t="shared" si="46"/>
        <v>-2.5641025641025661E-2</v>
      </c>
      <c r="V50" s="81">
        <f t="shared" si="46"/>
        <v>-2.5641025641025661E-2</v>
      </c>
      <c r="W50" s="81">
        <f t="shared" si="46"/>
        <v>0.97435897435897434</v>
      </c>
      <c r="X50" s="81">
        <f t="shared" si="46"/>
        <v>-1.0256410256410255</v>
      </c>
      <c r="Y50" s="81">
        <f t="shared" si="46"/>
        <v>-2.0256410256410255</v>
      </c>
      <c r="Z50" s="81">
        <f t="shared" si="46"/>
        <v>-2.0256410256410255</v>
      </c>
      <c r="AA50" s="81">
        <f t="shared" si="46"/>
        <v>-1.0256410256410255</v>
      </c>
      <c r="AB50" s="81">
        <f t="shared" si="46"/>
        <v>-2.564102564102555E-2</v>
      </c>
      <c r="AC50" s="81">
        <f t="shared" si="46"/>
        <v>-1.0256410256410255</v>
      </c>
      <c r="AD50" s="81">
        <f t="shared" si="46"/>
        <v>0.97435897435897445</v>
      </c>
      <c r="AE50" s="81">
        <f t="shared" si="46"/>
        <v>0.97435897435897445</v>
      </c>
      <c r="AF50" s="81">
        <f t="shared" si="46"/>
        <v>0.97435897435897445</v>
      </c>
      <c r="AG50" s="81">
        <f t="shared" si="46"/>
        <v>0.97435897435897445</v>
      </c>
      <c r="AH50" s="81">
        <f t="shared" si="46"/>
        <v>-2.564102564102555E-2</v>
      </c>
      <c r="AI50" s="81">
        <f t="shared" si="46"/>
        <v>-2.564102564102555E-2</v>
      </c>
      <c r="AJ50" s="81">
        <f t="shared" si="46"/>
        <v>-1.0256410256410255</v>
      </c>
      <c r="AK50" s="81">
        <f t="shared" si="46"/>
        <v>0.97435897435897445</v>
      </c>
      <c r="AL50" s="81">
        <f t="shared" si="46"/>
        <v>-2.0256410256410255</v>
      </c>
      <c r="AM50" s="81">
        <f t="shared" si="46"/>
        <v>0.97435897435897445</v>
      </c>
      <c r="AN50" s="81">
        <f t="shared" si="46"/>
        <v>-1.0256410256410255</v>
      </c>
      <c r="AO50" s="81">
        <f t="shared" si="46"/>
        <v>-1.0256410256410255</v>
      </c>
      <c r="AP50" s="81">
        <f t="shared" si="46"/>
        <v>0.97435897435897445</v>
      </c>
      <c r="AQ50" s="81">
        <f t="shared" si="46"/>
        <v>-2.564102564102555E-2</v>
      </c>
      <c r="AR50" s="81">
        <f t="shared" si="46"/>
        <v>1.9743589743589745</v>
      </c>
      <c r="AS50" s="81">
        <f t="shared" si="46"/>
        <v>0.97435897435897445</v>
      </c>
      <c r="AT50" s="81">
        <f t="shared" si="46"/>
        <v>0.97435897435897445</v>
      </c>
      <c r="AU50" s="81">
        <f t="shared" si="46"/>
        <v>0.97435897435897434</v>
      </c>
      <c r="AV50" s="81">
        <f t="shared" si="46"/>
        <v>-2.564102564102564E-2</v>
      </c>
      <c r="AW50" s="81">
        <f t="shared" si="2"/>
        <v>-2.564102564102564E-2</v>
      </c>
      <c r="AY50" s="1">
        <f>'77'!CO12</f>
        <v>3.4666666666666668</v>
      </c>
      <c r="BE50" s="27"/>
    </row>
    <row r="51" spans="4:57" s="1" customFormat="1" ht="69.95" customHeight="1">
      <c r="D51" s="28">
        <v>37</v>
      </c>
      <c r="H51" s="4"/>
      <c r="I51" s="2"/>
      <c r="J51" s="81">
        <f t="shared" si="0"/>
        <v>-0.5641025641025641</v>
      </c>
      <c r="K51" s="81">
        <f t="shared" si="46"/>
        <v>-3.5641025641025639</v>
      </c>
      <c r="L51" s="81">
        <f t="shared" si="46"/>
        <v>0.43589743589743613</v>
      </c>
      <c r="M51" s="81">
        <f t="shared" si="46"/>
        <v>-0.5641025641025641</v>
      </c>
      <c r="N51" s="81">
        <f t="shared" si="46"/>
        <v>-1.5641025641025641</v>
      </c>
      <c r="O51" s="81">
        <f t="shared" si="46"/>
        <v>-1.5641025641025639</v>
      </c>
      <c r="P51" s="81">
        <f t="shared" si="46"/>
        <v>-0.56410256410256387</v>
      </c>
      <c r="Q51" s="81">
        <f t="shared" si="46"/>
        <v>-1.5641025641025639</v>
      </c>
      <c r="R51" s="81">
        <f t="shared" si="46"/>
        <v>-1.5641025641025639</v>
      </c>
      <c r="S51" s="81">
        <f t="shared" si="46"/>
        <v>1.4358974358974361</v>
      </c>
      <c r="T51" s="81">
        <f t="shared" si="46"/>
        <v>-0.56410256410256387</v>
      </c>
      <c r="U51" s="81">
        <f t="shared" si="46"/>
        <v>0.43589743589743613</v>
      </c>
      <c r="V51" s="81">
        <f t="shared" si="46"/>
        <v>1.4358974358974361</v>
      </c>
      <c r="W51" s="81">
        <f t="shared" si="46"/>
        <v>0.4358974358974359</v>
      </c>
      <c r="X51" s="81">
        <f t="shared" si="46"/>
        <v>1.4358974358974359</v>
      </c>
      <c r="Y51" s="81">
        <f t="shared" si="46"/>
        <v>0.43589743589743613</v>
      </c>
      <c r="Z51" s="81">
        <f t="shared" si="46"/>
        <v>0.43589743589743613</v>
      </c>
      <c r="AA51" s="81">
        <f t="shared" si="46"/>
        <v>-0.56410256410256387</v>
      </c>
      <c r="AB51" s="81">
        <f t="shared" si="46"/>
        <v>1.4358974358974361</v>
      </c>
      <c r="AC51" s="81">
        <f t="shared" si="46"/>
        <v>-0.56410256410256387</v>
      </c>
      <c r="AD51" s="81">
        <f t="shared" si="46"/>
        <v>-0.56410256410256387</v>
      </c>
      <c r="AE51" s="81">
        <f t="shared" si="46"/>
        <v>1.4358974358974361</v>
      </c>
      <c r="AF51" s="81">
        <f t="shared" si="46"/>
        <v>-0.56410256410256387</v>
      </c>
      <c r="AG51" s="81">
        <f t="shared" si="46"/>
        <v>-0.56410256410256387</v>
      </c>
      <c r="AH51" s="81">
        <f t="shared" si="46"/>
        <v>-0.56410256410256387</v>
      </c>
      <c r="AI51" s="81">
        <f t="shared" si="46"/>
        <v>-1.5641025641025639</v>
      </c>
      <c r="AJ51" s="81">
        <f t="shared" si="46"/>
        <v>-0.56410256410256387</v>
      </c>
      <c r="AK51" s="81">
        <f t="shared" si="46"/>
        <v>-1.5641025641025639</v>
      </c>
      <c r="AL51" s="81">
        <f t="shared" si="46"/>
        <v>-0.56410256410256387</v>
      </c>
      <c r="AM51" s="81">
        <f t="shared" si="46"/>
        <v>-1.5641025641025639</v>
      </c>
      <c r="AN51" s="81">
        <f t="shared" si="46"/>
        <v>-2.5641025641025639</v>
      </c>
      <c r="AO51" s="81">
        <f t="shared" si="46"/>
        <v>-1.5641025641025639</v>
      </c>
      <c r="AP51" s="81">
        <f t="shared" si="46"/>
        <v>-0.56410256410256387</v>
      </c>
      <c r="AQ51" s="81">
        <f t="shared" si="46"/>
        <v>-1.5641025641025639</v>
      </c>
      <c r="AR51" s="81">
        <f t="shared" si="46"/>
        <v>-0.5641025641025641</v>
      </c>
      <c r="AS51" s="81">
        <f t="shared" si="46"/>
        <v>-0.5641025641025641</v>
      </c>
      <c r="AT51" s="81">
        <f t="shared" si="46"/>
        <v>-0.5641025641025641</v>
      </c>
      <c r="AU51" s="81">
        <f t="shared" si="46"/>
        <v>-0.5641025641025641</v>
      </c>
      <c r="AV51" s="81">
        <f t="shared" si="46"/>
        <v>-1.5641025641025641</v>
      </c>
      <c r="AW51" s="81">
        <f t="shared" si="2"/>
        <v>-0.5641025641025641</v>
      </c>
      <c r="AY51" s="1">
        <f>'77'!CO13</f>
        <v>3.9200000000000004</v>
      </c>
      <c r="BE51" s="27"/>
    </row>
    <row r="52" spans="4:57" s="1" customFormat="1" ht="69.95" customHeight="1">
      <c r="D52" s="28">
        <v>35</v>
      </c>
      <c r="H52" s="4"/>
      <c r="I52" s="2"/>
      <c r="J52" s="81">
        <f t="shared" si="0"/>
        <v>0.74358974358974361</v>
      </c>
      <c r="K52" s="81">
        <f t="shared" ref="K52:AV53" si="47">SUM($AW52,J14,-K14)</f>
        <v>-0.25641025641025639</v>
      </c>
      <c r="L52" s="81">
        <f t="shared" si="47"/>
        <v>0.74358974358974361</v>
      </c>
      <c r="M52" s="81">
        <f t="shared" si="47"/>
        <v>0.74358974358974361</v>
      </c>
      <c r="N52" s="81">
        <f t="shared" si="47"/>
        <v>0.74358974358974361</v>
      </c>
      <c r="O52" s="81">
        <f t="shared" si="47"/>
        <v>-1.2564102564102564</v>
      </c>
      <c r="P52" s="81">
        <f t="shared" si="47"/>
        <v>1.7435897435897436</v>
      </c>
      <c r="Q52" s="81">
        <f t="shared" si="47"/>
        <v>-1.2564102564102564</v>
      </c>
      <c r="R52" s="81">
        <f t="shared" si="47"/>
        <v>-0.25641025641025639</v>
      </c>
      <c r="S52" s="81">
        <f t="shared" si="47"/>
        <v>1.7435897435897436</v>
      </c>
      <c r="T52" s="81">
        <f t="shared" si="47"/>
        <v>-0.25641025641025639</v>
      </c>
      <c r="U52" s="81">
        <f t="shared" si="47"/>
        <v>1.7435897435897436</v>
      </c>
      <c r="V52" s="81">
        <f t="shared" si="47"/>
        <v>0.74358974358974361</v>
      </c>
      <c r="W52" s="81">
        <f t="shared" si="47"/>
        <v>1.7435897435897436</v>
      </c>
      <c r="X52" s="81">
        <f t="shared" si="47"/>
        <v>0.74358974358974361</v>
      </c>
      <c r="Y52" s="81">
        <f t="shared" si="47"/>
        <v>1.7435897435897436</v>
      </c>
      <c r="Z52" s="81">
        <f t="shared" si="47"/>
        <v>0.74358974358974361</v>
      </c>
      <c r="AA52" s="81">
        <f t="shared" si="47"/>
        <v>1.7435897435897436</v>
      </c>
      <c r="AB52" s="81">
        <f t="shared" si="47"/>
        <v>0.74358974358974361</v>
      </c>
      <c r="AC52" s="81">
        <f t="shared" si="47"/>
        <v>0.74358974358974361</v>
      </c>
      <c r="AD52" s="81">
        <f t="shared" si="47"/>
        <v>0.74358974358974361</v>
      </c>
      <c r="AE52" s="81">
        <f t="shared" si="47"/>
        <v>1.7435897435897436</v>
      </c>
      <c r="AF52" s="81">
        <f t="shared" si="47"/>
        <v>0.74358974358974361</v>
      </c>
      <c r="AG52" s="81">
        <f t="shared" si="47"/>
        <v>1.7435897435897436</v>
      </c>
      <c r="AH52" s="81">
        <f t="shared" si="47"/>
        <v>0.74358974358974361</v>
      </c>
      <c r="AI52" s="81">
        <f t="shared" si="47"/>
        <v>-0.25641025641025639</v>
      </c>
      <c r="AJ52" s="81">
        <f t="shared" si="47"/>
        <v>0.74358974358974361</v>
      </c>
      <c r="AK52" s="81">
        <f t="shared" si="47"/>
        <v>0.74358974358974361</v>
      </c>
      <c r="AL52" s="81">
        <f t="shared" si="47"/>
        <v>0.74358974358974361</v>
      </c>
      <c r="AM52" s="81">
        <f t="shared" si="47"/>
        <v>0.74358974358974361</v>
      </c>
      <c r="AN52" s="81">
        <f t="shared" si="47"/>
        <v>-0.25641025641025639</v>
      </c>
      <c r="AO52" s="81">
        <f t="shared" si="47"/>
        <v>0.74358974358974361</v>
      </c>
      <c r="AP52" s="81">
        <f t="shared" si="47"/>
        <v>1.7435897435897436</v>
      </c>
      <c r="AQ52" s="81">
        <f t="shared" si="47"/>
        <v>-0.25641025641025639</v>
      </c>
      <c r="AR52" s="81">
        <f t="shared" si="47"/>
        <v>1.7435897435897436</v>
      </c>
      <c r="AS52" s="81">
        <f t="shared" si="47"/>
        <v>0.74358974358974361</v>
      </c>
      <c r="AT52" s="81">
        <f t="shared" si="47"/>
        <v>0.74358974358974361</v>
      </c>
      <c r="AU52" s="81">
        <f t="shared" si="47"/>
        <v>1.7435897435897436</v>
      </c>
      <c r="AV52" s="81">
        <f t="shared" si="47"/>
        <v>-0.25641025641025639</v>
      </c>
      <c r="AW52" s="81">
        <f t="shared" si="2"/>
        <v>0.74358974358974361</v>
      </c>
      <c r="AY52" s="1">
        <f>'77'!CO14</f>
        <v>1.4800000000000002</v>
      </c>
      <c r="BE52" s="27"/>
    </row>
    <row r="53" spans="4:57" s="1" customFormat="1" ht="69.95" customHeight="1">
      <c r="D53" s="28">
        <v>33</v>
      </c>
      <c r="H53" s="4"/>
      <c r="I53" s="2"/>
      <c r="J53" s="81">
        <f t="shared" si="0"/>
        <v>-0.5641025641025641</v>
      </c>
      <c r="K53" s="81">
        <f t="shared" si="47"/>
        <v>-0.5641025641025641</v>
      </c>
      <c r="L53" s="81">
        <f t="shared" si="47"/>
        <v>7.4358974358974361</v>
      </c>
      <c r="M53" s="81">
        <f t="shared" si="47"/>
        <v>15.435897435897436</v>
      </c>
      <c r="N53" s="81">
        <f t="shared" si="47"/>
        <v>10.435897435897434</v>
      </c>
      <c r="O53" s="81">
        <f t="shared" si="47"/>
        <v>12.435897435897438</v>
      </c>
      <c r="P53" s="81">
        <f t="shared" si="47"/>
        <v>7.4358974358974379</v>
      </c>
      <c r="Q53" s="81">
        <f t="shared" si="47"/>
        <v>6.4358974358974379</v>
      </c>
      <c r="R53" s="81">
        <f t="shared" si="47"/>
        <v>5.4358974358974379</v>
      </c>
      <c r="S53" s="81">
        <f t="shared" si="47"/>
        <v>8.4358974358974308</v>
      </c>
      <c r="T53" s="81">
        <f t="shared" si="47"/>
        <v>2.4358974358974308</v>
      </c>
      <c r="U53" s="81">
        <f t="shared" si="47"/>
        <v>5.4358974358974308</v>
      </c>
      <c r="V53" s="81">
        <f t="shared" si="47"/>
        <v>5.4358974358974308</v>
      </c>
      <c r="W53" s="81">
        <f t="shared" si="47"/>
        <v>1.4358974358974308</v>
      </c>
      <c r="X53" s="81">
        <f t="shared" si="47"/>
        <v>3.4358974358974308</v>
      </c>
      <c r="Y53" s="81">
        <f t="shared" si="47"/>
        <v>2.4358974358974308</v>
      </c>
      <c r="Z53" s="81">
        <f t="shared" si="47"/>
        <v>-0.5641025641025692</v>
      </c>
      <c r="AA53" s="81">
        <f t="shared" si="47"/>
        <v>1.4358974358974308</v>
      </c>
      <c r="AB53" s="81">
        <f t="shared" si="47"/>
        <v>-0.5641025641025692</v>
      </c>
      <c r="AC53" s="81">
        <f t="shared" si="47"/>
        <v>-1.5641025641025692</v>
      </c>
      <c r="AD53" s="81">
        <f t="shared" si="47"/>
        <v>-2.5641025641025692</v>
      </c>
      <c r="AE53" s="81">
        <f t="shared" si="47"/>
        <v>-2.5641025641025692</v>
      </c>
      <c r="AF53" s="81">
        <f t="shared" si="47"/>
        <v>-5.5641025641025692</v>
      </c>
      <c r="AG53" s="81">
        <f t="shared" si="47"/>
        <v>-4.5641025641025692</v>
      </c>
      <c r="AH53" s="81">
        <f t="shared" si="47"/>
        <v>-4.5641025641025692</v>
      </c>
      <c r="AI53" s="81">
        <f t="shared" si="47"/>
        <v>-4.5641025641025692</v>
      </c>
      <c r="AJ53" s="81">
        <f t="shared" si="47"/>
        <v>-4.5641025641025692</v>
      </c>
      <c r="AK53" s="81">
        <f t="shared" si="47"/>
        <v>-4.5641025641025692</v>
      </c>
      <c r="AL53" s="81">
        <f t="shared" si="47"/>
        <v>-5.5641025641025692</v>
      </c>
      <c r="AM53" s="81">
        <f t="shared" si="47"/>
        <v>-9.5641025641025692</v>
      </c>
      <c r="AN53" s="81">
        <f t="shared" si="47"/>
        <v>-12.564102564102562</v>
      </c>
      <c r="AO53" s="81">
        <f t="shared" si="47"/>
        <v>-11.564102564102562</v>
      </c>
      <c r="AP53" s="81">
        <f t="shared" si="47"/>
        <v>-8.5641025641025621</v>
      </c>
      <c r="AQ53" s="81">
        <f t="shared" si="47"/>
        <v>-10.564102564102566</v>
      </c>
      <c r="AR53" s="81">
        <f t="shared" si="47"/>
        <v>-8.5641025641025657</v>
      </c>
      <c r="AS53" s="81">
        <f t="shared" si="47"/>
        <v>-8.5641025641025639</v>
      </c>
      <c r="AT53" s="81">
        <f t="shared" si="47"/>
        <v>-6.5641025641025639</v>
      </c>
      <c r="AU53" s="81">
        <f t="shared" si="47"/>
        <v>-4.5641025641025639</v>
      </c>
      <c r="AV53" s="81">
        <f t="shared" si="47"/>
        <v>6.4358974358974361</v>
      </c>
      <c r="AW53" s="81">
        <f t="shared" si="2"/>
        <v>-0.5641025641025641</v>
      </c>
      <c r="AY53" s="1">
        <f>'77'!CO15</f>
        <v>62.186666666666667</v>
      </c>
      <c r="BE53" s="27"/>
    </row>
    <row r="54" spans="4:57" s="1" customFormat="1" ht="69.95" customHeight="1">
      <c r="D54" s="28">
        <v>31</v>
      </c>
      <c r="H54" s="4"/>
      <c r="I54" s="2"/>
      <c r="J54" s="81">
        <f t="shared" si="0"/>
        <v>0.17948717948717949</v>
      </c>
      <c r="K54" s="81">
        <f t="shared" ref="K54:AV54" si="48">SUM($AW54,J16,-K16)</f>
        <v>-0.82051282051282048</v>
      </c>
      <c r="L54" s="81">
        <f t="shared" si="48"/>
        <v>-1.8205128205128205</v>
      </c>
      <c r="M54" s="81">
        <f t="shared" si="48"/>
        <v>0.17948717948717929</v>
      </c>
      <c r="N54" s="81">
        <f t="shared" si="48"/>
        <v>-0.82051282051282071</v>
      </c>
      <c r="O54" s="81">
        <f t="shared" si="48"/>
        <v>-1.8205128205128203</v>
      </c>
      <c r="P54" s="81">
        <f t="shared" si="48"/>
        <v>1.1794871794871797</v>
      </c>
      <c r="Q54" s="81">
        <f t="shared" si="48"/>
        <v>0.17948717948717974</v>
      </c>
      <c r="R54" s="81">
        <f t="shared" si="48"/>
        <v>0.17948717948717974</v>
      </c>
      <c r="S54" s="81">
        <f t="shared" si="48"/>
        <v>2.1794871794871797</v>
      </c>
      <c r="T54" s="81">
        <f t="shared" si="48"/>
        <v>1.1794871794871793</v>
      </c>
      <c r="U54" s="81">
        <f t="shared" si="48"/>
        <v>2.1794871794871793</v>
      </c>
      <c r="V54" s="81">
        <f t="shared" si="48"/>
        <v>2.1794871794871793</v>
      </c>
      <c r="W54" s="81">
        <f t="shared" si="48"/>
        <v>1.1794871794871795</v>
      </c>
      <c r="X54" s="81">
        <f t="shared" si="48"/>
        <v>2.1794871794871793</v>
      </c>
      <c r="Y54" s="81">
        <f t="shared" si="48"/>
        <v>1.1794871794871797</v>
      </c>
      <c r="Z54" s="81">
        <f t="shared" si="48"/>
        <v>0.17948717948717974</v>
      </c>
      <c r="AA54" s="81">
        <f t="shared" si="48"/>
        <v>0.17948717948717974</v>
      </c>
      <c r="AB54" s="81">
        <f t="shared" si="48"/>
        <v>0.17948717948717974</v>
      </c>
      <c r="AC54" s="81">
        <f t="shared" si="48"/>
        <v>-0.82051282051282026</v>
      </c>
      <c r="AD54" s="81">
        <f t="shared" si="48"/>
        <v>0.17948717948717974</v>
      </c>
      <c r="AE54" s="81">
        <f t="shared" si="48"/>
        <v>0.17948717948717974</v>
      </c>
      <c r="AF54" s="81">
        <f t="shared" si="48"/>
        <v>0.17948717948717974</v>
      </c>
      <c r="AG54" s="81">
        <f t="shared" si="48"/>
        <v>0.17948717948717974</v>
      </c>
      <c r="AH54" s="81">
        <f t="shared" si="48"/>
        <v>0.17948717948717974</v>
      </c>
      <c r="AI54" s="81">
        <f t="shared" si="48"/>
        <v>-0.82051282051282026</v>
      </c>
      <c r="AJ54" s="81">
        <f t="shared" si="48"/>
        <v>-0.82051282051282071</v>
      </c>
      <c r="AK54" s="81">
        <f t="shared" si="48"/>
        <v>0.17948717948717929</v>
      </c>
      <c r="AL54" s="81">
        <f t="shared" si="48"/>
        <v>-1.8205128205128207</v>
      </c>
      <c r="AM54" s="81">
        <f t="shared" si="48"/>
        <v>0.17948717948717952</v>
      </c>
      <c r="AN54" s="81">
        <f t="shared" si="48"/>
        <v>-2.8205128205128203</v>
      </c>
      <c r="AO54" s="81">
        <f t="shared" si="48"/>
        <v>-1.8205128205128207</v>
      </c>
      <c r="AP54" s="81">
        <f t="shared" si="48"/>
        <v>2.1794871794871797</v>
      </c>
      <c r="AQ54" s="81">
        <f t="shared" si="48"/>
        <v>-0.82051282051282071</v>
      </c>
      <c r="AR54" s="81">
        <f t="shared" si="48"/>
        <v>1.1794871794871793</v>
      </c>
      <c r="AS54" s="81">
        <f t="shared" si="48"/>
        <v>2.1794871794871793</v>
      </c>
      <c r="AT54" s="81">
        <f t="shared" si="48"/>
        <v>0.17948717948717949</v>
      </c>
      <c r="AU54" s="81">
        <f t="shared" si="48"/>
        <v>1.1794871794871795</v>
      </c>
      <c r="AV54" s="81">
        <f t="shared" si="48"/>
        <v>-0.82051282051282048</v>
      </c>
      <c r="AW54" s="81">
        <f t="shared" si="2"/>
        <v>0.17948717948717949</v>
      </c>
      <c r="AY54" s="1">
        <f>'77'!CO16</f>
        <v>3.3600000000000003</v>
      </c>
      <c r="BE54" s="27"/>
    </row>
    <row r="55" spans="4:57" s="1" customFormat="1" ht="69.95" customHeight="1">
      <c r="D55" s="28">
        <v>29</v>
      </c>
      <c r="H55" s="4"/>
      <c r="I55" s="2"/>
      <c r="J55" s="81">
        <f t="shared" si="0"/>
        <v>-0.35897435897435898</v>
      </c>
      <c r="K55" s="81">
        <f t="shared" ref="K55:AV56" si="49">SUM($AW55,J17,-K17)</f>
        <v>-1.358974358974359</v>
      </c>
      <c r="L55" s="81">
        <f t="shared" si="49"/>
        <v>-0.35897435897435903</v>
      </c>
      <c r="M55" s="81">
        <f t="shared" si="49"/>
        <v>0.64102564102564097</v>
      </c>
      <c r="N55" s="81">
        <f t="shared" si="49"/>
        <v>0.64102564102564097</v>
      </c>
      <c r="O55" s="81">
        <f t="shared" si="49"/>
        <v>0.64102564102564097</v>
      </c>
      <c r="P55" s="81">
        <f t="shared" si="49"/>
        <v>1.641025641025641</v>
      </c>
      <c r="Q55" s="81">
        <f t="shared" si="49"/>
        <v>0.64102564102564141</v>
      </c>
      <c r="R55" s="81">
        <f t="shared" si="49"/>
        <v>2.6410256410256414</v>
      </c>
      <c r="S55" s="81">
        <f t="shared" si="49"/>
        <v>4.6410256410256405</v>
      </c>
      <c r="T55" s="81">
        <f t="shared" si="49"/>
        <v>3.6410256410256405</v>
      </c>
      <c r="U55" s="81">
        <f t="shared" si="49"/>
        <v>1.6410256410256423</v>
      </c>
      <c r="V55" s="81">
        <f t="shared" si="49"/>
        <v>0.6410256410256423</v>
      </c>
      <c r="W55" s="81">
        <f t="shared" si="49"/>
        <v>1.6410256410256423</v>
      </c>
      <c r="X55" s="81">
        <f t="shared" si="49"/>
        <v>-1.3589743589743577</v>
      </c>
      <c r="Y55" s="81">
        <f t="shared" si="49"/>
        <v>-1.3589743589743577</v>
      </c>
      <c r="Z55" s="81">
        <f t="shared" si="49"/>
        <v>-1.3589743589743577</v>
      </c>
      <c r="AA55" s="81">
        <f t="shared" si="49"/>
        <v>-0.3589743589743577</v>
      </c>
      <c r="AB55" s="81">
        <f t="shared" si="49"/>
        <v>-1.3589743589743577</v>
      </c>
      <c r="AC55" s="81">
        <f t="shared" si="49"/>
        <v>-1.3589743589743577</v>
      </c>
      <c r="AD55" s="81">
        <f t="shared" si="49"/>
        <v>-1.3589743589743577</v>
      </c>
      <c r="AE55" s="81">
        <f t="shared" si="49"/>
        <v>-0.3589743589743577</v>
      </c>
      <c r="AF55" s="81">
        <f t="shared" si="49"/>
        <v>-1.3589743589743577</v>
      </c>
      <c r="AG55" s="81">
        <f t="shared" si="49"/>
        <v>-0.35897435897435948</v>
      </c>
      <c r="AH55" s="81">
        <f t="shared" si="49"/>
        <v>-0.35897435897435948</v>
      </c>
      <c r="AI55" s="81">
        <f t="shared" si="49"/>
        <v>0.64102564102564052</v>
      </c>
      <c r="AJ55" s="81">
        <f t="shared" si="49"/>
        <v>0.6410256410256423</v>
      </c>
      <c r="AK55" s="81">
        <f t="shared" si="49"/>
        <v>-3.3589743589743577</v>
      </c>
      <c r="AL55" s="81">
        <f t="shared" si="49"/>
        <v>-1.3589743589743595</v>
      </c>
      <c r="AM55" s="81">
        <f t="shared" si="49"/>
        <v>-1.3589743589743595</v>
      </c>
      <c r="AN55" s="81">
        <f t="shared" si="49"/>
        <v>-4.3589743589743595</v>
      </c>
      <c r="AO55" s="81">
        <f t="shared" si="49"/>
        <v>-4.3589743589743595</v>
      </c>
      <c r="AP55" s="81">
        <f t="shared" si="49"/>
        <v>-2.3589743589743586</v>
      </c>
      <c r="AQ55" s="81">
        <f t="shared" si="49"/>
        <v>-2.358974358974359</v>
      </c>
      <c r="AR55" s="81">
        <f t="shared" si="49"/>
        <v>-0.35897435897435898</v>
      </c>
      <c r="AS55" s="81">
        <f t="shared" si="49"/>
        <v>-0.35897435897435898</v>
      </c>
      <c r="AT55" s="81">
        <f t="shared" si="49"/>
        <v>-0.35897435897435898</v>
      </c>
      <c r="AU55" s="81">
        <f t="shared" si="49"/>
        <v>-0.35897435897435898</v>
      </c>
      <c r="AV55" s="81">
        <f t="shared" si="49"/>
        <v>-0.35897435897435898</v>
      </c>
      <c r="AW55" s="81">
        <f t="shared" si="2"/>
        <v>-0.35897435897435898</v>
      </c>
      <c r="AY55" s="1">
        <f>'77'!CO17</f>
        <v>10.386666666666667</v>
      </c>
      <c r="BE55" s="27"/>
    </row>
    <row r="56" spans="4:57" s="1" customFormat="1" ht="69.95" customHeight="1">
      <c r="D56" s="28">
        <v>27</v>
      </c>
      <c r="H56" s="4"/>
      <c r="I56" s="2"/>
      <c r="J56" s="81">
        <f t="shared" si="0"/>
        <v>-0.5641025641025641</v>
      </c>
      <c r="K56" s="81">
        <f t="shared" si="49"/>
        <v>-3.5641025641025639</v>
      </c>
      <c r="L56" s="81">
        <f t="shared" si="49"/>
        <v>0.43589743589743613</v>
      </c>
      <c r="M56" s="81">
        <f t="shared" si="49"/>
        <v>-0.5641025641025641</v>
      </c>
      <c r="N56" s="81">
        <f t="shared" si="49"/>
        <v>-1.5641025641025641</v>
      </c>
      <c r="O56" s="81">
        <f t="shared" si="49"/>
        <v>-1.5641025641025639</v>
      </c>
      <c r="P56" s="81">
        <f t="shared" si="49"/>
        <v>-0.56410256410256387</v>
      </c>
      <c r="Q56" s="81">
        <f t="shared" si="49"/>
        <v>-1.5641025641025639</v>
      </c>
      <c r="R56" s="81">
        <f t="shared" si="49"/>
        <v>-1.5641025641025639</v>
      </c>
      <c r="S56" s="81">
        <f t="shared" si="49"/>
        <v>1.4358974358974361</v>
      </c>
      <c r="T56" s="81">
        <f t="shared" si="49"/>
        <v>-0.56410256410256387</v>
      </c>
      <c r="U56" s="81">
        <f t="shared" si="49"/>
        <v>0.43589743589743613</v>
      </c>
      <c r="V56" s="81">
        <f t="shared" si="49"/>
        <v>1.4358974358974361</v>
      </c>
      <c r="W56" s="81">
        <f t="shared" si="49"/>
        <v>0.4358974358974359</v>
      </c>
      <c r="X56" s="81">
        <f t="shared" si="49"/>
        <v>1.4358974358974359</v>
      </c>
      <c r="Y56" s="81">
        <f t="shared" si="49"/>
        <v>0.43589743589743613</v>
      </c>
      <c r="Z56" s="81">
        <f t="shared" si="49"/>
        <v>0.43589743589743613</v>
      </c>
      <c r="AA56" s="81">
        <f t="shared" si="49"/>
        <v>-0.56410256410256387</v>
      </c>
      <c r="AB56" s="81">
        <f t="shared" si="49"/>
        <v>1.4358974358974361</v>
      </c>
      <c r="AC56" s="81">
        <f t="shared" si="49"/>
        <v>-0.56410256410256387</v>
      </c>
      <c r="AD56" s="81">
        <f t="shared" si="49"/>
        <v>-0.56410256410256387</v>
      </c>
      <c r="AE56" s="81">
        <f t="shared" si="49"/>
        <v>1.4358974358974361</v>
      </c>
      <c r="AF56" s="81">
        <f t="shared" si="49"/>
        <v>-0.56410256410256387</v>
      </c>
      <c r="AG56" s="81">
        <f t="shared" si="49"/>
        <v>-0.56410256410256387</v>
      </c>
      <c r="AH56" s="81">
        <f t="shared" si="49"/>
        <v>-0.56410256410256387</v>
      </c>
      <c r="AI56" s="81">
        <f t="shared" si="49"/>
        <v>-1.5641025641025639</v>
      </c>
      <c r="AJ56" s="81">
        <f t="shared" si="49"/>
        <v>-0.56410256410256387</v>
      </c>
      <c r="AK56" s="81">
        <f t="shared" si="49"/>
        <v>-1.5641025641025639</v>
      </c>
      <c r="AL56" s="81">
        <f t="shared" si="49"/>
        <v>-0.56410256410256387</v>
      </c>
      <c r="AM56" s="81">
        <f t="shared" si="49"/>
        <v>-1.5641025641025639</v>
      </c>
      <c r="AN56" s="81">
        <f t="shared" si="49"/>
        <v>-2.5641025641025639</v>
      </c>
      <c r="AO56" s="81">
        <f t="shared" si="49"/>
        <v>-1.5641025641025639</v>
      </c>
      <c r="AP56" s="81">
        <f t="shared" si="49"/>
        <v>-0.56410256410256387</v>
      </c>
      <c r="AQ56" s="81">
        <f t="shared" si="49"/>
        <v>-1.5641025641025639</v>
      </c>
      <c r="AR56" s="81">
        <f t="shared" si="49"/>
        <v>-0.5641025641025641</v>
      </c>
      <c r="AS56" s="81">
        <f t="shared" si="49"/>
        <v>-0.5641025641025641</v>
      </c>
      <c r="AT56" s="81">
        <f t="shared" si="49"/>
        <v>-0.5641025641025641</v>
      </c>
      <c r="AU56" s="81">
        <f t="shared" si="49"/>
        <v>-0.5641025641025641</v>
      </c>
      <c r="AV56" s="81">
        <f t="shared" si="49"/>
        <v>-1.5641025641025641</v>
      </c>
      <c r="AW56" s="81">
        <f t="shared" si="2"/>
        <v>-0.5641025641025641</v>
      </c>
      <c r="AY56" s="1">
        <f>'77'!CO18</f>
        <v>3.9200000000000004</v>
      </c>
      <c r="BE56" s="27"/>
    </row>
    <row r="57" spans="4:57" s="1" customFormat="1" ht="69.95" customHeight="1">
      <c r="D57" s="28">
        <v>25</v>
      </c>
      <c r="H57" s="4"/>
      <c r="I57" s="2"/>
      <c r="J57" s="81">
        <f t="shared" si="0"/>
        <v>0.84615384615384615</v>
      </c>
      <c r="K57" s="81">
        <f t="shared" ref="K57:AV58" si="50">SUM($AW57,J19,-K19)</f>
        <v>-0.15384615384615385</v>
      </c>
      <c r="L57" s="81">
        <f t="shared" si="50"/>
        <v>0.84615384615384626</v>
      </c>
      <c r="M57" s="81">
        <f t="shared" si="50"/>
        <v>1.8461538461538463</v>
      </c>
      <c r="N57" s="81">
        <f t="shared" si="50"/>
        <v>1.8461538461538463</v>
      </c>
      <c r="O57" s="81">
        <f t="shared" si="50"/>
        <v>1.8461538461538463</v>
      </c>
      <c r="P57" s="81">
        <f t="shared" si="50"/>
        <v>2.8461538461538463</v>
      </c>
      <c r="Q57" s="81">
        <f t="shared" si="50"/>
        <v>1.8461538461538463</v>
      </c>
      <c r="R57" s="81">
        <f t="shared" si="50"/>
        <v>3.8461538461538458</v>
      </c>
      <c r="S57" s="81">
        <f t="shared" si="50"/>
        <v>5.8461538461538458</v>
      </c>
      <c r="T57" s="81">
        <f t="shared" si="50"/>
        <v>4.8461538461538467</v>
      </c>
      <c r="U57" s="81">
        <f t="shared" si="50"/>
        <v>2.8461538461538467</v>
      </c>
      <c r="V57" s="81">
        <f t="shared" si="50"/>
        <v>1.8461538461538467</v>
      </c>
      <c r="W57" s="81">
        <f t="shared" si="50"/>
        <v>2.8461538461538467</v>
      </c>
      <c r="X57" s="81">
        <f t="shared" si="50"/>
        <v>-0.1538461538461533</v>
      </c>
      <c r="Y57" s="81">
        <f t="shared" si="50"/>
        <v>-0.1538461538461533</v>
      </c>
      <c r="Z57" s="81">
        <f t="shared" si="50"/>
        <v>-0.1538461538461533</v>
      </c>
      <c r="AA57" s="81">
        <f t="shared" si="50"/>
        <v>0.8461538461538467</v>
      </c>
      <c r="AB57" s="81">
        <f t="shared" si="50"/>
        <v>-0.1538461538461533</v>
      </c>
      <c r="AC57" s="81">
        <f t="shared" si="50"/>
        <v>-0.1538461538461533</v>
      </c>
      <c r="AD57" s="81">
        <f t="shared" si="50"/>
        <v>-0.1538461538461533</v>
      </c>
      <c r="AE57" s="81">
        <f t="shared" si="50"/>
        <v>0.8461538461538467</v>
      </c>
      <c r="AF57" s="81">
        <f t="shared" si="50"/>
        <v>-0.1538461538461533</v>
      </c>
      <c r="AG57" s="81">
        <f t="shared" si="50"/>
        <v>0.8461538461538467</v>
      </c>
      <c r="AH57" s="81">
        <f t="shared" si="50"/>
        <v>0.8461538461538467</v>
      </c>
      <c r="AI57" s="81">
        <f t="shared" si="50"/>
        <v>1.8461538461538467</v>
      </c>
      <c r="AJ57" s="81">
        <f t="shared" si="50"/>
        <v>1.8461538461538467</v>
      </c>
      <c r="AK57" s="81">
        <f t="shared" si="50"/>
        <v>-2.1538461538461533</v>
      </c>
      <c r="AL57" s="81">
        <f t="shared" si="50"/>
        <v>-0.1538461538461533</v>
      </c>
      <c r="AM57" s="81">
        <f t="shared" si="50"/>
        <v>-0.1538461538461533</v>
      </c>
      <c r="AN57" s="81">
        <f t="shared" si="50"/>
        <v>-3.1538461538461533</v>
      </c>
      <c r="AO57" s="81">
        <f t="shared" si="50"/>
        <v>-3.1538461538461542</v>
      </c>
      <c r="AP57" s="81">
        <f t="shared" si="50"/>
        <v>-1.1538461538461537</v>
      </c>
      <c r="AQ57" s="81">
        <f t="shared" si="50"/>
        <v>-1.1538461538461537</v>
      </c>
      <c r="AR57" s="81">
        <f t="shared" si="50"/>
        <v>0.84615384615384615</v>
      </c>
      <c r="AS57" s="81">
        <f t="shared" si="50"/>
        <v>0.84615384615384615</v>
      </c>
      <c r="AT57" s="81">
        <f t="shared" si="50"/>
        <v>0.84615384615384615</v>
      </c>
      <c r="AU57" s="81">
        <f t="shared" si="50"/>
        <v>0.84615384615384615</v>
      </c>
      <c r="AV57" s="81">
        <f t="shared" si="50"/>
        <v>0.84615384615384615</v>
      </c>
      <c r="AW57" s="81">
        <f t="shared" si="2"/>
        <v>0.84615384615384615</v>
      </c>
      <c r="AY57" s="1">
        <f>'77'!CO19</f>
        <v>10.386666666666667</v>
      </c>
      <c r="BE57" s="27"/>
    </row>
    <row r="58" spans="4:57" s="1" customFormat="1" ht="69.95" customHeight="1">
      <c r="D58" s="28">
        <v>23</v>
      </c>
      <c r="H58" s="4"/>
      <c r="I58" s="2"/>
      <c r="J58" s="81">
        <f t="shared" si="0"/>
        <v>-0.5641025641025641</v>
      </c>
      <c r="K58" s="81">
        <f t="shared" si="50"/>
        <v>-3.5641025641025639</v>
      </c>
      <c r="L58" s="81">
        <f t="shared" si="50"/>
        <v>0.43589743589743613</v>
      </c>
      <c r="M58" s="81">
        <f t="shared" si="50"/>
        <v>-0.5641025641025641</v>
      </c>
      <c r="N58" s="81">
        <f t="shared" si="50"/>
        <v>-1.5641025641025641</v>
      </c>
      <c r="O58" s="81">
        <f t="shared" si="50"/>
        <v>-1.5641025641025639</v>
      </c>
      <c r="P58" s="81">
        <f t="shared" si="50"/>
        <v>-0.56410256410256387</v>
      </c>
      <c r="Q58" s="81">
        <f t="shared" si="50"/>
        <v>-1.5641025641025639</v>
      </c>
      <c r="R58" s="81">
        <f t="shared" si="50"/>
        <v>-1.5641025641025639</v>
      </c>
      <c r="S58" s="81">
        <f t="shared" si="50"/>
        <v>1.4358974358974361</v>
      </c>
      <c r="T58" s="81">
        <f t="shared" si="50"/>
        <v>-0.56410256410256387</v>
      </c>
      <c r="U58" s="81">
        <f t="shared" si="50"/>
        <v>0.43589743589743613</v>
      </c>
      <c r="V58" s="81">
        <f t="shared" si="50"/>
        <v>1.4358974358974361</v>
      </c>
      <c r="W58" s="81">
        <f t="shared" si="50"/>
        <v>0.4358974358974359</v>
      </c>
      <c r="X58" s="81">
        <f t="shared" si="50"/>
        <v>1.4358974358974359</v>
      </c>
      <c r="Y58" s="81">
        <f t="shared" si="50"/>
        <v>0.43589743589743613</v>
      </c>
      <c r="Z58" s="81">
        <f t="shared" si="50"/>
        <v>0.43589743589743613</v>
      </c>
      <c r="AA58" s="81">
        <f t="shared" si="50"/>
        <v>-0.56410256410256387</v>
      </c>
      <c r="AB58" s="81">
        <f t="shared" si="50"/>
        <v>1.4358974358974361</v>
      </c>
      <c r="AC58" s="81">
        <f t="shared" si="50"/>
        <v>-0.56410256410256387</v>
      </c>
      <c r="AD58" s="81">
        <f t="shared" si="50"/>
        <v>-0.56410256410256387</v>
      </c>
      <c r="AE58" s="81">
        <f t="shared" si="50"/>
        <v>1.4358974358974361</v>
      </c>
      <c r="AF58" s="81">
        <f t="shared" si="50"/>
        <v>-0.56410256410256387</v>
      </c>
      <c r="AG58" s="81">
        <f t="shared" si="50"/>
        <v>-0.56410256410256387</v>
      </c>
      <c r="AH58" s="81">
        <f t="shared" si="50"/>
        <v>-0.56410256410256387</v>
      </c>
      <c r="AI58" s="81">
        <f t="shared" si="50"/>
        <v>-1.5641025641025639</v>
      </c>
      <c r="AJ58" s="81">
        <f t="shared" si="50"/>
        <v>-0.56410256410256387</v>
      </c>
      <c r="AK58" s="81">
        <f t="shared" si="50"/>
        <v>-1.5641025641025639</v>
      </c>
      <c r="AL58" s="81">
        <f t="shared" si="50"/>
        <v>-0.56410256410256387</v>
      </c>
      <c r="AM58" s="81">
        <f t="shared" si="50"/>
        <v>-1.5641025641025639</v>
      </c>
      <c r="AN58" s="81">
        <f t="shared" si="50"/>
        <v>-2.5641025641025639</v>
      </c>
      <c r="AO58" s="81">
        <f t="shared" si="50"/>
        <v>-1.5641025641025639</v>
      </c>
      <c r="AP58" s="81">
        <f t="shared" si="50"/>
        <v>-0.56410256410256387</v>
      </c>
      <c r="AQ58" s="81">
        <f t="shared" si="50"/>
        <v>-1.5641025641025639</v>
      </c>
      <c r="AR58" s="81">
        <f t="shared" si="50"/>
        <v>-0.5641025641025641</v>
      </c>
      <c r="AS58" s="81">
        <f t="shared" si="50"/>
        <v>-0.5641025641025641</v>
      </c>
      <c r="AT58" s="81">
        <f t="shared" si="50"/>
        <v>-0.5641025641025641</v>
      </c>
      <c r="AU58" s="81">
        <f t="shared" si="50"/>
        <v>-0.5641025641025641</v>
      </c>
      <c r="AV58" s="81">
        <f t="shared" si="50"/>
        <v>-1.5641025641025641</v>
      </c>
      <c r="AW58" s="81">
        <f t="shared" si="2"/>
        <v>-0.5641025641025641</v>
      </c>
      <c r="AY58" s="1">
        <f>'77'!CO20</f>
        <v>3.9200000000000004</v>
      </c>
      <c r="BE58" s="27"/>
    </row>
    <row r="59" spans="4:57" s="1" customFormat="1" ht="69.95" customHeight="1">
      <c r="D59" s="28">
        <v>21</v>
      </c>
      <c r="H59" s="4"/>
      <c r="I59" s="2"/>
      <c r="J59" s="81">
        <f t="shared" si="0"/>
        <v>1.4871794871794872</v>
      </c>
      <c r="K59" s="81">
        <f t="shared" ref="K59:AV60" si="51">SUM($AW59,J21,-K21)</f>
        <v>0.48717948717948723</v>
      </c>
      <c r="L59" s="81">
        <f t="shared" si="51"/>
        <v>1.4871794871794872</v>
      </c>
      <c r="M59" s="81">
        <f t="shared" si="51"/>
        <v>2.4871794871794872</v>
      </c>
      <c r="N59" s="81">
        <f t="shared" si="51"/>
        <v>2.4871794871794872</v>
      </c>
      <c r="O59" s="81">
        <f t="shared" si="51"/>
        <v>2.4871794871794872</v>
      </c>
      <c r="P59" s="81">
        <f t="shared" si="51"/>
        <v>3.4871794871794872</v>
      </c>
      <c r="Q59" s="81">
        <f t="shared" si="51"/>
        <v>2.4871794871794872</v>
      </c>
      <c r="R59" s="81">
        <f t="shared" si="51"/>
        <v>4.4871794871794872</v>
      </c>
      <c r="S59" s="81">
        <f t="shared" si="51"/>
        <v>6.4871794871794872</v>
      </c>
      <c r="T59" s="81">
        <f t="shared" si="51"/>
        <v>5.4871794871794872</v>
      </c>
      <c r="U59" s="81">
        <f t="shared" si="51"/>
        <v>3.4871794871794872</v>
      </c>
      <c r="V59" s="81">
        <f t="shared" si="51"/>
        <v>2.487179487179489</v>
      </c>
      <c r="W59" s="81">
        <f t="shared" si="51"/>
        <v>3.487179487179489</v>
      </c>
      <c r="X59" s="81">
        <f t="shared" si="51"/>
        <v>0.487179487179489</v>
      </c>
      <c r="Y59" s="81">
        <f t="shared" si="51"/>
        <v>0.487179487179489</v>
      </c>
      <c r="Z59" s="81">
        <f t="shared" si="51"/>
        <v>0.487179487179489</v>
      </c>
      <c r="AA59" s="81">
        <f t="shared" si="51"/>
        <v>1.487179487179489</v>
      </c>
      <c r="AB59" s="81">
        <f t="shared" si="51"/>
        <v>0.487179487179489</v>
      </c>
      <c r="AC59" s="81">
        <f t="shared" si="51"/>
        <v>0.487179487179489</v>
      </c>
      <c r="AD59" s="81">
        <f t="shared" si="51"/>
        <v>0.48717948717948723</v>
      </c>
      <c r="AE59" s="81">
        <f t="shared" si="51"/>
        <v>1.4871794871794872</v>
      </c>
      <c r="AF59" s="81">
        <f t="shared" si="51"/>
        <v>0.48717948717948723</v>
      </c>
      <c r="AG59" s="81">
        <f t="shared" si="51"/>
        <v>1.4871794871794872</v>
      </c>
      <c r="AH59" s="81">
        <f t="shared" si="51"/>
        <v>1.4871794871794872</v>
      </c>
      <c r="AI59" s="81">
        <f t="shared" si="51"/>
        <v>2.4871794871794872</v>
      </c>
      <c r="AJ59" s="81">
        <f t="shared" si="51"/>
        <v>2.4871794871794872</v>
      </c>
      <c r="AK59" s="81">
        <f t="shared" si="51"/>
        <v>-1.5128205128205128</v>
      </c>
      <c r="AL59" s="81">
        <f t="shared" si="51"/>
        <v>0.48717948717948723</v>
      </c>
      <c r="AM59" s="81">
        <f t="shared" si="51"/>
        <v>0.48717948717948723</v>
      </c>
      <c r="AN59" s="81">
        <f t="shared" si="51"/>
        <v>-2.5128205128205128</v>
      </c>
      <c r="AO59" s="81">
        <f t="shared" si="51"/>
        <v>-2.5128205128205128</v>
      </c>
      <c r="AP59" s="81">
        <f t="shared" si="51"/>
        <v>-0.51282051282051277</v>
      </c>
      <c r="AQ59" s="81">
        <f t="shared" si="51"/>
        <v>-0.51282051282051277</v>
      </c>
      <c r="AR59" s="81">
        <f t="shared" si="51"/>
        <v>1.4871794871794872</v>
      </c>
      <c r="AS59" s="81">
        <f t="shared" si="51"/>
        <v>1.4871794871794872</v>
      </c>
      <c r="AT59" s="81">
        <f t="shared" si="51"/>
        <v>1.4871794871794872</v>
      </c>
      <c r="AU59" s="81">
        <f t="shared" si="51"/>
        <v>1.4871794871794872</v>
      </c>
      <c r="AV59" s="81">
        <f t="shared" si="51"/>
        <v>1.4871794871794872</v>
      </c>
      <c r="AW59" s="81">
        <f t="shared" si="2"/>
        <v>1.4871794871794872</v>
      </c>
      <c r="AY59" s="1">
        <f>'77'!CO21</f>
        <v>10.386666666666667</v>
      </c>
      <c r="BE59" s="27"/>
    </row>
    <row r="60" spans="4:57" s="1" customFormat="1" ht="69.95" customHeight="1">
      <c r="D60" s="28">
        <v>19</v>
      </c>
      <c r="H60" s="4"/>
      <c r="I60" s="2"/>
      <c r="J60" s="81">
        <f t="shared" si="0"/>
        <v>-0.5641025641025641</v>
      </c>
      <c r="K60" s="81">
        <f t="shared" si="51"/>
        <v>-3.5641025641025639</v>
      </c>
      <c r="L60" s="81">
        <f t="shared" si="51"/>
        <v>0.43589743589743613</v>
      </c>
      <c r="M60" s="81">
        <f t="shared" si="51"/>
        <v>-0.5641025641025641</v>
      </c>
      <c r="N60" s="81">
        <f t="shared" si="51"/>
        <v>-1.5641025641025641</v>
      </c>
      <c r="O60" s="81">
        <f t="shared" si="51"/>
        <v>-1.5641025641025639</v>
      </c>
      <c r="P60" s="81">
        <f t="shared" si="51"/>
        <v>-0.56410256410256387</v>
      </c>
      <c r="Q60" s="81">
        <f t="shared" si="51"/>
        <v>-1.5641025641025639</v>
      </c>
      <c r="R60" s="81">
        <f t="shared" si="51"/>
        <v>-1.5641025641025639</v>
      </c>
      <c r="S60" s="81">
        <f t="shared" si="51"/>
        <v>1.4358974358974361</v>
      </c>
      <c r="T60" s="81">
        <f t="shared" si="51"/>
        <v>-0.56410256410256387</v>
      </c>
      <c r="U60" s="81">
        <f t="shared" si="51"/>
        <v>0.43589743589743613</v>
      </c>
      <c r="V60" s="81">
        <f t="shared" si="51"/>
        <v>1.4358974358974361</v>
      </c>
      <c r="W60" s="81">
        <f t="shared" si="51"/>
        <v>0.4358974358974359</v>
      </c>
      <c r="X60" s="81">
        <f t="shared" si="51"/>
        <v>1.4358974358974359</v>
      </c>
      <c r="Y60" s="81">
        <f t="shared" si="51"/>
        <v>0.43589743589743613</v>
      </c>
      <c r="Z60" s="81">
        <f t="shared" si="51"/>
        <v>0.43589743589743613</v>
      </c>
      <c r="AA60" s="81">
        <f t="shared" si="51"/>
        <v>-0.56410256410256387</v>
      </c>
      <c r="AB60" s="81">
        <f t="shared" si="51"/>
        <v>1.4358974358974361</v>
      </c>
      <c r="AC60" s="81">
        <f t="shared" si="51"/>
        <v>-0.56410256410256387</v>
      </c>
      <c r="AD60" s="81">
        <f t="shared" si="51"/>
        <v>-0.56410256410256387</v>
      </c>
      <c r="AE60" s="81">
        <f t="shared" si="51"/>
        <v>1.4358974358974361</v>
      </c>
      <c r="AF60" s="81">
        <f t="shared" si="51"/>
        <v>-0.56410256410256387</v>
      </c>
      <c r="AG60" s="81">
        <f t="shared" si="51"/>
        <v>-0.56410256410256387</v>
      </c>
      <c r="AH60" s="81">
        <f t="shared" si="51"/>
        <v>-0.56410256410256387</v>
      </c>
      <c r="AI60" s="81">
        <f t="shared" si="51"/>
        <v>-1.5641025641025639</v>
      </c>
      <c r="AJ60" s="81">
        <f t="shared" si="51"/>
        <v>-0.56410256410256387</v>
      </c>
      <c r="AK60" s="81">
        <f t="shared" si="51"/>
        <v>-1.5641025641025639</v>
      </c>
      <c r="AL60" s="81">
        <f t="shared" si="51"/>
        <v>-0.56410256410256387</v>
      </c>
      <c r="AM60" s="81">
        <f t="shared" si="51"/>
        <v>-1.5641025641025639</v>
      </c>
      <c r="AN60" s="81">
        <f t="shared" si="51"/>
        <v>-2.5641025641025639</v>
      </c>
      <c r="AO60" s="81">
        <f t="shared" si="51"/>
        <v>-1.5641025641025639</v>
      </c>
      <c r="AP60" s="81">
        <f t="shared" si="51"/>
        <v>-0.56410256410256387</v>
      </c>
      <c r="AQ60" s="81">
        <f t="shared" si="51"/>
        <v>-1.5641025641025639</v>
      </c>
      <c r="AR60" s="81">
        <f t="shared" si="51"/>
        <v>-0.5641025641025641</v>
      </c>
      <c r="AS60" s="81">
        <f t="shared" si="51"/>
        <v>-0.5641025641025641</v>
      </c>
      <c r="AT60" s="81">
        <f t="shared" si="51"/>
        <v>-0.5641025641025641</v>
      </c>
      <c r="AU60" s="81">
        <f t="shared" si="51"/>
        <v>-0.5641025641025641</v>
      </c>
      <c r="AV60" s="81">
        <f t="shared" si="51"/>
        <v>-1.5641025641025641</v>
      </c>
      <c r="AW60" s="81">
        <f t="shared" si="2"/>
        <v>-0.5641025641025641</v>
      </c>
      <c r="AY60" s="1">
        <f>'77'!CO22</f>
        <v>3.9200000000000004</v>
      </c>
      <c r="BE60" s="27"/>
    </row>
    <row r="61" spans="4:57" s="1" customFormat="1" ht="69.95" customHeight="1">
      <c r="D61" s="28">
        <v>17</v>
      </c>
      <c r="H61" s="4"/>
      <c r="I61" s="2"/>
      <c r="J61" s="81">
        <f t="shared" si="0"/>
        <v>-0.25641025641025639</v>
      </c>
      <c r="K61" s="81">
        <f t="shared" ref="K61:AV61" si="52">SUM($AW61,J23,-K23)</f>
        <v>0.74358974358974361</v>
      </c>
      <c r="L61" s="81">
        <f t="shared" si="52"/>
        <v>2.7435897435897436</v>
      </c>
      <c r="M61" s="81">
        <f t="shared" si="52"/>
        <v>2.7435897435897436</v>
      </c>
      <c r="N61" s="81">
        <f t="shared" si="52"/>
        <v>5.7435897435897436</v>
      </c>
      <c r="O61" s="81">
        <f t="shared" si="52"/>
        <v>3.7435897435897445</v>
      </c>
      <c r="P61" s="81">
        <f t="shared" si="52"/>
        <v>4.7435897435897445</v>
      </c>
      <c r="Q61" s="81">
        <f t="shared" si="52"/>
        <v>4.7435897435897445</v>
      </c>
      <c r="R61" s="81">
        <f t="shared" si="52"/>
        <v>3.7435897435897445</v>
      </c>
      <c r="S61" s="81">
        <f t="shared" si="52"/>
        <v>5.7435897435897445</v>
      </c>
      <c r="T61" s="81">
        <f t="shared" si="52"/>
        <v>4.7435897435897445</v>
      </c>
      <c r="U61" s="81">
        <f t="shared" si="52"/>
        <v>3.7435897435897445</v>
      </c>
      <c r="V61" s="81">
        <f t="shared" si="52"/>
        <v>4.7435897435897445</v>
      </c>
      <c r="W61" s="81">
        <f t="shared" si="52"/>
        <v>3.7435897435897445</v>
      </c>
      <c r="X61" s="81">
        <f t="shared" si="52"/>
        <v>4.7435897435897445</v>
      </c>
      <c r="Y61" s="81">
        <f t="shared" si="52"/>
        <v>5.7435897435897445</v>
      </c>
      <c r="Z61" s="81">
        <f t="shared" si="52"/>
        <v>3.7435897435897374</v>
      </c>
      <c r="AA61" s="81">
        <f t="shared" si="52"/>
        <v>3.7435897435897374</v>
      </c>
      <c r="AB61" s="81">
        <f t="shared" si="52"/>
        <v>4.7435897435897374</v>
      </c>
      <c r="AC61" s="81">
        <f t="shared" si="52"/>
        <v>3.7435897435897374</v>
      </c>
      <c r="AD61" s="81">
        <f t="shared" si="52"/>
        <v>1.7435897435897374</v>
      </c>
      <c r="AE61" s="81">
        <f t="shared" si="52"/>
        <v>3.7435897435897374</v>
      </c>
      <c r="AF61" s="81">
        <f t="shared" si="52"/>
        <v>1.7435897435897374</v>
      </c>
      <c r="AG61" s="81">
        <f t="shared" si="52"/>
        <v>-2.2564102564102626</v>
      </c>
      <c r="AH61" s="81">
        <f t="shared" si="52"/>
        <v>-1.2564102564102626</v>
      </c>
      <c r="AI61" s="81">
        <f t="shared" si="52"/>
        <v>-4.2564102564102626</v>
      </c>
      <c r="AJ61" s="81">
        <f t="shared" si="52"/>
        <v>-4.2564102564102626</v>
      </c>
      <c r="AK61" s="81">
        <f t="shared" si="52"/>
        <v>-6.2564102564102626</v>
      </c>
      <c r="AL61" s="81">
        <f t="shared" si="52"/>
        <v>-7.2564102564102626</v>
      </c>
      <c r="AM61" s="81">
        <f t="shared" si="52"/>
        <v>-7.2564102564102626</v>
      </c>
      <c r="AN61" s="81">
        <f t="shared" si="52"/>
        <v>-9.2564102564102555</v>
      </c>
      <c r="AO61" s="81">
        <f t="shared" si="52"/>
        <v>-13.256410256410255</v>
      </c>
      <c r="AP61" s="81">
        <f t="shared" si="52"/>
        <v>-8.2564102564102555</v>
      </c>
      <c r="AQ61" s="81">
        <f t="shared" si="52"/>
        <v>-8.2564102564102555</v>
      </c>
      <c r="AR61" s="81">
        <f t="shared" si="52"/>
        <v>-5.2564102564102555</v>
      </c>
      <c r="AS61" s="81">
        <f t="shared" si="52"/>
        <v>-8.2564102564102555</v>
      </c>
      <c r="AT61" s="81">
        <f t="shared" si="52"/>
        <v>-4.2564102564102555</v>
      </c>
      <c r="AU61" s="81">
        <f t="shared" si="52"/>
        <v>-2.2564102564102564</v>
      </c>
      <c r="AV61" s="81">
        <f t="shared" si="52"/>
        <v>-3.2564102564102564</v>
      </c>
      <c r="AW61" s="81">
        <f t="shared" si="2"/>
        <v>-0.25641025641025639</v>
      </c>
      <c r="AY61" s="1">
        <f>'77'!CO23</f>
        <v>47.040000000000006</v>
      </c>
      <c r="BE61" s="27"/>
    </row>
    <row r="62" spans="4:57" s="1" customFormat="1" ht="69.95" customHeight="1">
      <c r="D62" s="28">
        <v>15</v>
      </c>
      <c r="H62" s="4"/>
      <c r="I62" s="2"/>
      <c r="J62" s="81">
        <f t="shared" si="0"/>
        <v>-0.71794871794871795</v>
      </c>
      <c r="K62" s="81">
        <f t="shared" ref="K62:AV63" si="53">SUM($AW62,J24,-K24)</f>
        <v>-1.7179487179487181</v>
      </c>
      <c r="L62" s="81">
        <f t="shared" si="53"/>
        <v>-2.7179487179487181</v>
      </c>
      <c r="M62" s="81">
        <f t="shared" si="53"/>
        <v>-4.7179487179487181</v>
      </c>
      <c r="N62" s="81">
        <f t="shared" si="53"/>
        <v>-3.7179487179487181</v>
      </c>
      <c r="O62" s="81">
        <f t="shared" si="53"/>
        <v>-2.7179487179487172</v>
      </c>
      <c r="P62" s="81">
        <f t="shared" si="53"/>
        <v>0.28205128205128283</v>
      </c>
      <c r="Q62" s="81">
        <f t="shared" si="53"/>
        <v>-0.71794871794871717</v>
      </c>
      <c r="R62" s="81">
        <f t="shared" si="53"/>
        <v>0.28205128205128283</v>
      </c>
      <c r="S62" s="81">
        <f t="shared" si="53"/>
        <v>3.2820512820512828</v>
      </c>
      <c r="T62" s="81">
        <f t="shared" si="53"/>
        <v>2.2820512820512819</v>
      </c>
      <c r="U62" s="81">
        <f t="shared" si="53"/>
        <v>1.2820512820512819</v>
      </c>
      <c r="V62" s="81">
        <f t="shared" si="53"/>
        <v>5.2820512820512819</v>
      </c>
      <c r="W62" s="81">
        <f t="shared" si="53"/>
        <v>3.2820512820512819</v>
      </c>
      <c r="X62" s="81">
        <f t="shared" si="53"/>
        <v>5.2820512820512828</v>
      </c>
      <c r="Y62" s="81">
        <f t="shared" si="53"/>
        <v>4.2820512820512828</v>
      </c>
      <c r="Z62" s="81">
        <f t="shared" si="53"/>
        <v>3.282051282051281</v>
      </c>
      <c r="AA62" s="81">
        <f t="shared" si="53"/>
        <v>2.282051282051281</v>
      </c>
      <c r="AB62" s="81">
        <f t="shared" si="53"/>
        <v>3.282051282051281</v>
      </c>
      <c r="AC62" s="81">
        <f t="shared" si="53"/>
        <v>-0.71794871794871895</v>
      </c>
      <c r="AD62" s="81">
        <f t="shared" si="53"/>
        <v>-0.71794871794871895</v>
      </c>
      <c r="AE62" s="81">
        <f t="shared" si="53"/>
        <v>-0.71794871794871895</v>
      </c>
      <c r="AF62" s="81">
        <f t="shared" si="53"/>
        <v>-1.717948717948719</v>
      </c>
      <c r="AG62" s="81">
        <f t="shared" si="53"/>
        <v>-2.717948717948719</v>
      </c>
      <c r="AH62" s="81">
        <f t="shared" si="53"/>
        <v>-0.71794871794871895</v>
      </c>
      <c r="AI62" s="81">
        <f t="shared" si="53"/>
        <v>-0.71794871794871895</v>
      </c>
      <c r="AJ62" s="81">
        <f t="shared" si="53"/>
        <v>-1.717948717948719</v>
      </c>
      <c r="AK62" s="81">
        <f t="shared" si="53"/>
        <v>-0.71794871794871895</v>
      </c>
      <c r="AL62" s="81">
        <f t="shared" si="53"/>
        <v>-2.717948717948719</v>
      </c>
      <c r="AM62" s="81">
        <f t="shared" si="53"/>
        <v>-0.71794871794871895</v>
      </c>
      <c r="AN62" s="81">
        <f t="shared" si="53"/>
        <v>-1.717948717948719</v>
      </c>
      <c r="AO62" s="81">
        <f t="shared" si="53"/>
        <v>-4.717948717948719</v>
      </c>
      <c r="AP62" s="81">
        <f t="shared" si="53"/>
        <v>-1.717948717948719</v>
      </c>
      <c r="AQ62" s="81">
        <f t="shared" si="53"/>
        <v>-2.717948717948719</v>
      </c>
      <c r="AR62" s="81">
        <f t="shared" si="53"/>
        <v>-1.717948717948719</v>
      </c>
      <c r="AS62" s="81">
        <f t="shared" si="53"/>
        <v>-1.717948717948719</v>
      </c>
      <c r="AT62" s="81">
        <f t="shared" si="53"/>
        <v>-4.7179487179487172</v>
      </c>
      <c r="AU62" s="81">
        <f t="shared" si="53"/>
        <v>-2.7179487179487172</v>
      </c>
      <c r="AV62" s="81">
        <f t="shared" si="53"/>
        <v>-9.7179487179487172</v>
      </c>
      <c r="AW62" s="81">
        <f t="shared" si="2"/>
        <v>-0.71794871794871795</v>
      </c>
      <c r="AY62" s="1">
        <f>'77'!CO24</f>
        <v>17.240000000000002</v>
      </c>
      <c r="BE62" s="27"/>
    </row>
    <row r="63" spans="4:57" s="1" customFormat="1" ht="69.95" customHeight="1">
      <c r="D63" s="28">
        <v>13</v>
      </c>
      <c r="H63" s="4"/>
      <c r="I63" s="2"/>
      <c r="J63" s="81">
        <f t="shared" si="0"/>
        <v>-0.5641025641025641</v>
      </c>
      <c r="K63" s="81">
        <f t="shared" si="53"/>
        <v>-3.5641025641025639</v>
      </c>
      <c r="L63" s="81">
        <f t="shared" si="53"/>
        <v>0.43589743589743613</v>
      </c>
      <c r="M63" s="81">
        <f t="shared" si="53"/>
        <v>-0.5641025641025641</v>
      </c>
      <c r="N63" s="81">
        <f t="shared" si="53"/>
        <v>-1.5641025641025641</v>
      </c>
      <c r="O63" s="81">
        <f t="shared" si="53"/>
        <v>-1.5641025641025639</v>
      </c>
      <c r="P63" s="81">
        <f t="shared" si="53"/>
        <v>-0.56410256410256387</v>
      </c>
      <c r="Q63" s="81">
        <f t="shared" si="53"/>
        <v>-1.5641025641025639</v>
      </c>
      <c r="R63" s="81">
        <f t="shared" si="53"/>
        <v>-1.5641025641025639</v>
      </c>
      <c r="S63" s="81">
        <f t="shared" si="53"/>
        <v>1.4358974358974361</v>
      </c>
      <c r="T63" s="81">
        <f t="shared" si="53"/>
        <v>-0.56410256410256387</v>
      </c>
      <c r="U63" s="81">
        <f t="shared" si="53"/>
        <v>0.43589743589743613</v>
      </c>
      <c r="V63" s="81">
        <f t="shared" si="53"/>
        <v>1.4358974358974361</v>
      </c>
      <c r="W63" s="81">
        <f t="shared" si="53"/>
        <v>0.4358974358974359</v>
      </c>
      <c r="X63" s="81">
        <f t="shared" si="53"/>
        <v>1.4358974358974359</v>
      </c>
      <c r="Y63" s="81">
        <f t="shared" si="53"/>
        <v>0.43589743589743613</v>
      </c>
      <c r="Z63" s="81">
        <f t="shared" si="53"/>
        <v>0.43589743589743613</v>
      </c>
      <c r="AA63" s="81">
        <f t="shared" si="53"/>
        <v>-0.56410256410256387</v>
      </c>
      <c r="AB63" s="81">
        <f t="shared" si="53"/>
        <v>1.4358974358974361</v>
      </c>
      <c r="AC63" s="81">
        <f t="shared" si="53"/>
        <v>-0.56410256410256387</v>
      </c>
      <c r="AD63" s="81">
        <f t="shared" si="53"/>
        <v>-0.56410256410256387</v>
      </c>
      <c r="AE63" s="81">
        <f t="shared" si="53"/>
        <v>1.4358974358974361</v>
      </c>
      <c r="AF63" s="81">
        <f t="shared" si="53"/>
        <v>-0.56410256410256387</v>
      </c>
      <c r="AG63" s="81">
        <f t="shared" si="53"/>
        <v>-0.56410256410256387</v>
      </c>
      <c r="AH63" s="81">
        <f t="shared" si="53"/>
        <v>-0.56410256410256387</v>
      </c>
      <c r="AI63" s="81">
        <f t="shared" si="53"/>
        <v>-1.5641025641025639</v>
      </c>
      <c r="AJ63" s="81">
        <f t="shared" si="53"/>
        <v>-0.56410256410256387</v>
      </c>
      <c r="AK63" s="81">
        <f t="shared" si="53"/>
        <v>-1.5641025641025639</v>
      </c>
      <c r="AL63" s="81">
        <f t="shared" si="53"/>
        <v>-0.56410256410256387</v>
      </c>
      <c r="AM63" s="81">
        <f t="shared" si="53"/>
        <v>-1.5641025641025639</v>
      </c>
      <c r="AN63" s="81">
        <f t="shared" si="53"/>
        <v>-2.5641025641025639</v>
      </c>
      <c r="AO63" s="81">
        <f t="shared" si="53"/>
        <v>-1.5641025641025639</v>
      </c>
      <c r="AP63" s="81">
        <f t="shared" si="53"/>
        <v>-0.56410256410256387</v>
      </c>
      <c r="AQ63" s="81">
        <f t="shared" si="53"/>
        <v>-1.5641025641025639</v>
      </c>
      <c r="AR63" s="81">
        <f t="shared" si="53"/>
        <v>-0.5641025641025641</v>
      </c>
      <c r="AS63" s="81">
        <f t="shared" si="53"/>
        <v>-0.5641025641025641</v>
      </c>
      <c r="AT63" s="81">
        <f t="shared" si="53"/>
        <v>-0.5641025641025641</v>
      </c>
      <c r="AU63" s="81">
        <f t="shared" si="53"/>
        <v>-0.5641025641025641</v>
      </c>
      <c r="AV63" s="81">
        <f t="shared" si="53"/>
        <v>-1.5641025641025641</v>
      </c>
      <c r="AW63" s="81">
        <f t="shared" si="2"/>
        <v>-0.5641025641025641</v>
      </c>
      <c r="AY63" s="1">
        <f>'77'!CO25</f>
        <v>3.9200000000000004</v>
      </c>
      <c r="BE63" s="27"/>
    </row>
    <row r="64" spans="4:57" s="1" customFormat="1" ht="69.95" customHeight="1">
      <c r="D64" s="28">
        <v>11</v>
      </c>
      <c r="H64" s="4"/>
      <c r="I64" s="2"/>
      <c r="J64" s="81">
        <f t="shared" si="0"/>
        <v>-0.69230769230769229</v>
      </c>
      <c r="K64" s="81">
        <f t="shared" ref="K64:AV65" si="54">SUM($AW64,J26,-K26)</f>
        <v>-0.69230769230769229</v>
      </c>
      <c r="L64" s="81">
        <f t="shared" si="54"/>
        <v>-2.6923076923076925</v>
      </c>
      <c r="M64" s="81">
        <f t="shared" si="54"/>
        <v>-2.6923076923076925</v>
      </c>
      <c r="N64" s="81">
        <f t="shared" si="54"/>
        <v>-1.6923076923076925</v>
      </c>
      <c r="O64" s="81">
        <f t="shared" si="54"/>
        <v>-0.69230769230769251</v>
      </c>
      <c r="P64" s="81">
        <f t="shared" si="54"/>
        <v>1.3076923076923075</v>
      </c>
      <c r="Q64" s="81">
        <f t="shared" si="54"/>
        <v>1.3076923076923075</v>
      </c>
      <c r="R64" s="81">
        <f t="shared" si="54"/>
        <v>2.3076923076923075</v>
      </c>
      <c r="S64" s="81">
        <f t="shared" si="54"/>
        <v>4.3076923076923075</v>
      </c>
      <c r="T64" s="81">
        <f t="shared" si="54"/>
        <v>6.3076923076923075</v>
      </c>
      <c r="U64" s="81">
        <f t="shared" si="54"/>
        <v>4.3076923076923084</v>
      </c>
      <c r="V64" s="81">
        <f t="shared" si="54"/>
        <v>3.3076923076923066</v>
      </c>
      <c r="W64" s="81">
        <f t="shared" si="54"/>
        <v>5.3076923076923066</v>
      </c>
      <c r="X64" s="81">
        <f t="shared" si="54"/>
        <v>4.3076923076923066</v>
      </c>
      <c r="Y64" s="81">
        <f t="shared" si="54"/>
        <v>4.3076923076923066</v>
      </c>
      <c r="Z64" s="81">
        <f t="shared" si="54"/>
        <v>0.3076923076923066</v>
      </c>
      <c r="AA64" s="81">
        <f t="shared" si="54"/>
        <v>0.3076923076923066</v>
      </c>
      <c r="AB64" s="81">
        <f t="shared" si="54"/>
        <v>1.3076923076923066</v>
      </c>
      <c r="AC64" s="81">
        <f t="shared" si="54"/>
        <v>-0.6923076923076934</v>
      </c>
      <c r="AD64" s="81">
        <f t="shared" si="54"/>
        <v>-0.6923076923076934</v>
      </c>
      <c r="AE64" s="81">
        <f t="shared" si="54"/>
        <v>-0.6923076923076934</v>
      </c>
      <c r="AF64" s="81">
        <f t="shared" si="54"/>
        <v>-0.6923076923076934</v>
      </c>
      <c r="AG64" s="81">
        <f t="shared" si="54"/>
        <v>-1.6923076923076934</v>
      </c>
      <c r="AH64" s="81">
        <f t="shared" si="54"/>
        <v>0.3076923076923066</v>
      </c>
      <c r="AI64" s="81">
        <f t="shared" si="54"/>
        <v>0.3076923076923066</v>
      </c>
      <c r="AJ64" s="81">
        <f t="shared" si="54"/>
        <v>0.3076923076923066</v>
      </c>
      <c r="AK64" s="81">
        <f t="shared" si="54"/>
        <v>0.3076923076923066</v>
      </c>
      <c r="AL64" s="81">
        <f t="shared" si="54"/>
        <v>1.3076923076923066</v>
      </c>
      <c r="AM64" s="81">
        <f t="shared" si="54"/>
        <v>1.3076923076923066</v>
      </c>
      <c r="AN64" s="81">
        <f t="shared" si="54"/>
        <v>-1.6923076923076934</v>
      </c>
      <c r="AO64" s="81">
        <f t="shared" si="54"/>
        <v>-3.6923076923076934</v>
      </c>
      <c r="AP64" s="81">
        <f t="shared" si="54"/>
        <v>-4.6923076923076934</v>
      </c>
      <c r="AQ64" s="81">
        <f t="shared" si="54"/>
        <v>-6.6923076923076934</v>
      </c>
      <c r="AR64" s="81">
        <f t="shared" si="54"/>
        <v>-6.6923076923076934</v>
      </c>
      <c r="AS64" s="81">
        <f t="shared" si="54"/>
        <v>-11.692307692307693</v>
      </c>
      <c r="AT64" s="81">
        <f t="shared" si="54"/>
        <v>-5.6923076923076934</v>
      </c>
      <c r="AU64" s="81">
        <f t="shared" si="54"/>
        <v>-4.6923076923076916</v>
      </c>
      <c r="AV64" s="81">
        <f t="shared" si="54"/>
        <v>-10.692307692307692</v>
      </c>
      <c r="AW64" s="81">
        <f t="shared" si="2"/>
        <v>-0.69230769230769229</v>
      </c>
      <c r="AY64" s="1">
        <f>'77'!CO26</f>
        <v>27.866666666666667</v>
      </c>
      <c r="BE64" s="27"/>
    </row>
    <row r="65" spans="4:70" s="1" customFormat="1" ht="69.95" customHeight="1">
      <c r="D65" s="28">
        <v>9</v>
      </c>
      <c r="H65" s="4"/>
      <c r="I65" s="2"/>
      <c r="J65" s="81">
        <f t="shared" si="0"/>
        <v>-0.5641025641025641</v>
      </c>
      <c r="K65" s="81">
        <f t="shared" si="54"/>
        <v>-3.5641025641025639</v>
      </c>
      <c r="L65" s="81">
        <f t="shared" si="54"/>
        <v>0.43589743589743613</v>
      </c>
      <c r="M65" s="81">
        <f t="shared" si="54"/>
        <v>-0.5641025641025641</v>
      </c>
      <c r="N65" s="81">
        <f t="shared" si="54"/>
        <v>-1.5641025641025641</v>
      </c>
      <c r="O65" s="81">
        <f t="shared" si="54"/>
        <v>-1.5641025641025639</v>
      </c>
      <c r="P65" s="81">
        <f t="shared" si="54"/>
        <v>-0.56410256410256387</v>
      </c>
      <c r="Q65" s="81">
        <f t="shared" si="54"/>
        <v>-1.5641025641025639</v>
      </c>
      <c r="R65" s="81">
        <f t="shared" si="54"/>
        <v>-1.5641025641025639</v>
      </c>
      <c r="S65" s="81">
        <f t="shared" si="54"/>
        <v>1.4358974358974361</v>
      </c>
      <c r="T65" s="81">
        <f t="shared" si="54"/>
        <v>-0.56410256410256387</v>
      </c>
      <c r="U65" s="81">
        <f t="shared" si="54"/>
        <v>0.43589743589743613</v>
      </c>
      <c r="V65" s="81">
        <f t="shared" si="54"/>
        <v>1.4358974358974361</v>
      </c>
      <c r="W65" s="81">
        <f t="shared" si="54"/>
        <v>0.4358974358974359</v>
      </c>
      <c r="X65" s="81">
        <f t="shared" si="54"/>
        <v>1.4358974358974359</v>
      </c>
      <c r="Y65" s="81">
        <f t="shared" si="54"/>
        <v>0.43589743589743613</v>
      </c>
      <c r="Z65" s="81">
        <f t="shared" si="54"/>
        <v>0.43589743589743613</v>
      </c>
      <c r="AA65" s="81">
        <f t="shared" si="54"/>
        <v>-0.56410256410256387</v>
      </c>
      <c r="AB65" s="81">
        <f t="shared" si="54"/>
        <v>1.4358974358974361</v>
      </c>
      <c r="AC65" s="81">
        <f t="shared" si="54"/>
        <v>-0.56410256410256387</v>
      </c>
      <c r="AD65" s="81">
        <f t="shared" si="54"/>
        <v>-0.56410256410256387</v>
      </c>
      <c r="AE65" s="81">
        <f t="shared" si="54"/>
        <v>1.4358974358974361</v>
      </c>
      <c r="AF65" s="81">
        <f t="shared" si="54"/>
        <v>-0.56410256410256387</v>
      </c>
      <c r="AG65" s="81">
        <f t="shared" si="54"/>
        <v>-0.56410256410256387</v>
      </c>
      <c r="AH65" s="81">
        <f t="shared" si="54"/>
        <v>-0.56410256410256387</v>
      </c>
      <c r="AI65" s="81">
        <f t="shared" si="54"/>
        <v>-1.5641025641025639</v>
      </c>
      <c r="AJ65" s="81">
        <f t="shared" si="54"/>
        <v>-0.56410256410256387</v>
      </c>
      <c r="AK65" s="81">
        <f t="shared" si="54"/>
        <v>-1.5641025641025639</v>
      </c>
      <c r="AL65" s="81">
        <f t="shared" si="54"/>
        <v>-0.56410256410256387</v>
      </c>
      <c r="AM65" s="81">
        <f t="shared" si="54"/>
        <v>-1.5641025641025639</v>
      </c>
      <c r="AN65" s="81">
        <f t="shared" si="54"/>
        <v>-2.5641025641025639</v>
      </c>
      <c r="AO65" s="81">
        <f t="shared" si="54"/>
        <v>-1.5641025641025639</v>
      </c>
      <c r="AP65" s="81">
        <f t="shared" si="54"/>
        <v>-0.56410256410256387</v>
      </c>
      <c r="AQ65" s="81">
        <f t="shared" si="54"/>
        <v>-1.5641025641025639</v>
      </c>
      <c r="AR65" s="81">
        <f t="shared" si="54"/>
        <v>-0.5641025641025641</v>
      </c>
      <c r="AS65" s="81">
        <f t="shared" si="54"/>
        <v>-0.5641025641025641</v>
      </c>
      <c r="AT65" s="81">
        <f t="shared" si="54"/>
        <v>-0.5641025641025641</v>
      </c>
      <c r="AU65" s="81">
        <f t="shared" si="54"/>
        <v>-0.5641025641025641</v>
      </c>
      <c r="AV65" s="81">
        <f t="shared" si="54"/>
        <v>-1.5641025641025641</v>
      </c>
      <c r="AW65" s="81">
        <f t="shared" si="2"/>
        <v>-0.5641025641025641</v>
      </c>
      <c r="AY65" s="1">
        <f>'77'!CO27</f>
        <v>3.9200000000000004</v>
      </c>
      <c r="BE65" s="27"/>
    </row>
    <row r="66" spans="4:70" s="1" customFormat="1" ht="69.95" customHeight="1">
      <c r="D66" s="28">
        <v>7</v>
      </c>
      <c r="H66" s="4"/>
      <c r="I66" s="2"/>
      <c r="J66" s="81">
        <f t="shared" si="0"/>
        <v>0.23076923076923075</v>
      </c>
      <c r="K66" s="81">
        <f t="shared" ref="K66:AV67" si="55">SUM($AW66,J28,-K28)</f>
        <v>0.23076923076923075</v>
      </c>
      <c r="L66" s="81">
        <f t="shared" si="55"/>
        <v>1.2307692307692308</v>
      </c>
      <c r="M66" s="81">
        <f t="shared" si="55"/>
        <v>1.2307692307692308</v>
      </c>
      <c r="N66" s="81">
        <f t="shared" si="55"/>
        <v>2.2307692307692308</v>
      </c>
      <c r="O66" s="81">
        <f t="shared" si="55"/>
        <v>3.2307692307692308</v>
      </c>
      <c r="P66" s="81">
        <f t="shared" si="55"/>
        <v>3.2307692307692308</v>
      </c>
      <c r="Q66" s="81">
        <f t="shared" si="55"/>
        <v>4.2307692307692299</v>
      </c>
      <c r="R66" s="81">
        <f t="shared" si="55"/>
        <v>5.2307692307692299</v>
      </c>
      <c r="S66" s="81">
        <f t="shared" si="55"/>
        <v>6.2307692307692299</v>
      </c>
      <c r="T66" s="81">
        <f t="shared" si="55"/>
        <v>6.2307692307692299</v>
      </c>
      <c r="U66" s="81">
        <f t="shared" si="55"/>
        <v>7.2307692307692299</v>
      </c>
      <c r="V66" s="81">
        <f t="shared" si="55"/>
        <v>6.2307692307692335</v>
      </c>
      <c r="W66" s="81">
        <f t="shared" si="55"/>
        <v>7.2307692307692335</v>
      </c>
      <c r="X66" s="81">
        <f t="shared" si="55"/>
        <v>6.2307692307692335</v>
      </c>
      <c r="Y66" s="81">
        <f t="shared" si="55"/>
        <v>6.2307692307692335</v>
      </c>
      <c r="Z66" s="81">
        <f t="shared" si="55"/>
        <v>2.2307692307692335</v>
      </c>
      <c r="AA66" s="81">
        <f t="shared" si="55"/>
        <v>3.2307692307692264</v>
      </c>
      <c r="AB66" s="81">
        <f t="shared" si="55"/>
        <v>3.2307692307692264</v>
      </c>
      <c r="AC66" s="81">
        <f t="shared" si="55"/>
        <v>-0.7692307692307736</v>
      </c>
      <c r="AD66" s="81">
        <f t="shared" si="55"/>
        <v>1.2307692307692264</v>
      </c>
      <c r="AE66" s="81">
        <f t="shared" si="55"/>
        <v>1.2307692307692264</v>
      </c>
      <c r="AF66" s="81">
        <f t="shared" si="55"/>
        <v>-0.7692307692307736</v>
      </c>
      <c r="AG66" s="81">
        <f t="shared" si="55"/>
        <v>-1.7692307692307736</v>
      </c>
      <c r="AH66" s="81">
        <f t="shared" si="55"/>
        <v>-1.7692307692307736</v>
      </c>
      <c r="AI66" s="81">
        <f t="shared" si="55"/>
        <v>-1.7692307692307736</v>
      </c>
      <c r="AJ66" s="81">
        <f t="shared" si="55"/>
        <v>-1.7692307692307736</v>
      </c>
      <c r="AK66" s="81">
        <f t="shared" si="55"/>
        <v>-0.7692307692307665</v>
      </c>
      <c r="AL66" s="81">
        <f t="shared" si="55"/>
        <v>-0.7692307692307665</v>
      </c>
      <c r="AM66" s="81">
        <f t="shared" si="55"/>
        <v>-1.7692307692307665</v>
      </c>
      <c r="AN66" s="81">
        <f t="shared" si="55"/>
        <v>-2.7692307692307665</v>
      </c>
      <c r="AO66" s="81">
        <f t="shared" si="55"/>
        <v>-5.7692307692307665</v>
      </c>
      <c r="AP66" s="81">
        <f t="shared" si="55"/>
        <v>-5.7692307692307665</v>
      </c>
      <c r="AQ66" s="81">
        <f t="shared" si="55"/>
        <v>-7.7692307692307665</v>
      </c>
      <c r="AR66" s="81">
        <f t="shared" si="55"/>
        <v>-7.7692307692307665</v>
      </c>
      <c r="AS66" s="81">
        <f t="shared" si="55"/>
        <v>-8.7692307692307701</v>
      </c>
      <c r="AT66" s="81">
        <f t="shared" si="55"/>
        <v>-5.7692307692307701</v>
      </c>
      <c r="AU66" s="81">
        <f t="shared" si="55"/>
        <v>-5.7692307692307701</v>
      </c>
      <c r="AV66" s="81">
        <f t="shared" si="55"/>
        <v>-6.7692307692307692</v>
      </c>
      <c r="AW66" s="81">
        <f t="shared" si="2"/>
        <v>0.23076923076923075</v>
      </c>
      <c r="AY66" s="1">
        <f>'77'!CO28</f>
        <v>41.28</v>
      </c>
      <c r="BE66" s="27"/>
    </row>
    <row r="67" spans="4:70" s="1" customFormat="1" ht="69.95" customHeight="1">
      <c r="D67" s="28">
        <v>5</v>
      </c>
      <c r="H67" s="4"/>
      <c r="I67" s="2"/>
      <c r="J67" s="81">
        <f t="shared" si="0"/>
        <v>-0.5641025641025641</v>
      </c>
      <c r="K67" s="81">
        <f t="shared" si="55"/>
        <v>-3.5641025641025639</v>
      </c>
      <c r="L67" s="81">
        <f t="shared" si="55"/>
        <v>0.43589743589743613</v>
      </c>
      <c r="M67" s="81">
        <f t="shared" si="55"/>
        <v>-0.5641025641025641</v>
      </c>
      <c r="N67" s="81">
        <f t="shared" si="55"/>
        <v>-1.5641025641025641</v>
      </c>
      <c r="O67" s="81">
        <f t="shared" si="55"/>
        <v>-1.5641025641025639</v>
      </c>
      <c r="P67" s="81">
        <f t="shared" si="55"/>
        <v>-0.56410256410256387</v>
      </c>
      <c r="Q67" s="81">
        <f t="shared" si="55"/>
        <v>-1.5641025641025639</v>
      </c>
      <c r="R67" s="81">
        <f t="shared" si="55"/>
        <v>-1.5641025641025639</v>
      </c>
      <c r="S67" s="81">
        <f t="shared" si="55"/>
        <v>1.4358974358974361</v>
      </c>
      <c r="T67" s="81">
        <f t="shared" si="55"/>
        <v>-0.56410256410256387</v>
      </c>
      <c r="U67" s="81">
        <f t="shared" si="55"/>
        <v>0.43589743589743613</v>
      </c>
      <c r="V67" s="81">
        <f t="shared" si="55"/>
        <v>1.4358974358974361</v>
      </c>
      <c r="W67" s="81">
        <f t="shared" si="55"/>
        <v>0.4358974358974359</v>
      </c>
      <c r="X67" s="81">
        <f t="shared" si="55"/>
        <v>1.4358974358974359</v>
      </c>
      <c r="Y67" s="81">
        <f t="shared" si="55"/>
        <v>0.43589743589743613</v>
      </c>
      <c r="Z67" s="81">
        <f t="shared" si="55"/>
        <v>0.43589743589743613</v>
      </c>
      <c r="AA67" s="81">
        <f t="shared" si="55"/>
        <v>-0.56410256410256387</v>
      </c>
      <c r="AB67" s="81">
        <f t="shared" si="55"/>
        <v>1.4358974358974361</v>
      </c>
      <c r="AC67" s="81">
        <f t="shared" si="55"/>
        <v>-0.56410256410256387</v>
      </c>
      <c r="AD67" s="81">
        <f t="shared" si="55"/>
        <v>-0.56410256410256387</v>
      </c>
      <c r="AE67" s="81">
        <f t="shared" si="55"/>
        <v>1.4358974358974361</v>
      </c>
      <c r="AF67" s="81">
        <f t="shared" si="55"/>
        <v>-0.56410256410256387</v>
      </c>
      <c r="AG67" s="81">
        <f t="shared" si="55"/>
        <v>-0.56410256410256387</v>
      </c>
      <c r="AH67" s="81">
        <f t="shared" si="55"/>
        <v>-0.56410256410256387</v>
      </c>
      <c r="AI67" s="81">
        <f t="shared" si="55"/>
        <v>-1.5641025641025639</v>
      </c>
      <c r="AJ67" s="81">
        <f t="shared" si="55"/>
        <v>-0.56410256410256387</v>
      </c>
      <c r="AK67" s="81">
        <f t="shared" si="55"/>
        <v>-1.5641025641025639</v>
      </c>
      <c r="AL67" s="81">
        <f t="shared" si="55"/>
        <v>-0.56410256410256387</v>
      </c>
      <c r="AM67" s="81">
        <f t="shared" si="55"/>
        <v>-1.5641025641025639</v>
      </c>
      <c r="AN67" s="81">
        <f t="shared" si="55"/>
        <v>-2.5641025641025639</v>
      </c>
      <c r="AO67" s="81">
        <f t="shared" si="55"/>
        <v>-1.5641025641025639</v>
      </c>
      <c r="AP67" s="81">
        <f t="shared" si="55"/>
        <v>-0.56410256410256387</v>
      </c>
      <c r="AQ67" s="81">
        <f t="shared" si="55"/>
        <v>-1.5641025641025639</v>
      </c>
      <c r="AR67" s="81">
        <f t="shared" si="55"/>
        <v>-0.5641025641025641</v>
      </c>
      <c r="AS67" s="81">
        <f t="shared" si="55"/>
        <v>-0.5641025641025641</v>
      </c>
      <c r="AT67" s="81">
        <f t="shared" si="55"/>
        <v>-0.5641025641025641</v>
      </c>
      <c r="AU67" s="81">
        <f t="shared" si="55"/>
        <v>-0.5641025641025641</v>
      </c>
      <c r="AV67" s="81">
        <f t="shared" si="55"/>
        <v>-1.5641025641025641</v>
      </c>
      <c r="AW67" s="81">
        <f t="shared" si="2"/>
        <v>-0.5641025641025641</v>
      </c>
      <c r="AY67" s="1">
        <f>'77'!CO29</f>
        <v>3.9200000000000004</v>
      </c>
      <c r="BE67" s="27"/>
    </row>
    <row r="68" spans="4:70" s="1" customFormat="1" ht="69.95" customHeight="1">
      <c r="D68" s="28">
        <v>3</v>
      </c>
      <c r="H68" s="4"/>
      <c r="I68" s="2"/>
      <c r="J68" s="81">
        <f t="shared" ref="J68:J69" si="56">PRODUCT(-H30,1/39)</f>
        <v>2.564102564102564E-2</v>
      </c>
      <c r="K68" s="81">
        <f t="shared" ref="K68:AV68" si="57">SUM($AW68,J30,-K30)</f>
        <v>2.564102564102564E-2</v>
      </c>
      <c r="L68" s="81">
        <f t="shared" si="57"/>
        <v>2.564102564102564E-2</v>
      </c>
      <c r="M68" s="81">
        <f t="shared" si="57"/>
        <v>1.0256410256410255</v>
      </c>
      <c r="N68" s="81">
        <f t="shared" si="57"/>
        <v>1.0256410256410255</v>
      </c>
      <c r="O68" s="81">
        <f t="shared" si="57"/>
        <v>2.564102564102555E-2</v>
      </c>
      <c r="P68" s="81">
        <f t="shared" si="57"/>
        <v>3.0256410256410255</v>
      </c>
      <c r="Q68" s="81">
        <f t="shared" si="57"/>
        <v>1.0256410256410255</v>
      </c>
      <c r="R68" s="81">
        <f t="shared" si="57"/>
        <v>2.0256410256410255</v>
      </c>
      <c r="S68" s="81">
        <f t="shared" si="57"/>
        <v>4.0256410256410255</v>
      </c>
      <c r="T68" s="81">
        <f t="shared" si="57"/>
        <v>2.0256410256410255</v>
      </c>
      <c r="U68" s="81">
        <f t="shared" si="57"/>
        <v>3.0256410256410255</v>
      </c>
      <c r="V68" s="81">
        <f t="shared" si="57"/>
        <v>3.0256410256410255</v>
      </c>
      <c r="W68" s="81">
        <f t="shared" si="57"/>
        <v>4.0256410256410255</v>
      </c>
      <c r="X68" s="81">
        <f t="shared" si="57"/>
        <v>4.0256410256410255</v>
      </c>
      <c r="Y68" s="81">
        <f t="shared" si="57"/>
        <v>3.0256410256410255</v>
      </c>
      <c r="Z68" s="81">
        <f t="shared" si="57"/>
        <v>3.0256410256410255</v>
      </c>
      <c r="AA68" s="81">
        <f t="shared" si="57"/>
        <v>2.0256410256410291</v>
      </c>
      <c r="AB68" s="81">
        <f t="shared" si="57"/>
        <v>2.0256410256410291</v>
      </c>
      <c r="AC68" s="81">
        <f t="shared" si="57"/>
        <v>1.0256410256410291</v>
      </c>
      <c r="AD68" s="81">
        <f t="shared" si="57"/>
        <v>1.0256410256410291</v>
      </c>
      <c r="AE68" s="81">
        <f t="shared" si="57"/>
        <v>1.0256410256410291</v>
      </c>
      <c r="AF68" s="81">
        <f t="shared" si="57"/>
        <v>-0.9743589743589709</v>
      </c>
      <c r="AG68" s="81">
        <f t="shared" si="57"/>
        <v>-0.9743589743589709</v>
      </c>
      <c r="AH68" s="81">
        <f t="shared" si="57"/>
        <v>-0.9743589743589709</v>
      </c>
      <c r="AI68" s="81">
        <f t="shared" si="57"/>
        <v>-2.9743589743589709</v>
      </c>
      <c r="AJ68" s="81">
        <f t="shared" si="57"/>
        <v>-1.9743589743589709</v>
      </c>
      <c r="AK68" s="81">
        <f t="shared" si="57"/>
        <v>-1.9743589743589709</v>
      </c>
      <c r="AL68" s="81">
        <f t="shared" si="57"/>
        <v>-1.9743589743589745</v>
      </c>
      <c r="AM68" s="81">
        <f t="shared" si="57"/>
        <v>-1.9743589743589745</v>
      </c>
      <c r="AN68" s="81">
        <f t="shared" si="57"/>
        <v>-2.9743589743589745</v>
      </c>
      <c r="AO68" s="81">
        <f t="shared" si="57"/>
        <v>-2.9743589743589745</v>
      </c>
      <c r="AP68" s="81">
        <f t="shared" si="57"/>
        <v>-1.9743589743589745</v>
      </c>
      <c r="AQ68" s="81">
        <f t="shared" si="57"/>
        <v>-3.9743589743589745</v>
      </c>
      <c r="AR68" s="81">
        <f t="shared" si="57"/>
        <v>-2.9743589743589745</v>
      </c>
      <c r="AS68" s="81">
        <f t="shared" si="57"/>
        <v>-4.9743589743589745</v>
      </c>
      <c r="AT68" s="81">
        <f t="shared" si="57"/>
        <v>-1.9743589743589745</v>
      </c>
      <c r="AU68" s="81">
        <f t="shared" si="57"/>
        <v>-1.9743589743589745</v>
      </c>
      <c r="AV68" s="81">
        <f t="shared" si="57"/>
        <v>-2.9743589743589745</v>
      </c>
      <c r="AW68" s="81">
        <f t="shared" ref="AW68:AW69" si="58">PRODUCT(-H30,1/39)</f>
        <v>2.564102564102564E-2</v>
      </c>
      <c r="AY68" s="1">
        <f>'77'!CO30</f>
        <v>20.666666666666668</v>
      </c>
      <c r="BE68" s="27"/>
    </row>
    <row r="69" spans="4:70" s="1" customFormat="1" ht="69" customHeight="1">
      <c r="D69" s="28">
        <v>1</v>
      </c>
      <c r="H69" s="4"/>
      <c r="I69" s="2"/>
      <c r="J69" s="81">
        <f t="shared" si="56"/>
        <v>0.76923076923076916</v>
      </c>
      <c r="K69" s="81">
        <f t="shared" ref="K69:AV69" si="59">SUM($AW69,J31,-K31)</f>
        <v>-2.2307692307692308</v>
      </c>
      <c r="L69" s="81">
        <f t="shared" si="59"/>
        <v>-0.23076923076923084</v>
      </c>
      <c r="M69" s="81">
        <f t="shared" si="59"/>
        <v>-1.2307692307692308</v>
      </c>
      <c r="N69" s="81">
        <f t="shared" si="59"/>
        <v>-2.2307692307692308</v>
      </c>
      <c r="O69" s="81">
        <f t="shared" si="59"/>
        <v>-2.2307692307692299</v>
      </c>
      <c r="P69" s="81">
        <f t="shared" si="59"/>
        <v>0.76923076923077005</v>
      </c>
      <c r="Q69" s="81">
        <f t="shared" si="59"/>
        <v>-0.23076923076922995</v>
      </c>
      <c r="R69" s="81">
        <f t="shared" si="59"/>
        <v>0.76923076923077005</v>
      </c>
      <c r="S69" s="81">
        <f t="shared" si="59"/>
        <v>2.7692307692307701</v>
      </c>
      <c r="T69" s="81">
        <f t="shared" si="59"/>
        <v>2.7692307692307701</v>
      </c>
      <c r="U69" s="81">
        <f t="shared" si="59"/>
        <v>4.7692307692307701</v>
      </c>
      <c r="V69" s="81">
        <f t="shared" si="59"/>
        <v>3.7692307692307692</v>
      </c>
      <c r="W69" s="81">
        <f t="shared" si="59"/>
        <v>5.7692307692307692</v>
      </c>
      <c r="X69" s="81">
        <f t="shared" si="59"/>
        <v>7.7692307692307692</v>
      </c>
      <c r="Y69" s="81">
        <f t="shared" si="59"/>
        <v>6.7692307692307701</v>
      </c>
      <c r="Z69" s="81">
        <f t="shared" si="59"/>
        <v>5.7692307692307701</v>
      </c>
      <c r="AA69" s="81">
        <f t="shared" si="59"/>
        <v>7.7692307692307701</v>
      </c>
      <c r="AB69" s="81">
        <f t="shared" si="59"/>
        <v>5.7692307692307701</v>
      </c>
      <c r="AC69" s="81">
        <f t="shared" si="59"/>
        <v>2.7692307692307665</v>
      </c>
      <c r="AD69" s="81">
        <f t="shared" si="59"/>
        <v>2.7692307692307665</v>
      </c>
      <c r="AE69" s="81">
        <f t="shared" si="59"/>
        <v>1.7692307692307665</v>
      </c>
      <c r="AF69" s="81">
        <f t="shared" si="59"/>
        <v>1.7692307692307665</v>
      </c>
      <c r="AG69" s="81">
        <f t="shared" si="59"/>
        <v>-0.2307692307692335</v>
      </c>
      <c r="AH69" s="81">
        <f t="shared" si="59"/>
        <v>-0.2307692307692335</v>
      </c>
      <c r="AI69" s="81">
        <f t="shared" si="59"/>
        <v>0.7692307692307665</v>
      </c>
      <c r="AJ69" s="81">
        <f t="shared" si="59"/>
        <v>-2.2307692307692335</v>
      </c>
      <c r="AK69" s="81">
        <f t="shared" si="59"/>
        <v>-0.2307692307692335</v>
      </c>
      <c r="AL69" s="81">
        <f t="shared" si="59"/>
        <v>-3.2307692307692335</v>
      </c>
      <c r="AM69" s="81">
        <f t="shared" si="59"/>
        <v>-1.2307692307692299</v>
      </c>
      <c r="AN69" s="81">
        <f t="shared" si="59"/>
        <v>-1.2307692307692299</v>
      </c>
      <c r="AO69" s="81">
        <f t="shared" si="59"/>
        <v>-3.2307692307692299</v>
      </c>
      <c r="AP69" s="81">
        <f t="shared" si="59"/>
        <v>-1.2307692307692299</v>
      </c>
      <c r="AQ69" s="81">
        <f t="shared" si="59"/>
        <v>-1.2307692307692299</v>
      </c>
      <c r="AR69" s="81">
        <f t="shared" si="59"/>
        <v>-2.2307692307692299</v>
      </c>
      <c r="AS69" s="81">
        <f t="shared" si="59"/>
        <v>-3.2307692307692299</v>
      </c>
      <c r="AT69" s="81">
        <f t="shared" si="59"/>
        <v>-1.2307692307692299</v>
      </c>
      <c r="AU69" s="81">
        <f t="shared" si="59"/>
        <v>-0.23076923076923084</v>
      </c>
      <c r="AV69" s="81">
        <f t="shared" si="59"/>
        <v>-6.2307692307692308</v>
      </c>
      <c r="AW69" s="81">
        <f t="shared" si="58"/>
        <v>0.76923076923076916</v>
      </c>
      <c r="AY69" s="1">
        <f>'77'!CO31</f>
        <v>18.986666666666668</v>
      </c>
      <c r="BA69" s="40" t="s">
        <v>52</v>
      </c>
      <c r="BE69" s="27"/>
    </row>
    <row r="70" spans="4:70" s="1" customFormat="1" ht="34.5" customHeight="1">
      <c r="D70" s="35"/>
      <c r="H70" s="4" t="s">
        <v>48</v>
      </c>
      <c r="I70" s="2"/>
      <c r="J70" s="81">
        <f t="shared" ref="J70:AP70" si="60">SUM(J40:J69)</f>
        <v>-4.1282051282051277</v>
      </c>
      <c r="K70" s="81">
        <f t="shared" si="60"/>
        <v>-51.12820512820511</v>
      </c>
      <c r="L70" s="81">
        <f t="shared" si="60"/>
        <v>17.871794871794876</v>
      </c>
      <c r="M70" s="81">
        <f t="shared" si="60"/>
        <v>25.871794871794858</v>
      </c>
      <c r="N70" s="81">
        <f t="shared" si="60"/>
        <v>13.871794871794865</v>
      </c>
      <c r="O70" s="81">
        <f t="shared" si="60"/>
        <v>9.8717948717948811</v>
      </c>
      <c r="P70" s="81">
        <f t="shared" si="60"/>
        <v>40.871794871794904</v>
      </c>
      <c r="Q70" s="81">
        <f t="shared" si="60"/>
        <v>10.871794871794879</v>
      </c>
      <c r="R70" s="81">
        <f t="shared" si="60"/>
        <v>21.871794871794883</v>
      </c>
      <c r="S70" s="81">
        <f t="shared" si="60"/>
        <v>91.871794871794862</v>
      </c>
      <c r="T70" s="81">
        <f t="shared" si="60"/>
        <v>44.871794871794876</v>
      </c>
      <c r="U70" s="81">
        <f t="shared" si="60"/>
        <v>55.87179487179489</v>
      </c>
      <c r="V70" s="81">
        <f t="shared" si="60"/>
        <v>63.871794871794883</v>
      </c>
      <c r="W70" s="81">
        <f t="shared" si="60"/>
        <v>53.871794871794869</v>
      </c>
      <c r="X70" s="81">
        <f t="shared" si="60"/>
        <v>57.871794871794869</v>
      </c>
      <c r="Y70" s="81">
        <f t="shared" si="60"/>
        <v>43.871794871794876</v>
      </c>
      <c r="Z70" s="81">
        <f t="shared" si="60"/>
        <v>19.871794871794862</v>
      </c>
      <c r="AA70" s="81">
        <f t="shared" si="60"/>
        <v>18.871794871794854</v>
      </c>
      <c r="AB70" s="81">
        <f t="shared" si="60"/>
        <v>31.871794871794851</v>
      </c>
      <c r="AC70" s="81">
        <f t="shared" si="60"/>
        <v>-9.1282051282051526</v>
      </c>
      <c r="AD70" s="81">
        <f t="shared" si="60"/>
        <v>-0.12820512820515617</v>
      </c>
      <c r="AE70" s="81">
        <f t="shared" si="60"/>
        <v>23.871794871794847</v>
      </c>
      <c r="AF70" s="81">
        <f t="shared" si="60"/>
        <v>-15.12820512820516</v>
      </c>
      <c r="AG70" s="81">
        <f t="shared" si="60"/>
        <v>-20.128205128205153</v>
      </c>
      <c r="AH70" s="81">
        <f t="shared" si="60"/>
        <v>-16.128205128205153</v>
      </c>
      <c r="AI70" s="81">
        <f t="shared" si="60"/>
        <v>-28.128205128205153</v>
      </c>
      <c r="AJ70" s="81">
        <f t="shared" si="60"/>
        <v>-24.128205128205146</v>
      </c>
      <c r="AK70" s="81">
        <f t="shared" si="60"/>
        <v>-45.128205128205124</v>
      </c>
      <c r="AL70" s="81">
        <f t="shared" si="60"/>
        <v>-43.128205128205131</v>
      </c>
      <c r="AM70" s="81">
        <f t="shared" si="60"/>
        <v>-46.128205128205124</v>
      </c>
      <c r="AN70" s="81">
        <f t="shared" si="60"/>
        <v>-99.128205128205138</v>
      </c>
      <c r="AO70" s="81">
        <f t="shared" si="60"/>
        <v>-98.128205128205138</v>
      </c>
      <c r="AP70" s="81">
        <f t="shared" si="60"/>
        <v>-45.12820512820511</v>
      </c>
      <c r="AQ70" s="81">
        <f t="shared" ref="AQ70:AV70" si="61">SUM(AQ40:AQ69)</f>
        <v>-77.12820512820511</v>
      </c>
      <c r="AR70" s="81">
        <f t="shared" si="61"/>
        <v>-38.128205128205124</v>
      </c>
      <c r="AS70" s="81">
        <f t="shared" si="61"/>
        <v>-50.128205128205124</v>
      </c>
      <c r="AT70" s="81">
        <f t="shared" si="61"/>
        <v>-34.128205128205124</v>
      </c>
      <c r="AU70" s="81">
        <f t="shared" si="61"/>
        <v>-23.128205128205128</v>
      </c>
      <c r="AV70" s="81">
        <f t="shared" si="61"/>
        <v>-41.128205128205131</v>
      </c>
      <c r="AW70" s="81">
        <f>SUM(AW40:AW69)</f>
        <v>-4.1282051282051277</v>
      </c>
      <c r="AY70" s="1">
        <f>PRODUCT(SUM(AY40:AY69),1/30)</f>
        <v>15.192444444444448</v>
      </c>
      <c r="AZ70" s="6" t="s">
        <v>49</v>
      </c>
      <c r="BA70" s="8" t="s">
        <v>51</v>
      </c>
      <c r="BB70" s="41" t="s">
        <v>63</v>
      </c>
      <c r="BE70" s="27"/>
    </row>
    <row r="71" spans="4:70" s="1" customFormat="1" ht="20.25">
      <c r="D71" s="52"/>
      <c r="H71" s="53" t="s">
        <v>49</v>
      </c>
      <c r="I71" s="54"/>
      <c r="J71" s="82">
        <f t="shared" ref="J71:AW71" si="62">PRODUCT(J70,1/18)</f>
        <v>-0.2293447293447293</v>
      </c>
      <c r="K71" s="82">
        <f t="shared" si="62"/>
        <v>-2.8404558404558391</v>
      </c>
      <c r="L71" s="82">
        <f t="shared" si="62"/>
        <v>0.99287749287749305</v>
      </c>
      <c r="M71" s="82">
        <f t="shared" si="62"/>
        <v>1.4373219373219366</v>
      </c>
      <c r="N71" s="82">
        <f t="shared" si="62"/>
        <v>0.77065527065527029</v>
      </c>
      <c r="O71" s="82">
        <f t="shared" si="62"/>
        <v>0.54843304843304896</v>
      </c>
      <c r="P71" s="82">
        <f t="shared" si="62"/>
        <v>2.2706552706552725</v>
      </c>
      <c r="Q71" s="82">
        <f t="shared" si="62"/>
        <v>0.60398860398860432</v>
      </c>
      <c r="R71" s="82">
        <f t="shared" si="62"/>
        <v>1.2150997150997156</v>
      </c>
      <c r="S71" s="82">
        <f t="shared" si="62"/>
        <v>5.1039886039886033</v>
      </c>
      <c r="T71" s="82">
        <f t="shared" si="62"/>
        <v>2.4928774928774931</v>
      </c>
      <c r="U71" s="82">
        <f t="shared" si="62"/>
        <v>3.1039886039886047</v>
      </c>
      <c r="V71" s="82">
        <f t="shared" si="62"/>
        <v>3.5484330484330489</v>
      </c>
      <c r="W71" s="82">
        <f t="shared" si="62"/>
        <v>2.9928774928774926</v>
      </c>
      <c r="X71" s="82">
        <f t="shared" si="62"/>
        <v>3.2150997150997149</v>
      </c>
      <c r="Y71" s="82">
        <f t="shared" si="62"/>
        <v>2.4373219373219372</v>
      </c>
      <c r="Z71" s="82">
        <f t="shared" si="62"/>
        <v>1.1039886039886033</v>
      </c>
      <c r="AA71" s="82">
        <f t="shared" si="62"/>
        <v>1.0484330484330475</v>
      </c>
      <c r="AB71" s="82">
        <f t="shared" si="62"/>
        <v>1.7706552706552694</v>
      </c>
      <c r="AC71" s="82">
        <f t="shared" si="62"/>
        <v>-0.5071225071225085</v>
      </c>
      <c r="AD71" s="82">
        <f t="shared" si="62"/>
        <v>-7.1225071225086761E-3</v>
      </c>
      <c r="AE71" s="82">
        <f t="shared" si="62"/>
        <v>1.3262108262108248</v>
      </c>
      <c r="AF71" s="82">
        <f t="shared" si="62"/>
        <v>-0.84045584045584221</v>
      </c>
      <c r="AG71" s="82">
        <f t="shared" si="62"/>
        <v>-1.1182336182336194</v>
      </c>
      <c r="AH71" s="82">
        <f t="shared" si="62"/>
        <v>-0.89601139601139734</v>
      </c>
      <c r="AI71" s="82">
        <f t="shared" si="62"/>
        <v>-1.5626780626780639</v>
      </c>
      <c r="AJ71" s="82">
        <f t="shared" si="62"/>
        <v>-1.3404558404558413</v>
      </c>
      <c r="AK71" s="82">
        <f t="shared" si="62"/>
        <v>-2.5071225071225069</v>
      </c>
      <c r="AL71" s="82">
        <f t="shared" si="62"/>
        <v>-2.3960113960113962</v>
      </c>
      <c r="AM71" s="82">
        <f t="shared" si="62"/>
        <v>-2.5626780626780623</v>
      </c>
      <c r="AN71" s="82">
        <f t="shared" si="62"/>
        <v>-5.5071225071225074</v>
      </c>
      <c r="AO71" s="82">
        <f t="shared" si="62"/>
        <v>-5.451566951566952</v>
      </c>
      <c r="AP71" s="82">
        <f t="shared" si="62"/>
        <v>-2.5071225071225061</v>
      </c>
      <c r="AQ71" s="82">
        <f t="shared" si="62"/>
        <v>-4.2849002849002833</v>
      </c>
      <c r="AR71" s="82">
        <f t="shared" si="62"/>
        <v>-2.1182336182336181</v>
      </c>
      <c r="AS71" s="82">
        <f t="shared" si="62"/>
        <v>-2.7849002849002846</v>
      </c>
      <c r="AT71" s="82">
        <f t="shared" si="62"/>
        <v>-1.8960113960113958</v>
      </c>
      <c r="AU71" s="82">
        <f t="shared" si="62"/>
        <v>-1.2849002849002849</v>
      </c>
      <c r="AV71" s="82">
        <f t="shared" si="62"/>
        <v>-2.2849002849002851</v>
      </c>
      <c r="AW71" s="82">
        <f t="shared" si="62"/>
        <v>-0.2293447293447293</v>
      </c>
      <c r="BA71" s="8"/>
      <c r="BB71" s="20" t="str">
        <f>IF(BR77&lt;1.1,"A+",IF(BR77&lt;2.1,"A",IF(BR77&lt;3.1,"A-",IF(BR77&lt;4.1,"B+",IF(BR77&lt;5.1,"B",IF(BR77&lt;6.1,"B-",IF(BR77&lt;7.1,"C+",IF(BR77&lt;8.1,"C",IF(BR77&lt;9.1,"C-",IF(BR77&lt;10.1,"D+",IF(BR77&lt;11.1,"D",IF(BR77&lt;12.1,"D-",IF(BR77&lt;13.1,"F")))))))))))))</f>
        <v>B-</v>
      </c>
      <c r="BC71" s="1" t="str">
        <f>IF(BA71&lt;2.33,"A+",IF(BA71&lt;2.667,"A",IF(BA71&lt;3,"A-",IF(BA71&lt;3.334,"B+",IF(BA71&lt;3.667,"B",IF(BA71&lt;4,"B-",IF(BA71&lt;4.334,"C+",IF(BA71&gt;=4.334,""))))))))</f>
        <v>A+</v>
      </c>
      <c r="BD71" s="1" t="str">
        <f>IF(BA71&lt;=4.333,"",IF(BA71&lt;5,"C-",IF(BA71&lt;5.334,"D+",IF(BA71&lt;5.67,"D",IF(BA71&lt;6,"D-",IF(BA71&gt;=6,"F"))))))</f>
        <v/>
      </c>
      <c r="BE71" s="27"/>
    </row>
    <row r="72" spans="4:70" s="1" customFormat="1" ht="20.25">
      <c r="D72" s="58"/>
      <c r="E72" s="50"/>
      <c r="F72" s="50"/>
      <c r="G72" s="50"/>
      <c r="H72" s="59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BB72" s="20"/>
      <c r="BE72" s="27"/>
    </row>
    <row r="73" spans="4:70" s="1" customFormat="1" ht="21.95" customHeight="1">
      <c r="E73" s="58"/>
      <c r="F73" s="50"/>
      <c r="G73" s="50"/>
      <c r="J73" s="65">
        <v>13</v>
      </c>
      <c r="K73" s="65">
        <v>13</v>
      </c>
      <c r="L73" s="65">
        <v>12</v>
      </c>
      <c r="M73" s="102">
        <v>17</v>
      </c>
      <c r="N73" s="102">
        <v>17</v>
      </c>
      <c r="O73" s="98">
        <v>17</v>
      </c>
      <c r="P73" s="65">
        <v>24</v>
      </c>
      <c r="Q73" s="65">
        <v>23</v>
      </c>
      <c r="R73" s="65">
        <v>23</v>
      </c>
      <c r="S73" s="102">
        <v>27</v>
      </c>
      <c r="T73" s="102">
        <v>28</v>
      </c>
      <c r="U73" s="102">
        <v>28</v>
      </c>
      <c r="V73" s="65">
        <v>34</v>
      </c>
      <c r="W73" s="65">
        <v>34</v>
      </c>
      <c r="X73" s="65">
        <v>34</v>
      </c>
      <c r="Y73" s="78"/>
      <c r="Z73" s="78"/>
      <c r="AA73" s="138" t="s">
        <v>64</v>
      </c>
      <c r="AB73" s="135"/>
      <c r="AC73" s="135"/>
      <c r="AD73" s="135"/>
      <c r="AE73" s="135"/>
      <c r="AF73" s="139"/>
      <c r="AG73" s="93"/>
      <c r="AH73" s="93"/>
      <c r="AI73" s="102">
        <v>34</v>
      </c>
      <c r="AJ73" s="65">
        <v>34</v>
      </c>
      <c r="AK73" s="65">
        <v>34</v>
      </c>
      <c r="AL73" s="102">
        <v>28</v>
      </c>
      <c r="AM73" s="102">
        <v>28</v>
      </c>
      <c r="AN73" s="102">
        <v>27</v>
      </c>
      <c r="AO73" s="65">
        <v>23</v>
      </c>
      <c r="AP73" s="65">
        <v>23</v>
      </c>
      <c r="AQ73" s="65">
        <v>24</v>
      </c>
      <c r="AR73" s="102">
        <v>17</v>
      </c>
      <c r="AS73" s="102">
        <v>17</v>
      </c>
      <c r="AT73" s="102">
        <v>17</v>
      </c>
      <c r="AU73" s="65">
        <v>12</v>
      </c>
      <c r="AV73" s="65">
        <v>13</v>
      </c>
      <c r="AW73" s="65">
        <v>13</v>
      </c>
      <c r="AX73" s="75" t="s">
        <v>111</v>
      </c>
      <c r="AZ73" s="75"/>
      <c r="BA73" s="74">
        <f>PRODUCT(AY70,0.1)</f>
        <v>1.5192444444444448</v>
      </c>
      <c r="BB73" s="20" t="str">
        <f>IF(BC73="",BD73,BC73)</f>
        <v>C</v>
      </c>
      <c r="BC73" s="1" t="str">
        <f>IF(BA73&lt;0.777,"A+",IF(BA73&lt;0.888,"A",IF(BA73&lt;1,"A-",IF(BA73&lt;1.111,"B+",IF(BA73&lt;1.222,"B",IF(BA73&lt;1.333,"B-",IF(BA73&lt;1.444,"C+",IF(BA73&gt;=1.444,""))))))))</f>
        <v/>
      </c>
      <c r="BD73" s="1" t="str">
        <f>IF(BA73&lt;1.444,"",IF(BA73&lt;1.555,"C",IF(BA73&lt;1.666,"C-",IF(BA73&lt;1.777,"D+",IF(BA73&lt;1.888,"D",IF(BA73&lt;1.999,"D-",IF(BA73&gt;=2,"F")))))))</f>
        <v>C</v>
      </c>
      <c r="BE73" s="27" t="str">
        <f>IF(BB73="A+",1,"")</f>
        <v/>
      </c>
      <c r="BF73" s="1" t="str">
        <f>IF(BB73="A",2,"")</f>
        <v/>
      </c>
      <c r="BG73" s="1" t="str">
        <f>IF(BB73="A-",3,"")</f>
        <v/>
      </c>
      <c r="BH73" s="1" t="str">
        <f>IF(BB73="B+",4,"")</f>
        <v/>
      </c>
      <c r="BI73" s="1" t="str">
        <f>IF(BB73="B",5,"")</f>
        <v/>
      </c>
      <c r="BJ73" s="1" t="str">
        <f>IF(BB73="B-",6,"")</f>
        <v/>
      </c>
      <c r="BK73" s="1" t="str">
        <f>IF(BB73="C+",7,"")</f>
        <v/>
      </c>
      <c r="BL73" s="1">
        <f>IF(BB73="C",8,"")</f>
        <v>8</v>
      </c>
      <c r="BM73" s="1" t="str">
        <f>IF(BB73="C-",9,"")</f>
        <v/>
      </c>
      <c r="BN73" s="1" t="str">
        <f>IF(BB73="D+",10,"")</f>
        <v/>
      </c>
      <c r="BO73" s="1" t="str">
        <f>IF(BB73="D",11,"")</f>
        <v/>
      </c>
      <c r="BP73" s="1" t="str">
        <f>IF(BB73="D-",12,"")</f>
        <v/>
      </c>
      <c r="BQ73" s="1" t="str">
        <f>IF(BB73="F",13,"")</f>
        <v/>
      </c>
      <c r="BR73" s="1">
        <f>SUM(BE73:BQ73)</f>
        <v>8</v>
      </c>
    </row>
    <row r="74" spans="4:70" s="1" customFormat="1" ht="21.95" customHeight="1">
      <c r="E74" s="58"/>
      <c r="F74" s="50"/>
      <c r="G74" s="50"/>
      <c r="J74" s="67">
        <v>4</v>
      </c>
      <c r="K74" s="67">
        <v>11</v>
      </c>
      <c r="L74" s="67">
        <v>15</v>
      </c>
      <c r="M74" s="67">
        <v>10</v>
      </c>
      <c r="N74" s="67">
        <v>15</v>
      </c>
      <c r="O74" s="99">
        <v>20</v>
      </c>
      <c r="P74" s="67">
        <v>11</v>
      </c>
      <c r="Q74" s="67">
        <v>15</v>
      </c>
      <c r="R74" s="67">
        <v>19</v>
      </c>
      <c r="S74" s="67">
        <v>10</v>
      </c>
      <c r="T74" s="67">
        <v>15</v>
      </c>
      <c r="U74" s="67">
        <v>20</v>
      </c>
      <c r="V74" s="67">
        <v>15</v>
      </c>
      <c r="W74" s="67">
        <v>18</v>
      </c>
      <c r="X74" s="67">
        <v>24</v>
      </c>
      <c r="Y74" s="79"/>
      <c r="Z74" s="79"/>
      <c r="AA74" s="138" t="s">
        <v>65</v>
      </c>
      <c r="AB74" s="135"/>
      <c r="AC74" s="135"/>
      <c r="AD74" s="135"/>
      <c r="AE74" s="135"/>
      <c r="AF74" s="139"/>
      <c r="AG74" s="93"/>
      <c r="AH74" s="93"/>
      <c r="AI74" s="67">
        <v>24</v>
      </c>
      <c r="AJ74" s="67">
        <v>18</v>
      </c>
      <c r="AK74" s="67">
        <v>15</v>
      </c>
      <c r="AL74" s="67">
        <v>20</v>
      </c>
      <c r="AM74" s="67">
        <v>15</v>
      </c>
      <c r="AN74" s="67">
        <v>10</v>
      </c>
      <c r="AO74" s="67">
        <v>19</v>
      </c>
      <c r="AP74" s="67">
        <v>15</v>
      </c>
      <c r="AQ74" s="67">
        <v>11</v>
      </c>
      <c r="AR74" s="67">
        <v>20</v>
      </c>
      <c r="AS74" s="67">
        <v>15</v>
      </c>
      <c r="AT74" s="67">
        <v>10</v>
      </c>
      <c r="AU74" s="67">
        <v>15</v>
      </c>
      <c r="AV74" s="67">
        <v>11</v>
      </c>
      <c r="AW74" s="67">
        <v>4</v>
      </c>
      <c r="AX74" s="6" t="s">
        <v>109</v>
      </c>
      <c r="AZ74" s="75"/>
      <c r="BA74" s="74">
        <f>PRODUCT(SQRT(I35^2),0.00294)</f>
        <v>0.83195826000000006</v>
      </c>
      <c r="BB74" s="20" t="str">
        <f>IF(BC74="",BD74,BC74)</f>
        <v>A</v>
      </c>
      <c r="BC74" s="1" t="str">
        <f>IF(BA74&lt;0.777,"A+",IF(BA74&lt;0.888,"A",IF(BA74&lt;1,"A-",IF(BA74&lt;1.111,"B+",IF(BA74&lt;1.222,"B",IF(BA74&lt;1.333,"B-",IF(BA74&lt;1.444,"C+",IF(BA74&gt;=1.444,""))))))))</f>
        <v>A</v>
      </c>
      <c r="BD74" s="1" t="str">
        <f>IF(BA74&lt;1.444,"",IF(BA74&lt;1.555,"C",IF(BA74&lt;1.666,"C-",IF(BA74&lt;1.777,"D+",IF(BA74&lt;1.888,"D",IF(BA74&lt;1.999,"D-",IF(BA74&gt;=2,"F")))))))</f>
        <v/>
      </c>
      <c r="BE74" s="27" t="str">
        <f>IF(BB74="A+",1,"")</f>
        <v/>
      </c>
      <c r="BF74" s="1">
        <f>IF(BB74="A",2,"")</f>
        <v>2</v>
      </c>
      <c r="BG74" s="1" t="str">
        <f>IF(BB74="A-",3,"")</f>
        <v/>
      </c>
      <c r="BH74" s="1" t="str">
        <f>IF(BB74="B+",4,"")</f>
        <v/>
      </c>
      <c r="BI74" s="1" t="str">
        <f>IF(BB74="B",5,"")</f>
        <v/>
      </c>
      <c r="BJ74" s="1" t="str">
        <f>IF(BB74="B-",6,"")</f>
        <v/>
      </c>
      <c r="BK74" s="1" t="str">
        <f>IF(BB74="C+",7,"")</f>
        <v/>
      </c>
      <c r="BL74" s="1" t="str">
        <f>IF(BB74="C",8,"")</f>
        <v/>
      </c>
      <c r="BM74" s="1" t="str">
        <f>IF(BB74="C-",9,"")</f>
        <v/>
      </c>
      <c r="BN74" s="1" t="str">
        <f>IF(BB74="D+",10,"")</f>
        <v/>
      </c>
      <c r="BO74" s="1" t="str">
        <f>IF(BB74="D",11,"")</f>
        <v/>
      </c>
      <c r="BP74" s="1" t="str">
        <f>IF(BB74="D-",12,"")</f>
        <v/>
      </c>
      <c r="BQ74" s="1" t="str">
        <f>IF(BB74="F",13,"")</f>
        <v/>
      </c>
      <c r="BR74" s="1">
        <f>SUM(BE74:BQ74)</f>
        <v>2</v>
      </c>
    </row>
    <row r="75" spans="4:70" s="27" customFormat="1" ht="21.95" customHeight="1">
      <c r="E75" s="58"/>
      <c r="F75" s="50"/>
      <c r="G75" s="50"/>
      <c r="H75" s="1"/>
      <c r="I75" s="1"/>
      <c r="J75" s="70" t="s">
        <v>70</v>
      </c>
      <c r="K75" s="70" t="s">
        <v>112</v>
      </c>
      <c r="L75" s="70" t="s">
        <v>115</v>
      </c>
      <c r="M75" s="70" t="s">
        <v>124</v>
      </c>
      <c r="N75" s="69" t="s">
        <v>116</v>
      </c>
      <c r="O75" s="69" t="s">
        <v>117</v>
      </c>
      <c r="P75" s="69" t="s">
        <v>118</v>
      </c>
      <c r="Q75" s="69" t="s">
        <v>119</v>
      </c>
      <c r="R75" s="69" t="s">
        <v>113</v>
      </c>
      <c r="S75" s="69" t="s">
        <v>114</v>
      </c>
      <c r="T75" s="69" t="s">
        <v>123</v>
      </c>
      <c r="U75" s="69" t="s">
        <v>120</v>
      </c>
      <c r="V75" s="69" t="s">
        <v>69</v>
      </c>
      <c r="W75" s="69" t="s">
        <v>121</v>
      </c>
      <c r="X75" s="69" t="s">
        <v>122</v>
      </c>
      <c r="Y75" s="21"/>
      <c r="Z75" s="21"/>
      <c r="AA75" s="140" t="s">
        <v>66</v>
      </c>
      <c r="AB75" s="136"/>
      <c r="AC75" s="136"/>
      <c r="AD75" s="136"/>
      <c r="AE75" s="136"/>
      <c r="AF75" s="141"/>
      <c r="AG75" s="95"/>
      <c r="AH75" s="95"/>
      <c r="AI75" s="69" t="s">
        <v>122</v>
      </c>
      <c r="AJ75" s="69" t="s">
        <v>121</v>
      </c>
      <c r="AK75" s="69" t="s">
        <v>69</v>
      </c>
      <c r="AL75" s="69" t="s">
        <v>120</v>
      </c>
      <c r="AM75" s="69" t="s">
        <v>123</v>
      </c>
      <c r="AN75" s="69" t="s">
        <v>114</v>
      </c>
      <c r="AO75" s="69" t="s">
        <v>113</v>
      </c>
      <c r="AP75" s="69" t="s">
        <v>119</v>
      </c>
      <c r="AQ75" s="69" t="s">
        <v>118</v>
      </c>
      <c r="AR75" s="69" t="s">
        <v>117</v>
      </c>
      <c r="AS75" s="69" t="s">
        <v>116</v>
      </c>
      <c r="AT75" s="70" t="s">
        <v>124</v>
      </c>
      <c r="AU75" s="69" t="s">
        <v>115</v>
      </c>
      <c r="AV75" s="70" t="s">
        <v>112</v>
      </c>
      <c r="AW75" s="69" t="s">
        <v>70</v>
      </c>
      <c r="AX75" s="42" t="s">
        <v>110</v>
      </c>
      <c r="AZ75" s="76"/>
      <c r="BA75" s="74">
        <f>PRODUCT(SQRT(H36^2),0.05)</f>
        <v>0.44722222222222224</v>
      </c>
      <c r="BB75" s="43" t="str">
        <f>IF(BC75="",BD75,BC75)</f>
        <v>A+</v>
      </c>
      <c r="BC75" s="27" t="str">
        <f>IF(BA75&lt;0.777,"A+",IF(BA75&lt;0.888,"A",IF(BA75&lt;1,"A-",IF(BA75&lt;1.111,"B+",IF(BA75&lt;1.222,"B",IF(BA75&lt;1.333,"B-",IF(BA75&lt;1.444,"C+",IF(BA75&gt;=1.444,""))))))))</f>
        <v>A+</v>
      </c>
      <c r="BD75" s="27" t="str">
        <f>IF(BA75&lt;1.444,"",IF(BA75&lt;1.555,"C",IF(BA75&lt;1.666,"C-",IF(BA75&lt;1.777,"D+",IF(BA75&lt;1.888,"D",IF(BA75&lt;1.999,"D-",IF(BA75&gt;=2,"F")))))))</f>
        <v/>
      </c>
      <c r="BE75" s="27">
        <f>IF(BB75="A+",1,"")</f>
        <v>1</v>
      </c>
      <c r="BF75" s="27" t="str">
        <f>IF(BB75="A",2,"")</f>
        <v/>
      </c>
      <c r="BG75" s="27" t="str">
        <f>IF(BB75="A-",3,"")</f>
        <v/>
      </c>
      <c r="BH75" s="27" t="str">
        <f>IF(BB75="B+",4,"")</f>
        <v/>
      </c>
      <c r="BI75" s="27" t="str">
        <f>IF(BB75="B",5,"")</f>
        <v/>
      </c>
      <c r="BJ75" s="27" t="str">
        <f>IF(BB75="B-",6,"")</f>
        <v/>
      </c>
      <c r="BK75" s="27" t="str">
        <f>IF(BB75="C+",7,"")</f>
        <v/>
      </c>
      <c r="BL75" s="27" t="str">
        <f>IF(BB75="C",8,"")</f>
        <v/>
      </c>
      <c r="BM75" s="27" t="str">
        <f>IF(BB75="C-",9,"")</f>
        <v/>
      </c>
      <c r="BN75" s="27" t="str">
        <f>IF(BB75="D+",10,"")</f>
        <v/>
      </c>
      <c r="BO75" s="27" t="str">
        <f>IF(BB75="D",11,"")</f>
        <v/>
      </c>
      <c r="BP75" s="27" t="str">
        <f>IF(BB75="D-",12,"")</f>
        <v/>
      </c>
      <c r="BQ75" s="27" t="str">
        <f>IF(BB75="F",13,"")</f>
        <v/>
      </c>
      <c r="BR75" s="27">
        <f>SUM(BE75:BQ75)</f>
        <v>1</v>
      </c>
    </row>
    <row r="76" spans="4:70" s="1" customFormat="1" ht="21.95" customHeight="1">
      <c r="E76" s="58"/>
      <c r="F76" s="50"/>
      <c r="G76" s="50"/>
      <c r="J76" s="71"/>
      <c r="K76" s="71"/>
      <c r="L76" s="71"/>
      <c r="M76" s="105"/>
      <c r="N76" s="71"/>
      <c r="O76" s="100"/>
      <c r="P76" s="71"/>
      <c r="Q76" s="71"/>
      <c r="R76" s="71"/>
      <c r="S76" s="71"/>
      <c r="T76" s="71"/>
      <c r="U76" s="71"/>
      <c r="V76" s="71"/>
      <c r="W76" s="71"/>
      <c r="X76" s="71"/>
      <c r="Y76" s="78"/>
      <c r="Z76" s="78"/>
      <c r="AA76" s="138" t="s">
        <v>67</v>
      </c>
      <c r="AB76" s="135"/>
      <c r="AC76" s="135"/>
      <c r="AD76" s="135"/>
      <c r="AE76" s="135"/>
      <c r="AF76" s="139"/>
      <c r="AG76" s="93"/>
      <c r="AH76" s="93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  <c r="AU76" s="72"/>
      <c r="AV76" s="72"/>
      <c r="AW76" s="72"/>
      <c r="BE76" s="27"/>
    </row>
    <row r="77" spans="4:70" s="1" customFormat="1" ht="21.95" customHeight="1">
      <c r="E77" s="62"/>
      <c r="F77" s="51"/>
      <c r="G77" s="51"/>
      <c r="H77" s="27"/>
      <c r="I77" s="27"/>
      <c r="J77" s="103">
        <f>'77'!$V$79</f>
        <v>17.13673846153846</v>
      </c>
      <c r="K77" s="64">
        <f>'77'!$W$79</f>
        <v>19.356538461538463</v>
      </c>
      <c r="L77" s="64">
        <f>'77'!$X$79</f>
        <v>19.14753846153846</v>
      </c>
      <c r="M77" s="106">
        <f>'77'!Z79</f>
        <v>19.003410256410255</v>
      </c>
      <c r="N77" s="64">
        <f>'77'!AA79</f>
        <v>19.290538461538461</v>
      </c>
      <c r="O77" s="104">
        <f>'77'!AB79</f>
        <v>17.10153846153846</v>
      </c>
      <c r="P77" s="64">
        <f>'77'!$AD$79</f>
        <v>18.815596153846155</v>
      </c>
      <c r="Q77" s="64">
        <f>'77'!$AE$79</f>
        <v>18.58653846153846</v>
      </c>
      <c r="R77" s="64">
        <f>'77'!$AF$79</f>
        <v>17.948538461538462</v>
      </c>
      <c r="S77" s="64">
        <f>'77'!AH79</f>
        <v>18.698738461538461</v>
      </c>
      <c r="T77" s="64">
        <f>'77'!AI79</f>
        <v>18.22353846153846</v>
      </c>
      <c r="U77" s="64">
        <f>'77'!AJ79</f>
        <v>17.25553846153846</v>
      </c>
      <c r="V77" s="64">
        <f>'77'!$AL$79</f>
        <v>18.346738461538461</v>
      </c>
      <c r="W77" s="64">
        <f>'77'!$AM$79</f>
        <v>17.666938461538461</v>
      </c>
      <c r="X77" s="64">
        <f>'77'!$AN$79</f>
        <v>17.156538461538464</v>
      </c>
      <c r="Y77" s="80"/>
      <c r="Z77" s="80"/>
      <c r="AA77" s="142" t="s">
        <v>68</v>
      </c>
      <c r="AB77" s="137"/>
      <c r="AC77" s="137"/>
      <c r="AD77" s="137"/>
      <c r="AE77" s="137"/>
      <c r="AF77" s="143"/>
      <c r="AG77" s="97"/>
      <c r="AH77" s="97"/>
      <c r="AI77" s="64">
        <f>'77'!$BF$79</f>
        <v>15.292461538461538</v>
      </c>
      <c r="AJ77" s="64">
        <f>'77'!$BG$79</f>
        <v>16.419764102564102</v>
      </c>
      <c r="AK77" s="64">
        <f>'77'!$BH$79</f>
        <v>17.496861538461538</v>
      </c>
      <c r="AL77" s="64">
        <f>'77'!BJ79</f>
        <v>15.765461538461539</v>
      </c>
      <c r="AM77" s="64">
        <f>'77'!BK79</f>
        <v>16.999661538461538</v>
      </c>
      <c r="AN77" s="64">
        <f>'77'!BL79</f>
        <v>17.804861538461537</v>
      </c>
      <c r="AO77" s="64">
        <f>'77'!$BN$79</f>
        <v>16.02946153846154</v>
      </c>
      <c r="AP77" s="64">
        <f>'77'!$BO$79</f>
        <v>17.174923461538462</v>
      </c>
      <c r="AQ77" s="64">
        <f>'77'!$BP$79</f>
        <v>17.694861538461538</v>
      </c>
      <c r="AR77" s="64">
        <f>'77'!BR79</f>
        <v>16.194461538461539</v>
      </c>
      <c r="AS77" s="64">
        <f>'77'!BS79</f>
        <v>17.393461538461537</v>
      </c>
      <c r="AT77" s="64">
        <f>'77'!BT79</f>
        <v>17.691589743589745</v>
      </c>
      <c r="AU77" s="64">
        <f>'77'!$BV$79</f>
        <v>17.074461538461538</v>
      </c>
      <c r="AV77" s="64">
        <f>'77'!$BW$79</f>
        <v>18.207461538461541</v>
      </c>
      <c r="AW77" s="64">
        <f>'77'!$BX$79</f>
        <v>18.473661538461538</v>
      </c>
      <c r="BE77" s="27"/>
      <c r="BR77" s="1">
        <f>PRODUCT((3*BR73)+BR74+BR75,1/5)</f>
        <v>5.4</v>
      </c>
    </row>
    <row r="78" spans="4:70" s="1" customFormat="1" ht="12.75">
      <c r="D78" s="58"/>
      <c r="E78" s="50"/>
      <c r="F78" s="50"/>
      <c r="G78" s="50"/>
      <c r="H78" s="59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1"/>
      <c r="AP78" s="61"/>
      <c r="AQ78" s="61"/>
      <c r="AR78" s="61"/>
      <c r="AS78" s="61"/>
      <c r="AT78" s="61"/>
      <c r="AU78" s="61"/>
      <c r="AV78" s="61"/>
      <c r="AW78" s="61"/>
      <c r="BE78" s="27"/>
    </row>
    <row r="79" spans="4:70" s="1" customFormat="1" ht="12.75">
      <c r="D79" s="58"/>
      <c r="E79" s="50"/>
      <c r="F79" s="50"/>
      <c r="G79" s="50"/>
      <c r="H79" s="59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BE79" s="27"/>
    </row>
    <row r="80" spans="4:70" s="1" customFormat="1" ht="12.75">
      <c r="D80" s="55"/>
      <c r="H80" s="56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BE80" s="27"/>
    </row>
    <row r="81" spans="6:6" s="1" customFormat="1" ht="12.75">
      <c r="F81" s="27"/>
    </row>
    <row r="82" spans="6:6" s="1" customFormat="1" ht="12.75">
      <c r="F82" s="27"/>
    </row>
    <row r="83" spans="6:6" s="1" customFormat="1" ht="12.75">
      <c r="F83" s="27"/>
    </row>
    <row r="84" spans="6:6" s="1" customFormat="1" ht="12.75">
      <c r="F84" s="27"/>
    </row>
    <row r="85" spans="6:6" s="1" customFormat="1" ht="12.75">
      <c r="F85" s="27"/>
    </row>
    <row r="86" spans="6:6" s="1" customFormat="1" ht="12.75">
      <c r="F86" s="27"/>
    </row>
    <row r="87" spans="6:6" s="1" customFormat="1" ht="12.75">
      <c r="F87" s="27"/>
    </row>
    <row r="88" spans="6:6" s="1" customFormat="1" ht="12.75">
      <c r="F88" s="27"/>
    </row>
    <row r="89" spans="6:6" s="1" customFormat="1" ht="12.75">
      <c r="F89" s="27"/>
    </row>
    <row r="90" spans="6:6" s="1" customFormat="1" ht="12.75">
      <c r="F90" s="27"/>
    </row>
    <row r="91" spans="6:6" s="1" customFormat="1" ht="12.75">
      <c r="F91" s="27"/>
    </row>
    <row r="92" spans="6:6" s="1" customFormat="1" ht="12.75">
      <c r="F92" s="27"/>
    </row>
    <row r="93" spans="6:6" s="1" customFormat="1" ht="12.75">
      <c r="F93" s="27"/>
    </row>
    <row r="94" spans="6:6" s="1" customFormat="1" ht="12.75">
      <c r="F94" s="27"/>
    </row>
    <row r="95" spans="6:6" s="1" customFormat="1" ht="12.75">
      <c r="F95" s="27"/>
    </row>
    <row r="96" spans="6:6" s="1" customFormat="1" ht="12.75">
      <c r="F96" s="27"/>
    </row>
    <row r="97" spans="6:57" s="1" customFormat="1" ht="12.75">
      <c r="F97" s="27"/>
    </row>
    <row r="98" spans="6:57" s="1" customFormat="1" ht="12.75">
      <c r="F98" s="27"/>
    </row>
    <row r="99" spans="6:57" s="1" customFormat="1" ht="12.75">
      <c r="F99" s="27"/>
    </row>
    <row r="100" spans="6:57" s="1" customFormat="1" ht="12.75">
      <c r="F100" s="27"/>
    </row>
    <row r="101" spans="6:57" s="1" customFormat="1" ht="12.75">
      <c r="F101" s="27"/>
    </row>
    <row r="102" spans="6:57" s="1" customFormat="1" ht="12.75">
      <c r="F102" s="27"/>
    </row>
    <row r="103" spans="6:57" s="1" customFormat="1" ht="12.75">
      <c r="F103" s="27"/>
    </row>
    <row r="104" spans="6:57" s="1" customFormat="1" ht="0.95" customHeight="1">
      <c r="F104" s="27"/>
    </row>
    <row r="105" spans="6:57" ht="0.95" customHeight="1">
      <c r="F105" s="27"/>
      <c r="H105"/>
      <c r="BE105"/>
    </row>
    <row r="106" spans="6:57" ht="0.95" customHeight="1">
      <c r="F106" s="27"/>
      <c r="H106"/>
      <c r="BE106"/>
    </row>
    <row r="107" spans="6:57" ht="0.95" customHeight="1">
      <c r="F107" s="27"/>
      <c r="H107"/>
      <c r="BE107"/>
    </row>
    <row r="108" spans="6:57" ht="0.95" customHeight="1">
      <c r="F108" s="27"/>
      <c r="H108"/>
      <c r="BE108"/>
    </row>
    <row r="109" spans="6:57" ht="0.95" customHeight="1">
      <c r="F109" s="27"/>
      <c r="H109"/>
      <c r="BE109"/>
    </row>
    <row r="110" spans="6:57" ht="0.95" customHeight="1">
      <c r="F110" s="27"/>
      <c r="H110"/>
      <c r="BE110"/>
    </row>
    <row r="111" spans="6:57" ht="0.95" customHeight="1">
      <c r="F111" s="27"/>
      <c r="H111"/>
      <c r="BE111"/>
    </row>
    <row r="112" spans="6:57" ht="0.95" customHeight="1">
      <c r="F112" s="27"/>
      <c r="H112"/>
      <c r="BE112"/>
    </row>
    <row r="113" spans="6:57" ht="0.95" customHeight="1">
      <c r="F113" s="27"/>
      <c r="H113"/>
      <c r="BE113"/>
    </row>
    <row r="114" spans="6:57" ht="0.95" customHeight="1">
      <c r="F114" s="27"/>
      <c r="H114"/>
      <c r="BE114"/>
    </row>
    <row r="115" spans="6:57" ht="0.95" customHeight="1">
      <c r="F115" s="27"/>
      <c r="H115"/>
      <c r="BE115"/>
    </row>
  </sheetData>
  <sheetProtection selectLockedCells="1"/>
  <mergeCells count="5">
    <mergeCell ref="AA73:AF73"/>
    <mergeCell ref="AA74:AF74"/>
    <mergeCell ref="AA75:AF75"/>
    <mergeCell ref="AA76:AF76"/>
    <mergeCell ref="AA77:AF77"/>
  </mergeCells>
  <conditionalFormatting sqref="J78:AW80 AW37:AW38 AE36:AK38 AD37:AD38 AM36:AO38 AL37:AL38 AQ36:AQ38 AP37:AP38 AS36:AV38 AR37:AR38 J36:AC38 J32:AX35 J116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39:AW68 AD40:AD68 J39:AC68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31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31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39:AW68 K39:AC68 AD40:AD68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39:AW68 J39:AC68 AD40:AD68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40:AW68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40:AW68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40:AW69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22" orientation="portrait" r:id="rId1"/>
  <ignoredErrors>
    <ignoredError sqref="M75 J75:K75 AV75:AW75 AT75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2:AV53"/>
  <sheetViews>
    <sheetView view="pageBreakPreview" zoomScale="69" zoomScaleNormal="70" zoomScaleSheetLayoutView="69" workbookViewId="0">
      <selection activeCell="Q30" sqref="Q30"/>
    </sheetView>
  </sheetViews>
  <sheetFormatPr defaultRowHeight="12.75"/>
  <cols>
    <col min="1" max="13" width="9.140625" style="45"/>
  </cols>
  <sheetData>
    <row r="2" spans="6:48">
      <c r="F2" s="46"/>
      <c r="G2" s="47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6"/>
      <c r="G3" s="4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6"/>
      <c r="G4" s="47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6"/>
      <c r="G5" s="47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6"/>
      <c r="G6" s="47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6"/>
      <c r="G7" s="47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6"/>
      <c r="G8" s="47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6"/>
      <c r="G9" s="47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6"/>
      <c r="G10" s="47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6"/>
      <c r="G11" s="47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6"/>
      <c r="G12" s="47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6"/>
      <c r="G13" s="47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6"/>
      <c r="G14" s="47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6"/>
      <c r="G15" s="47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6"/>
      <c r="G16" s="47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6"/>
      <c r="G17" s="4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6"/>
      <c r="G18" s="4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6"/>
      <c r="G19" s="4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4"/>
    </row>
    <row r="53" spans="3:5">
      <c r="C53" s="48"/>
      <c r="E53" s="49"/>
    </row>
  </sheetData>
  <sheetProtection selectLockedCells="1"/>
  <pageMargins left="0.7" right="0.7" top="0.75" bottom="0.75" header="0.3" footer="0.3"/>
  <pageSetup scale="76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opLeftCell="A7" zoomScaleNormal="100" workbookViewId="0">
      <selection activeCell="X45" sqref="X45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sheetProtection selectLockedCells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T32"/>
  <sheetViews>
    <sheetView topLeftCell="A2" workbookViewId="0">
      <selection activeCell="C17" sqref="C17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</v>
      </c>
      <c r="B2" s="22">
        <v>0</v>
      </c>
      <c r="C2">
        <f>'77'!K2 +TiltZ</f>
        <v>1.5</v>
      </c>
      <c r="D2">
        <f>'77'!M2 +TiltZ+(TiltBoard*Board)</f>
        <v>4.4230769230769234</v>
      </c>
      <c r="E2">
        <f>'77'!O2 +TiltZ+(TiltBoard*Board)</f>
        <v>3.3461538461538463</v>
      </c>
      <c r="F2">
        <f>'77'!Q2 +TiltZ+(TiltBoard*Board)</f>
        <v>3.2692307692307692</v>
      </c>
      <c r="G2">
        <f>'77'!S2 +TiltZ+(TiltBoard*Board)</f>
        <v>4.1923076923076925</v>
      </c>
      <c r="H2">
        <f>'77'!U2 +TiltZ+(TiltBoard*Board)</f>
        <v>5.115384615384615</v>
      </c>
      <c r="I2">
        <f>'77'!W2 +TiltZ+(TiltBoard*Board)</f>
        <v>5.0384615384615383</v>
      </c>
      <c r="J2">
        <f>'77'!Y2 +TiltZ+(TiltBoard*Board)</f>
        <v>5.9615384615384617</v>
      </c>
      <c r="K2">
        <f>'77'!AA2 +TiltZ+(TiltBoard*Board)</f>
        <v>6.884615384615385</v>
      </c>
      <c r="L2">
        <f>'77'!AC2 +TiltZ+(TiltBoard*Board)</f>
        <v>4.8076923076923075</v>
      </c>
      <c r="M2">
        <f>'77'!AE2 +TiltZ+(TiltBoard*Board)</f>
        <v>4.7307692307692308</v>
      </c>
      <c r="N2">
        <f>'77'!AG2 +TiltZ+(TiltBoard*Board)</f>
        <v>3.6538461538461537</v>
      </c>
      <c r="O2">
        <f>'77'!AI2 +TiltZ+(TiltBoard*Board)</f>
        <v>1.5769230769230769</v>
      </c>
      <c r="P2">
        <f>'77'!AK2 +TiltZ+(TiltBoard*Board)</f>
        <v>0.5</v>
      </c>
      <c r="Q2">
        <f>'77'!AM2 +TiltZ+(TiltBoard*Board)</f>
        <v>-1.5769230769230771</v>
      </c>
      <c r="R2">
        <f>'77'!AO2 +TiltZ+(TiltBoard*Board)</f>
        <v>-2.6538461538461542</v>
      </c>
      <c r="S2">
        <f>'77'!AQ2 +TiltZ+(TiltBoard*Board)</f>
        <v>-3.7307692307692308</v>
      </c>
      <c r="T2">
        <f>'77'!AS2 +TiltZ+(TiltBoard*Board)</f>
        <v>-3.8076923076923075</v>
      </c>
      <c r="U2">
        <f>'77'!AU2 +TiltZ+(TiltBoard*Board)</f>
        <v>-5.884615384615385</v>
      </c>
      <c r="V2">
        <f>'77'!AW2 +TiltZ+(TiltBoard*Board)</f>
        <v>-5.9615384615384617</v>
      </c>
      <c r="W2">
        <f>'77'!AY2 +TiltZ+(TiltBoard*Board)</f>
        <v>-6.0384615384615383</v>
      </c>
      <c r="X2">
        <f>'77'!BA2 +TiltZ+(TiltBoard*Board)</f>
        <v>-8.115384615384615</v>
      </c>
      <c r="Y2">
        <f>'77'!BC2 +TiltZ+(TiltBoard*Board)</f>
        <v>-8.1923076923076934</v>
      </c>
      <c r="Z2">
        <f>'77'!BE2 +TiltZ+(TiltBoard*Board)</f>
        <v>-8.2692307692307701</v>
      </c>
      <c r="AA2">
        <f>'77'!BG2 +TiltZ+(TiltBoard*Board)</f>
        <v>-8.3461538461538467</v>
      </c>
      <c r="AB2">
        <f>'77'!BI2 +TiltZ+(TiltBoard*Board)</f>
        <v>-7.4230769230769234</v>
      </c>
      <c r="AC2">
        <f>'77'!BK2 +TiltZ+(TiltBoard*Board)</f>
        <v>-7.5</v>
      </c>
      <c r="AD2">
        <f>'77'!BM2 +TiltZ+(TiltBoard*Board)</f>
        <v>-6.5769230769230766</v>
      </c>
      <c r="AE2">
        <f>'77'!BO2 +TiltZ+(TiltBoard*Board)</f>
        <v>-6.6538461538461542</v>
      </c>
      <c r="AF2">
        <f>'77'!BQ2 +TiltZ+(TiltBoard*Board)</f>
        <v>-5.7307692307692308</v>
      </c>
      <c r="AG2">
        <f>'77'!BS2 +TiltZ+(TiltBoard*Board)</f>
        <v>-3.8076923076923079</v>
      </c>
      <c r="AH2">
        <f>'77'!BU2 +TiltZ+(TiltBoard*Board)</f>
        <v>-2.8846153846153846</v>
      </c>
      <c r="AI2">
        <f>'77'!BW2 +TiltZ+(TiltBoard*Board)</f>
        <v>-2.9615384615384617</v>
      </c>
      <c r="AJ2">
        <f>'77'!BY2 +TiltZ+(TiltBoard*Board)</f>
        <v>-2.0384615384615388</v>
      </c>
      <c r="AK2">
        <f>'77'!CA2 +TiltZ+(TiltBoard*Board)</f>
        <v>-2.1153846153846154</v>
      </c>
      <c r="AL2">
        <f>'77'!CC2 +TiltZ+(TiltBoard*Board)</f>
        <v>-2.1923076923076925</v>
      </c>
      <c r="AM2">
        <f>'77'!CE2 +TiltZ+(TiltBoard*Board)</f>
        <v>-2.2692307692307692</v>
      </c>
      <c r="AN2">
        <f>'77'!CG2 +TiltZ+(TiltBoard*Board)</f>
        <v>-2.3461538461538463</v>
      </c>
      <c r="AO2">
        <f>'77'!CI2 +TiltFact</f>
        <v>-1.5</v>
      </c>
      <c r="AP2">
        <v>0</v>
      </c>
      <c r="AQ2" s="27">
        <f>'77'!H2</f>
        <v>-3</v>
      </c>
      <c r="AR2">
        <f t="shared" ref="AR2:AR31" si="0">Tilt/2</f>
        <v>-1.5</v>
      </c>
      <c r="AS2">
        <f t="shared" ref="AS2:AS31" si="1">TiltFact*-1</f>
        <v>1.5</v>
      </c>
      <c r="AT2">
        <f t="shared" ref="AT2:AT31" si="2">Tilt/39</f>
        <v>-7.6923076923076927E-2</v>
      </c>
    </row>
    <row r="3" spans="1:46">
      <c r="A3" s="134">
        <v>57</v>
      </c>
      <c r="B3" s="22">
        <v>0</v>
      </c>
      <c r="C3">
        <f>'77'!K3 +TiltZ</f>
        <v>-11</v>
      </c>
      <c r="D3">
        <f>'77'!M3 +TiltZ+(TiltBoard*Board)</f>
        <v>-9.4358974358974361</v>
      </c>
      <c r="E3">
        <f>'77'!O3 +TiltZ+(TiltBoard*Board)</f>
        <v>-8.8717948717948723</v>
      </c>
      <c r="F3">
        <f>'77'!Q3 +TiltZ+(TiltBoard*Board)</f>
        <v>-9.3076923076923084</v>
      </c>
      <c r="G3">
        <f>'77'!S3 +TiltZ+(TiltBoard*Board)</f>
        <v>-9.7435897435897445</v>
      </c>
      <c r="H3">
        <f>'77'!U3 +TiltZ+(TiltBoard*Board)</f>
        <v>-10.179487179487179</v>
      </c>
      <c r="I3">
        <f>'77'!W3 +TiltZ+(TiltBoard*Board)</f>
        <v>-11.615384615384615</v>
      </c>
      <c r="J3">
        <f>'77'!Y3 +TiltZ+(TiltBoard*Board)</f>
        <v>-12.051282051282051</v>
      </c>
      <c r="K3">
        <f>'77'!AA3 +TiltZ+(TiltBoard*Board)</f>
        <v>-14.487179487179487</v>
      </c>
      <c r="L3">
        <f>'77'!AC3 +TiltZ+(TiltBoard*Board)</f>
        <v>-18.923076923076923</v>
      </c>
      <c r="M3">
        <f>'77'!AE3 +TiltZ+(TiltBoard*Board)</f>
        <v>-22.358974358974358</v>
      </c>
      <c r="N3">
        <f>'77'!AG3 +TiltZ+(TiltBoard*Board)</f>
        <v>-23.794871794871796</v>
      </c>
      <c r="O3">
        <f>'77'!AI3 +TiltZ+(TiltBoard*Board)</f>
        <v>-24.23076923076923</v>
      </c>
      <c r="P3">
        <f>'77'!AK3 +TiltZ+(TiltBoard*Board)</f>
        <v>-25.666666666666668</v>
      </c>
      <c r="Q3">
        <f>'77'!AM3 +TiltZ+(TiltBoard*Board)</f>
        <v>-24.102564102564102</v>
      </c>
      <c r="R3">
        <f>'77'!AO3 +TiltZ+(TiltBoard*Board)</f>
        <v>-22.53846153846154</v>
      </c>
      <c r="S3">
        <f>'77'!AQ3 +TiltZ+(TiltBoard*Board)</f>
        <v>-20.974358974358974</v>
      </c>
      <c r="T3">
        <f>'77'!AS3 +TiltZ+(TiltBoard*Board)</f>
        <v>-20.410256410256409</v>
      </c>
      <c r="U3">
        <f>'77'!AU3 +TiltZ+(TiltBoard*Board)</f>
        <v>-18.846153846153847</v>
      </c>
      <c r="V3">
        <f>'77'!AW3 +TiltZ+(TiltBoard*Board)</f>
        <v>-17.282051282051285</v>
      </c>
      <c r="W3">
        <f>'77'!AY3 +TiltZ+(TiltBoard*Board)</f>
        <v>-15.717948717948719</v>
      </c>
      <c r="X3">
        <f>'77'!BA3 +TiltZ+(TiltBoard*Board)</f>
        <v>-15.153846153846153</v>
      </c>
      <c r="Y3">
        <f>'77'!BC3 +TiltZ+(TiltBoard*Board)</f>
        <v>-13.589743589743589</v>
      </c>
      <c r="Z3">
        <f>'77'!BE3 +TiltZ+(TiltBoard*Board)</f>
        <v>-13.025641025641026</v>
      </c>
      <c r="AA3">
        <f>'77'!BG3 +TiltZ+(TiltBoard*Board)</f>
        <v>-12.461538461538462</v>
      </c>
      <c r="AB3">
        <f>'77'!BI3 +TiltZ+(TiltBoard*Board)</f>
        <v>-12.897435897435898</v>
      </c>
      <c r="AC3">
        <f>'77'!BK3 +TiltZ+(TiltBoard*Board)</f>
        <v>-13.333333333333334</v>
      </c>
      <c r="AD3">
        <f>'77'!BM3 +TiltZ+(TiltBoard*Board)</f>
        <v>-9.7692307692307701</v>
      </c>
      <c r="AE3">
        <f>'77'!BO3 +TiltZ+(TiltBoard*Board)</f>
        <v>-8.2051282051282044</v>
      </c>
      <c r="AF3">
        <f>'77'!BQ3 +TiltZ+(TiltBoard*Board)</f>
        <v>-6.6410256410256423</v>
      </c>
      <c r="AG3">
        <f>'77'!BS3 +TiltZ+(TiltBoard*Board)</f>
        <v>-2.0769230769230766</v>
      </c>
      <c r="AH3">
        <f>'77'!BU3 +TiltZ+(TiltBoard*Board)</f>
        <v>2.4871794871794854</v>
      </c>
      <c r="AI3">
        <f>'77'!BW3 +TiltZ+(TiltBoard*Board)</f>
        <v>5.0512820512820511</v>
      </c>
      <c r="AJ3">
        <f>'77'!BY3 +TiltZ+(TiltBoard*Board)</f>
        <v>7.6153846153846168</v>
      </c>
      <c r="AK3">
        <f>'77'!CA3 +TiltZ+(TiltBoard*Board)</f>
        <v>8.1794871794871788</v>
      </c>
      <c r="AL3">
        <f>'77'!CC3 +TiltZ+(TiltBoard*Board)</f>
        <v>8.7435897435897445</v>
      </c>
      <c r="AM3">
        <f>'77'!CE3 +TiltZ+(TiltBoard*Board)</f>
        <v>9.3076923076923066</v>
      </c>
      <c r="AN3">
        <f>'77'!CG3 +TiltZ+(TiltBoard*Board)</f>
        <v>9.8717948717948723</v>
      </c>
      <c r="AO3">
        <f>'77'!CI3 +TiltFact</f>
        <v>11</v>
      </c>
      <c r="AP3">
        <v>0</v>
      </c>
      <c r="AQ3" s="27">
        <f>'77'!H3</f>
        <v>22</v>
      </c>
      <c r="AR3">
        <f t="shared" si="0"/>
        <v>11</v>
      </c>
      <c r="AS3">
        <f t="shared" si="1"/>
        <v>-11</v>
      </c>
      <c r="AT3">
        <f t="shared" si="2"/>
        <v>0.5641025641025641</v>
      </c>
    </row>
    <row r="4" spans="1:46">
      <c r="A4" s="11">
        <v>55</v>
      </c>
      <c r="B4" s="22">
        <v>0</v>
      </c>
      <c r="C4">
        <f>'77'!K4 +TiltZ</f>
        <v>-11.5</v>
      </c>
      <c r="D4">
        <f>'77'!M4 +TiltZ+(TiltBoard*Board)</f>
        <v>-9.9102564102564106</v>
      </c>
      <c r="E4">
        <f>'77'!O4 +TiltZ+(TiltBoard*Board)</f>
        <v>-8.3205128205128212</v>
      </c>
      <c r="F4">
        <f>'77'!Q4 +TiltZ+(TiltBoard*Board)</f>
        <v>-6.7307692307692308</v>
      </c>
      <c r="G4">
        <f>'77'!S4 +TiltZ+(TiltBoard*Board)</f>
        <v>-4.1410256410256405</v>
      </c>
      <c r="H4">
        <f>'77'!U4 +TiltZ+(TiltBoard*Board)</f>
        <v>-1.5512820512820511</v>
      </c>
      <c r="I4">
        <f>'77'!W4 +TiltZ+(TiltBoard*Board)</f>
        <v>-0.96153846153846168</v>
      </c>
      <c r="J4">
        <f>'77'!Y4 +TiltZ+(TiltBoard*Board)</f>
        <v>1.6282051282051286</v>
      </c>
      <c r="K4">
        <f>'77'!AA4 +TiltZ+(TiltBoard*Board)</f>
        <v>3.2179487179487181</v>
      </c>
      <c r="L4">
        <f>'77'!AC4 +TiltZ+(TiltBoard*Board)</f>
        <v>2.8076923076923075</v>
      </c>
      <c r="M4">
        <f>'77'!AE4 +TiltZ+(TiltBoard*Board)</f>
        <v>3.3974358974358978</v>
      </c>
      <c r="N4">
        <f>'77'!AG4 +TiltZ+(TiltBoard*Board)</f>
        <v>2.9871794871794872</v>
      </c>
      <c r="O4">
        <f>'77'!AI4 +TiltZ+(TiltBoard*Board)</f>
        <v>2.5769230769230766</v>
      </c>
      <c r="P4">
        <f>'77'!AK4 +TiltZ+(TiltBoard*Board)</f>
        <v>2.166666666666667</v>
      </c>
      <c r="Q4">
        <f>'77'!AM4 +TiltZ+(TiltBoard*Board)</f>
        <v>0.75641025641025728</v>
      </c>
      <c r="R4">
        <f>'77'!AO4 +TiltZ+(TiltBoard*Board)</f>
        <v>0.3461538461538467</v>
      </c>
      <c r="S4">
        <f>'77'!AQ4 +TiltZ+(TiltBoard*Board)</f>
        <v>0.93589743589743613</v>
      </c>
      <c r="T4">
        <f>'77'!AS4 +TiltZ+(TiltBoard*Board)</f>
        <v>1.5256410256410255</v>
      </c>
      <c r="U4">
        <f>'77'!AU4 +TiltZ+(TiltBoard*Board)</f>
        <v>1.115384615384615</v>
      </c>
      <c r="V4">
        <f>'77'!AW4 +TiltZ+(TiltBoard*Board)</f>
        <v>1.7051282051282062</v>
      </c>
      <c r="W4">
        <f>'77'!AY4 +TiltZ+(TiltBoard*Board)</f>
        <v>2.2948717948717956</v>
      </c>
      <c r="X4">
        <f>'77'!BA4 +TiltZ+(TiltBoard*Board)</f>
        <v>1.884615384615385</v>
      </c>
      <c r="Y4">
        <f>'77'!BC4 +TiltZ+(TiltBoard*Board)</f>
        <v>2.4743589743589745</v>
      </c>
      <c r="Z4">
        <f>'77'!BE4 +TiltZ+(TiltBoard*Board)</f>
        <v>3.0641025641025639</v>
      </c>
      <c r="AA4">
        <f>'77'!BG4 +TiltZ+(TiltBoard*Board)</f>
        <v>4.6538461538461533</v>
      </c>
      <c r="AB4">
        <f>'77'!BI4 +TiltZ+(TiltBoard*Board)</f>
        <v>5.2435897435897445</v>
      </c>
      <c r="AC4">
        <f>'77'!BK4 +TiltZ+(TiltBoard*Board)</f>
        <v>5.8333333333333339</v>
      </c>
      <c r="AD4">
        <f>'77'!BM4 +TiltZ+(TiltBoard*Board)</f>
        <v>7.4230769230769234</v>
      </c>
      <c r="AE4">
        <f>'77'!BO4 +TiltZ+(TiltBoard*Board)</f>
        <v>8.0128205128205146</v>
      </c>
      <c r="AF4">
        <f>'77'!BQ4 +TiltZ+(TiltBoard*Board)</f>
        <v>7.6025641025641022</v>
      </c>
      <c r="AG4">
        <f>'77'!BS4 +TiltZ+(TiltBoard*Board)</f>
        <v>9.1923076923076934</v>
      </c>
      <c r="AH4">
        <f>'77'!BU4 +TiltZ+(TiltBoard*Board)</f>
        <v>10.782051282051281</v>
      </c>
      <c r="AI4">
        <f>'77'!BW4 +TiltZ+(TiltBoard*Board)</f>
        <v>10.371794871794872</v>
      </c>
      <c r="AJ4">
        <f>'77'!BY4 +TiltZ+(TiltBoard*Board)</f>
        <v>9.9615384615384635</v>
      </c>
      <c r="AK4">
        <f>'77'!CA4 +TiltZ+(TiltBoard*Board)</f>
        <v>10.551282051282051</v>
      </c>
      <c r="AL4">
        <f>'77'!CC4 +TiltZ+(TiltBoard*Board)</f>
        <v>9.1410256410256423</v>
      </c>
      <c r="AM4">
        <f>'77'!CE4 +TiltZ+(TiltBoard*Board)</f>
        <v>9.7307692307692299</v>
      </c>
      <c r="AN4">
        <f>'77'!CG4 +TiltZ+(TiltBoard*Board)</f>
        <v>9.3205128205128212</v>
      </c>
      <c r="AO4">
        <f>'77'!CJ4 +TiltFact</f>
        <v>11.5</v>
      </c>
      <c r="AP4">
        <v>0</v>
      </c>
      <c r="AQ4">
        <f>'77'!H4</f>
        <v>23</v>
      </c>
      <c r="AR4">
        <f t="shared" si="0"/>
        <v>11.5</v>
      </c>
      <c r="AS4">
        <f t="shared" si="1"/>
        <v>-11.5</v>
      </c>
      <c r="AT4">
        <f t="shared" si="2"/>
        <v>0.58974358974358976</v>
      </c>
    </row>
    <row r="5" spans="1:46">
      <c r="A5" s="11">
        <v>53</v>
      </c>
      <c r="B5" s="22">
        <v>0</v>
      </c>
      <c r="C5">
        <f>'77'!K5 +TiltZ</f>
        <v>15</v>
      </c>
      <c r="D5">
        <f>'77'!M5 +TiltZ+(TiltBoard*Board)</f>
        <v>16.23076923076923</v>
      </c>
      <c r="E5">
        <f>'77'!O5 +TiltZ+(TiltBoard*Board)</f>
        <v>16.46153846153846</v>
      </c>
      <c r="F5">
        <f>'77'!Q5 +TiltZ+(TiltBoard*Board)</f>
        <v>17.692307692307693</v>
      </c>
      <c r="G5">
        <f>'77'!S5 +TiltZ+(TiltBoard*Board)</f>
        <v>18.923076923076923</v>
      </c>
      <c r="H5">
        <f>'77'!U5 +TiltZ+(TiltBoard*Board)</f>
        <v>21.153846153846153</v>
      </c>
      <c r="I5">
        <f>'77'!W5 +TiltZ+(TiltBoard*Board)</f>
        <v>21.384615384615383</v>
      </c>
      <c r="J5">
        <f>'77'!Y5 +TiltZ+(TiltBoard*Board)</f>
        <v>22.615384615384613</v>
      </c>
      <c r="K5">
        <f>'77'!AA5 +TiltZ+(TiltBoard*Board)</f>
        <v>23.846153846153847</v>
      </c>
      <c r="L5">
        <f>'77'!AC5 +TiltZ+(TiltBoard*Board)</f>
        <v>23.076923076923077</v>
      </c>
      <c r="M5">
        <f>'77'!AE5 +TiltZ+(TiltBoard*Board)</f>
        <v>25.307692307692307</v>
      </c>
      <c r="N5">
        <f>'77'!AG5 +TiltZ+(TiltBoard*Board)</f>
        <v>26.53846153846154</v>
      </c>
      <c r="O5">
        <f>'77'!AI5 +TiltZ+(TiltBoard*Board)</f>
        <v>27.769230769230766</v>
      </c>
      <c r="P5">
        <f>'77'!AK5 +TiltZ+(TiltBoard*Board)</f>
        <v>29</v>
      </c>
      <c r="Q5">
        <f>'77'!AM5 +TiltZ+(TiltBoard*Board)</f>
        <v>30.23076923076923</v>
      </c>
      <c r="R5">
        <f>'77'!AO5 +TiltZ+(TiltBoard*Board)</f>
        <v>31.46153846153846</v>
      </c>
      <c r="S5">
        <f>'77'!AQ5 +TiltZ+(TiltBoard*Board)</f>
        <v>32.692307692307693</v>
      </c>
      <c r="T5">
        <f>'77'!AS5 +TiltZ+(TiltBoard*Board)</f>
        <v>35.92307692307692</v>
      </c>
      <c r="U5">
        <f>'77'!AU5 +TiltZ+(TiltBoard*Board)</f>
        <v>39.153846153846153</v>
      </c>
      <c r="V5">
        <f>'77'!AW5 +TiltZ+(TiltBoard*Board)</f>
        <v>42.384615384615387</v>
      </c>
      <c r="W5">
        <f>'77'!AY5 +TiltZ+(TiltBoard*Board)</f>
        <v>37.615384615384613</v>
      </c>
      <c r="X5">
        <f>'77'!BA5 +TiltZ+(TiltBoard*Board)</f>
        <v>33.846153846153847</v>
      </c>
      <c r="Y5">
        <f>'77'!BC5 +TiltZ+(TiltBoard*Board)</f>
        <v>30.076923076923077</v>
      </c>
      <c r="Z5">
        <f>'77'!BE5 +TiltZ+(TiltBoard*Board)</f>
        <v>26.307692307692307</v>
      </c>
      <c r="AA5">
        <f>'77'!BG5 +TiltZ+(TiltBoard*Board)</f>
        <v>21.538461538461537</v>
      </c>
      <c r="AB5">
        <f>'77'!BI5 +TiltZ+(TiltBoard*Board)</f>
        <v>16.769230769230766</v>
      </c>
      <c r="AC5">
        <f>'77'!BK5 +TiltZ+(TiltBoard*Board)</f>
        <v>14</v>
      </c>
      <c r="AD5">
        <f>'77'!BM5 +TiltZ+(TiltBoard*Board)</f>
        <v>9.2307692307692299</v>
      </c>
      <c r="AE5">
        <f>'77'!BO5 +TiltZ+(TiltBoard*Board)</f>
        <v>5.4615384615384599</v>
      </c>
      <c r="AF5">
        <f>'77'!BQ5 +TiltZ+(TiltBoard*Board)</f>
        <v>3.6923076923076898</v>
      </c>
      <c r="AG5">
        <f>'77'!BS5 +TiltZ+(TiltBoard*Board)</f>
        <v>2.9230769230769234</v>
      </c>
      <c r="AH5">
        <f>'77'!BU5 +TiltZ+(TiltBoard*Board)</f>
        <v>2.1538461538461533</v>
      </c>
      <c r="AI5">
        <f>'77'!BW5 +TiltZ+(TiltBoard*Board)</f>
        <v>-0.61538461538461675</v>
      </c>
      <c r="AJ5">
        <f>'77'!BY5 +TiltZ+(TiltBoard*Board)</f>
        <v>-1.3846153846153868</v>
      </c>
      <c r="AK5">
        <f>'77'!CA5 +TiltZ+(TiltBoard*Board)</f>
        <v>-5.1538461538461569</v>
      </c>
      <c r="AL5">
        <f>'77'!CC5 +TiltZ+(TiltBoard*Board)</f>
        <v>-7.9230769230769234</v>
      </c>
      <c r="AM5">
        <f>'77'!CE5 +TiltZ+(TiltBoard*Board)</f>
        <v>-11.692307692307693</v>
      </c>
      <c r="AN5">
        <f>'77'!CG5 +TiltZ+(TiltBoard*Board)</f>
        <v>-13.461538461538463</v>
      </c>
      <c r="AO5">
        <f>'77'!CJ5 +TiltFact</f>
        <v>-15</v>
      </c>
      <c r="AP5">
        <v>0</v>
      </c>
      <c r="AQ5">
        <f>'77'!H5</f>
        <v>-30</v>
      </c>
      <c r="AR5">
        <f t="shared" si="0"/>
        <v>-15</v>
      </c>
      <c r="AS5">
        <f t="shared" si="1"/>
        <v>15</v>
      </c>
      <c r="AT5">
        <f t="shared" si="2"/>
        <v>-0.76923076923076927</v>
      </c>
    </row>
    <row r="6" spans="1:46">
      <c r="A6" s="11">
        <v>51</v>
      </c>
      <c r="B6" s="22">
        <v>0</v>
      </c>
      <c r="C6">
        <f>'77'!K6 +TiltZ</f>
        <v>-11</v>
      </c>
      <c r="D6">
        <f>'77'!M6 +TiltZ+(TiltBoard*Board)</f>
        <v>-9.4358974358974361</v>
      </c>
      <c r="E6">
        <f>'77'!O6 +TiltZ+(TiltBoard*Board)</f>
        <v>-12.871794871794872</v>
      </c>
      <c r="F6">
        <f>'77'!Q6 +TiltZ+(TiltBoard*Board)</f>
        <v>-18.307692307692307</v>
      </c>
      <c r="G6">
        <f>'77'!S6 +TiltZ+(TiltBoard*Board)</f>
        <v>-25.743589743589745</v>
      </c>
      <c r="H6">
        <f>'77'!U6 +TiltZ+(TiltBoard*Board)</f>
        <v>-33.179487179487182</v>
      </c>
      <c r="I6">
        <f>'77'!W6 +TiltZ+(TiltBoard*Board)</f>
        <v>-37.615384615384613</v>
      </c>
      <c r="J6">
        <f>'77'!Y6 +TiltZ+(TiltBoard*Board)</f>
        <v>-41.051282051282051</v>
      </c>
      <c r="K6">
        <f>'77'!AA6 +TiltZ+(TiltBoard*Board)</f>
        <v>-43.487179487179489</v>
      </c>
      <c r="L6">
        <f>'77'!AC6 +TiltZ+(TiltBoard*Board)</f>
        <v>-44.92307692307692</v>
      </c>
      <c r="M6">
        <f>'77'!AE6 +TiltZ+(TiltBoard*Board)</f>
        <v>-47.358974358974358</v>
      </c>
      <c r="N6">
        <f>'77'!AG6 +TiltZ+(TiltBoard*Board)</f>
        <v>-48.794871794871796</v>
      </c>
      <c r="O6">
        <f>'77'!AI6 +TiltZ+(TiltBoard*Board)</f>
        <v>-53.230769230769234</v>
      </c>
      <c r="P6">
        <f>'77'!AK6 +TiltZ+(TiltBoard*Board)</f>
        <v>-56.666666666666664</v>
      </c>
      <c r="Q6">
        <f>'77'!AM6 +TiltZ+(TiltBoard*Board)</f>
        <v>-61.102564102564102</v>
      </c>
      <c r="R6">
        <f>'77'!AO6 +TiltZ+(TiltBoard*Board)</f>
        <v>-65.538461538461533</v>
      </c>
      <c r="S6">
        <f>'77'!AQ6 +TiltZ+(TiltBoard*Board)</f>
        <v>-69.974358974358978</v>
      </c>
      <c r="T6">
        <f>'77'!AS6 +TiltZ+(TiltBoard*Board)</f>
        <v>-71.410256410256409</v>
      </c>
      <c r="U6">
        <f>'77'!AU6 +TiltZ+(TiltBoard*Board)</f>
        <v>-72.84615384615384</v>
      </c>
      <c r="V6">
        <f>'77'!AW6 +TiltZ+(TiltBoard*Board)</f>
        <v>-75.282051282051285</v>
      </c>
      <c r="W6">
        <f>'77'!AY6 +TiltZ+(TiltBoard*Board)</f>
        <v>-74.717948717948715</v>
      </c>
      <c r="X6">
        <f>'77'!BA6 +TiltZ+(TiltBoard*Board)</f>
        <v>-73.15384615384616</v>
      </c>
      <c r="Y6">
        <f>'77'!BC6 +TiltZ+(TiltBoard*Board)</f>
        <v>-71.589743589743591</v>
      </c>
      <c r="Z6">
        <f>'77'!BE6 +TiltZ+(TiltBoard*Board)</f>
        <v>-67.025641025641022</v>
      </c>
      <c r="AA6">
        <f>'77'!BG6 +TiltZ+(TiltBoard*Board)</f>
        <v>-63.46153846153846</v>
      </c>
      <c r="AB6">
        <f>'77'!BI6 +TiltZ+(TiltBoard*Board)</f>
        <v>-57.897435897435898</v>
      </c>
      <c r="AC6">
        <f>'77'!BK6 +TiltZ+(TiltBoard*Board)</f>
        <v>-52.333333333333336</v>
      </c>
      <c r="AD6">
        <f>'77'!BM6 +TiltZ+(TiltBoard*Board)</f>
        <v>-46.769230769230774</v>
      </c>
      <c r="AE6">
        <f>'77'!BO6 +TiltZ+(TiltBoard*Board)</f>
        <v>-36.205128205128204</v>
      </c>
      <c r="AF6">
        <f>'77'!BQ6 +TiltZ+(TiltBoard*Board)</f>
        <v>-29.641025641025642</v>
      </c>
      <c r="AG6">
        <f>'77'!BS6 +TiltZ+(TiltBoard*Board)</f>
        <v>-20.076923076923077</v>
      </c>
      <c r="AH6">
        <f>'77'!BU6 +TiltZ+(TiltBoard*Board)</f>
        <v>-8.5128205128205146</v>
      </c>
      <c r="AI6">
        <f>'77'!BW6 +TiltZ+(TiltBoard*Board)</f>
        <v>-2.9487179487179489</v>
      </c>
      <c r="AJ6">
        <f>'77'!BY6 +TiltZ+(TiltBoard*Board)</f>
        <v>2.6153846153846168</v>
      </c>
      <c r="AK6">
        <f>'77'!CA6 +TiltZ+(TiltBoard*Board)</f>
        <v>6.1794871794871788</v>
      </c>
      <c r="AL6">
        <f>'77'!CC6 +TiltZ+(TiltBoard*Board)</f>
        <v>9.7435897435897445</v>
      </c>
      <c r="AM6">
        <f>'77'!CE6 +TiltZ+(TiltBoard*Board)</f>
        <v>11.307692307692307</v>
      </c>
      <c r="AN6">
        <f>'77'!CG6 +TiltZ+(TiltBoard*Board)</f>
        <v>12.871794871794872</v>
      </c>
      <c r="AO6">
        <f>'77'!CI6 +TiltFact</f>
        <v>11</v>
      </c>
      <c r="AP6">
        <v>0</v>
      </c>
      <c r="AQ6">
        <f>'77'!H6</f>
        <v>22</v>
      </c>
      <c r="AR6">
        <f t="shared" si="0"/>
        <v>11</v>
      </c>
      <c r="AS6">
        <f t="shared" si="1"/>
        <v>-11</v>
      </c>
      <c r="AT6">
        <f t="shared" si="2"/>
        <v>0.5641025641025641</v>
      </c>
    </row>
    <row r="7" spans="1:46">
      <c r="A7" s="11">
        <v>49</v>
      </c>
      <c r="B7" s="22">
        <v>0</v>
      </c>
      <c r="C7">
        <f>'77'!K7 +TiltZ</f>
        <v>-1</v>
      </c>
      <c r="D7">
        <f>'77'!M7 +TiltZ+(TiltBoard*Board)</f>
        <v>1.0512820512820513</v>
      </c>
      <c r="E7">
        <f>'77'!O7 +TiltZ+(TiltBoard*Board)</f>
        <v>1.1025641025641026</v>
      </c>
      <c r="F7">
        <f>'77'!Q7 +TiltZ+(TiltBoard*Board)</f>
        <v>3.1538461538461537</v>
      </c>
      <c r="G7">
        <f>'77'!S7 +TiltZ+(TiltBoard*Board)</f>
        <v>3.2051282051282053</v>
      </c>
      <c r="H7">
        <f>'77'!U7 +TiltZ+(TiltBoard*Board)</f>
        <v>5.2564102564102564</v>
      </c>
      <c r="I7">
        <f>'77'!W7 +TiltZ+(TiltBoard*Board)</f>
        <v>5.3076923076923075</v>
      </c>
      <c r="J7">
        <f>'77'!Y7 +TiltZ+(TiltBoard*Board)</f>
        <v>6.3589743589743586</v>
      </c>
      <c r="K7">
        <f>'77'!AA7 +TiltZ+(TiltBoard*Board)</f>
        <v>7.4102564102564106</v>
      </c>
      <c r="L7">
        <f>'77'!AC7 +TiltZ+(TiltBoard*Board)</f>
        <v>6.4615384615384617</v>
      </c>
      <c r="M7">
        <f>'77'!AE7 +TiltZ+(TiltBoard*Board)</f>
        <v>7.5128205128205128</v>
      </c>
      <c r="N7">
        <f>'77'!AG7 +TiltZ+(TiltBoard*Board)</f>
        <v>7.5641025641025639</v>
      </c>
      <c r="O7">
        <f>'77'!AI7 +TiltZ+(TiltBoard*Board)</f>
        <v>7.615384615384615</v>
      </c>
      <c r="P7">
        <f>'77'!AK7 +TiltZ+(TiltBoard*Board)</f>
        <v>7.666666666666667</v>
      </c>
      <c r="Q7">
        <f>'77'!AM7 +TiltZ+(TiltBoard*Board)</f>
        <v>6.7179487179487181</v>
      </c>
      <c r="R7">
        <f>'77'!AO7 +TiltZ+(TiltBoard*Board)</f>
        <v>5.7692307692307692</v>
      </c>
      <c r="S7">
        <f>'77'!AQ7 +TiltZ+(TiltBoard*Board)</f>
        <v>6.8205128205128203</v>
      </c>
      <c r="T7">
        <f>'77'!AS7 +TiltZ+(TiltBoard*Board)</f>
        <v>5.8717948717948723</v>
      </c>
      <c r="U7">
        <f>'77'!AU7 +TiltZ+(TiltBoard*Board)</f>
        <v>4.9230769230769234</v>
      </c>
      <c r="V7">
        <f>'77'!AW7 +TiltZ+(TiltBoard*Board)</f>
        <v>5.9743589743589745</v>
      </c>
      <c r="W7">
        <f>'77'!AY7 +TiltZ+(TiltBoard*Board)</f>
        <v>6.0256410256410255</v>
      </c>
      <c r="X7">
        <f>'77'!BA7 +TiltZ+(TiltBoard*Board)</f>
        <v>5.0769230769230766</v>
      </c>
      <c r="Y7">
        <f>'77'!BC7 +TiltZ+(TiltBoard*Board)</f>
        <v>6.1282051282051277</v>
      </c>
      <c r="Z7">
        <f>'77'!BE7 +TiltZ+(TiltBoard*Board)</f>
        <v>6.1794871794871797</v>
      </c>
      <c r="AA7">
        <f>'77'!BG7 +TiltZ+(TiltBoard*Board)</f>
        <v>6.2307692307692308</v>
      </c>
      <c r="AB7">
        <f>'77'!BI7 +TiltZ+(TiltBoard*Board)</f>
        <v>7.2820512820512819</v>
      </c>
      <c r="AC7">
        <f>'77'!BK7 +TiltZ+(TiltBoard*Board)</f>
        <v>7.333333333333333</v>
      </c>
      <c r="AD7">
        <f>'77'!BM7 +TiltZ+(TiltBoard*Board)</f>
        <v>8.384615384615385</v>
      </c>
      <c r="AE7">
        <f>'77'!BO7 +TiltZ+(TiltBoard*Board)</f>
        <v>8.4358974358974361</v>
      </c>
      <c r="AF7">
        <f>'77'!BQ7 +TiltZ+(TiltBoard*Board)</f>
        <v>7.4871794871794872</v>
      </c>
      <c r="AG7">
        <f>'77'!BS7 +TiltZ+(TiltBoard*Board)</f>
        <v>8.5384615384615383</v>
      </c>
      <c r="AH7">
        <f>'77'!BU7 +TiltZ+(TiltBoard*Board)</f>
        <v>7.5897435897435894</v>
      </c>
      <c r="AI7">
        <f>'77'!BW7 +TiltZ+(TiltBoard*Board)</f>
        <v>6.6410256410256405</v>
      </c>
      <c r="AJ7">
        <f>'77'!BY7 +TiltZ+(TiltBoard*Board)</f>
        <v>6.6923076923076925</v>
      </c>
      <c r="AK7">
        <f>'77'!CA7 +TiltZ+(TiltBoard*Board)</f>
        <v>4.7435897435897436</v>
      </c>
      <c r="AL7">
        <f>'77'!CC7 +TiltZ+(TiltBoard*Board)</f>
        <v>2.7948717948717947</v>
      </c>
      <c r="AM7">
        <f>'77'!CE7 +TiltZ+(TiltBoard*Board)</f>
        <v>1.846153846153846</v>
      </c>
      <c r="AN7">
        <f>'77'!CG7 +TiltZ+(TiltBoard*Board)</f>
        <v>0.89743589743589736</v>
      </c>
      <c r="AO7">
        <f>'77'!CJ7 +TiltFact</f>
        <v>1</v>
      </c>
      <c r="AP7">
        <v>0</v>
      </c>
      <c r="AQ7">
        <f>'77'!H7</f>
        <v>2</v>
      </c>
      <c r="AR7">
        <f t="shared" si="0"/>
        <v>1</v>
      </c>
      <c r="AS7">
        <f t="shared" si="1"/>
        <v>-1</v>
      </c>
      <c r="AT7">
        <f t="shared" si="2"/>
        <v>5.128205128205128E-2</v>
      </c>
    </row>
    <row r="8" spans="1:46">
      <c r="A8" s="11">
        <v>47</v>
      </c>
      <c r="B8" s="22">
        <v>0</v>
      </c>
      <c r="C8">
        <f>'77'!K8 +TiltZ</f>
        <v>-11</v>
      </c>
      <c r="D8">
        <f>'77'!M8 +TiltZ+(TiltBoard*Board)</f>
        <v>-7.4358974358974361</v>
      </c>
      <c r="E8">
        <f>'77'!O8 +TiltZ+(TiltBoard*Board)</f>
        <v>-7.8717948717948723</v>
      </c>
      <c r="F8">
        <f>'77'!Q8 +TiltZ+(TiltBoard*Board)</f>
        <v>-7.3076923076923075</v>
      </c>
      <c r="G8">
        <f>'77'!S8 +TiltZ+(TiltBoard*Board)</f>
        <v>-5.7435897435897436</v>
      </c>
      <c r="H8">
        <f>'77'!U8 +TiltZ+(TiltBoard*Board)</f>
        <v>-4.1794871794871797</v>
      </c>
      <c r="I8">
        <f>'77'!W8 +TiltZ+(TiltBoard*Board)</f>
        <v>-3.6153846153846154</v>
      </c>
      <c r="J8">
        <f>'77'!Y8 +TiltZ+(TiltBoard*Board)</f>
        <v>-2.0512820512820511</v>
      </c>
      <c r="K8">
        <f>'77'!AA8 +TiltZ+(TiltBoard*Board)</f>
        <v>-0.48717948717948723</v>
      </c>
      <c r="L8">
        <f>'77'!AC8 +TiltZ+(TiltBoard*Board)</f>
        <v>-1.9230769230769234</v>
      </c>
      <c r="M8">
        <f>'77'!AE8 +TiltZ+(TiltBoard*Board)</f>
        <v>-1.3589743589743595</v>
      </c>
      <c r="N8">
        <f>'77'!AG8 +TiltZ+(TiltBoard*Board)</f>
        <v>-1.7948717948717947</v>
      </c>
      <c r="O8">
        <f>'77'!AI8 +TiltZ+(TiltBoard*Board)</f>
        <v>-3.2307692307692308</v>
      </c>
      <c r="P8">
        <f>'77'!AK8 +TiltZ+(TiltBoard*Board)</f>
        <v>-3.666666666666667</v>
      </c>
      <c r="Q8">
        <f>'77'!AM8 +TiltZ+(TiltBoard*Board)</f>
        <v>-5.1025641025641022</v>
      </c>
      <c r="R8">
        <f>'77'!AO8 +TiltZ+(TiltBoard*Board)</f>
        <v>-5.5384615384615383</v>
      </c>
      <c r="S8">
        <f>'77'!AQ8 +TiltZ+(TiltBoard*Board)</f>
        <v>-5.9743589743589745</v>
      </c>
      <c r="T8">
        <f>'77'!AS8 +TiltZ+(TiltBoard*Board)</f>
        <v>-5.4102564102564106</v>
      </c>
      <c r="U8">
        <f>'77'!AU8 +TiltZ+(TiltBoard*Board)</f>
        <v>-6.8461538461538467</v>
      </c>
      <c r="V8">
        <f>'77'!AW8 +TiltZ+(TiltBoard*Board)</f>
        <v>-6.2820512820512828</v>
      </c>
      <c r="W8">
        <f>'77'!AY8 +TiltZ+(TiltBoard*Board)</f>
        <v>-5.717948717948719</v>
      </c>
      <c r="X8">
        <f>'77'!BA8 +TiltZ+(TiltBoard*Board)</f>
        <v>-7.1538461538461533</v>
      </c>
      <c r="Y8">
        <f>'77'!BC8 +TiltZ+(TiltBoard*Board)</f>
        <v>-6.5897435897435894</v>
      </c>
      <c r="Z8">
        <f>'77'!BE8 +TiltZ+(TiltBoard*Board)</f>
        <v>-6.0256410256410255</v>
      </c>
      <c r="AA8">
        <f>'77'!BG8 +TiltZ+(TiltBoard*Board)</f>
        <v>-5.4615384615384617</v>
      </c>
      <c r="AB8">
        <f>'77'!BI8 +TiltZ+(TiltBoard*Board)</f>
        <v>-3.8974358974358978</v>
      </c>
      <c r="AC8">
        <f>'77'!BK8 +TiltZ+(TiltBoard*Board)</f>
        <v>-3.3333333333333339</v>
      </c>
      <c r="AD8">
        <f>'77'!BM8 +TiltZ+(TiltBoard*Board)</f>
        <v>-1.7692307692307701</v>
      </c>
      <c r="AE8">
        <f>'77'!BO8 +TiltZ+(TiltBoard*Board)</f>
        <v>-1.2051282051282044</v>
      </c>
      <c r="AF8">
        <f>'77'!BQ8 +TiltZ+(TiltBoard*Board)</f>
        <v>0.3589743589743577</v>
      </c>
      <c r="AG8">
        <f>'77'!BS8 +TiltZ+(TiltBoard*Board)</f>
        <v>2.9230769230769234</v>
      </c>
      <c r="AH8">
        <f>'77'!BU8 +TiltZ+(TiltBoard*Board)</f>
        <v>4.4871794871794854</v>
      </c>
      <c r="AI8">
        <f>'77'!BW8 +TiltZ+(TiltBoard*Board)</f>
        <v>5.0512820512820511</v>
      </c>
      <c r="AJ8">
        <f>'77'!BY8 +TiltZ+(TiltBoard*Board)</f>
        <v>6.6153846153846168</v>
      </c>
      <c r="AK8">
        <f>'77'!CA8 +TiltZ+(TiltBoard*Board)</f>
        <v>7.1794871794871788</v>
      </c>
      <c r="AL8">
        <f>'77'!CC8 +TiltZ+(TiltBoard*Board)</f>
        <v>7.7435897435897445</v>
      </c>
      <c r="AM8">
        <f>'77'!CE8 +TiltZ+(TiltBoard*Board)</f>
        <v>8.3076923076923066</v>
      </c>
      <c r="AN8">
        <f>'77'!CG8 +TiltZ+(TiltBoard*Board)</f>
        <v>8.8717948717948723</v>
      </c>
      <c r="AO8">
        <f>'77'!CI8 +TiltFact</f>
        <v>11</v>
      </c>
      <c r="AP8">
        <v>0</v>
      </c>
      <c r="AQ8">
        <f>'77'!H8</f>
        <v>22</v>
      </c>
      <c r="AR8">
        <f t="shared" si="0"/>
        <v>11</v>
      </c>
      <c r="AS8">
        <f t="shared" si="1"/>
        <v>-11</v>
      </c>
      <c r="AT8">
        <f t="shared" si="2"/>
        <v>0.5641025641025641</v>
      </c>
    </row>
    <row r="9" spans="1:46">
      <c r="A9" s="11">
        <v>45</v>
      </c>
      <c r="B9" s="22">
        <v>0</v>
      </c>
      <c r="C9">
        <f>'77'!K9 +TiltZ</f>
        <v>3</v>
      </c>
      <c r="D9">
        <f>'77'!M9 +TiltZ+(TiltBoard*Board)</f>
        <v>3.8461538461538463</v>
      </c>
      <c r="E9">
        <f>'77'!O9 +TiltZ+(TiltBoard*Board)</f>
        <v>4.6923076923076925</v>
      </c>
      <c r="F9">
        <f>'77'!Q9 +TiltZ+(TiltBoard*Board)</f>
        <v>6.5384615384615383</v>
      </c>
      <c r="G9">
        <f>'77'!S9 +TiltZ+(TiltBoard*Board)</f>
        <v>8.384615384615385</v>
      </c>
      <c r="H9">
        <f>'77'!U9 +TiltZ+(TiltBoard*Board)</f>
        <v>10.23076923076923</v>
      </c>
      <c r="I9">
        <f>'77'!W9 +TiltZ+(TiltBoard*Board)</f>
        <v>10.076923076923077</v>
      </c>
      <c r="J9">
        <f>'77'!Y9 +TiltZ+(TiltBoard*Board)</f>
        <v>10.923076923076923</v>
      </c>
      <c r="K9">
        <f>'77'!AA9 +TiltZ+(TiltBoard*Board)</f>
        <v>11.76923076923077</v>
      </c>
      <c r="L9">
        <f>'77'!AC9 +TiltZ+(TiltBoard*Board)</f>
        <v>10.615384615384615</v>
      </c>
      <c r="M9">
        <f>'77'!AE9 +TiltZ+(TiltBoard*Board)</f>
        <v>10.461538461538462</v>
      </c>
      <c r="N9">
        <f>'77'!AG9 +TiltZ+(TiltBoard*Board)</f>
        <v>9.3076923076923066</v>
      </c>
      <c r="O9">
        <f>'77'!AI9 +TiltZ+(TiltBoard*Board)</f>
        <v>9.1538461538461533</v>
      </c>
      <c r="P9">
        <f>'77'!AK9 +TiltZ+(TiltBoard*Board)</f>
        <v>8</v>
      </c>
      <c r="Q9">
        <f>'77'!AM9 +TiltZ+(TiltBoard*Board)</f>
        <v>7.8461538461538458</v>
      </c>
      <c r="R9">
        <f>'77'!AO9 +TiltZ+(TiltBoard*Board)</f>
        <v>6.6923076923076916</v>
      </c>
      <c r="S9">
        <f>'77'!AQ9 +TiltZ+(TiltBoard*Board)</f>
        <v>6.5384615384615383</v>
      </c>
      <c r="T9">
        <f>'77'!AS9 +TiltZ+(TiltBoard*Board)</f>
        <v>6.384615384615385</v>
      </c>
      <c r="U9">
        <f>'77'!AU9 +TiltZ+(TiltBoard*Board)</f>
        <v>5.2307692307692308</v>
      </c>
      <c r="V9">
        <f>'77'!AW9 +TiltZ+(TiltBoard*Board)</f>
        <v>6.0769230769230766</v>
      </c>
      <c r="W9">
        <f>'77'!AY9 +TiltZ+(TiltBoard*Board)</f>
        <v>4.9230769230769234</v>
      </c>
      <c r="X9">
        <f>'77'!BA9 +TiltZ+(TiltBoard*Board)</f>
        <v>4.7692307692307692</v>
      </c>
      <c r="Y9">
        <f>'77'!BC9 +TiltZ+(TiltBoard*Board)</f>
        <v>4.615384615384615</v>
      </c>
      <c r="Z9">
        <f>'77'!BE9 +TiltZ+(TiltBoard*Board)</f>
        <v>4.4615384615384617</v>
      </c>
      <c r="AA9">
        <f>'77'!BG9 +TiltZ+(TiltBoard*Board)</f>
        <v>4.3076923076923075</v>
      </c>
      <c r="AB9">
        <f>'77'!BI9 +TiltZ+(TiltBoard*Board)</f>
        <v>4.1538461538461533</v>
      </c>
      <c r="AC9">
        <f>'77'!BK9 +TiltZ+(TiltBoard*Board)</f>
        <v>4</v>
      </c>
      <c r="AD9">
        <f>'77'!BM9 +TiltZ+(TiltBoard*Board)</f>
        <v>3.8461538461538458</v>
      </c>
      <c r="AE9">
        <f>'77'!BO9 +TiltZ+(TiltBoard*Board)</f>
        <v>3.6923076923076916</v>
      </c>
      <c r="AF9">
        <f>'77'!BQ9 +TiltZ+(TiltBoard*Board)</f>
        <v>2.5384615384615383</v>
      </c>
      <c r="AG9">
        <f>'77'!BS9 +TiltZ+(TiltBoard*Board)</f>
        <v>3.3846153846153841</v>
      </c>
      <c r="AH9">
        <f>'77'!BU9 +TiltZ+(TiltBoard*Board)</f>
        <v>3.2307692307692308</v>
      </c>
      <c r="AI9">
        <f>'77'!BW9 +TiltZ+(TiltBoard*Board)</f>
        <v>1.0769230769230766</v>
      </c>
      <c r="AJ9">
        <f>'77'!BY9 +TiltZ+(TiltBoard*Board)</f>
        <v>0.92307692307692246</v>
      </c>
      <c r="AK9">
        <f>'77'!CA9 +TiltZ+(TiltBoard*Board)</f>
        <v>-0.23076923076923084</v>
      </c>
      <c r="AL9">
        <f>'77'!CC9 +TiltZ+(TiltBoard*Board)</f>
        <v>-1.384615384615385</v>
      </c>
      <c r="AM9">
        <f>'77'!CE9 +TiltZ+(TiltBoard*Board)</f>
        <v>-2.5384615384615383</v>
      </c>
      <c r="AN9">
        <f>'77'!CG9 +TiltZ+(TiltBoard*Board)</f>
        <v>-3.6923076923076925</v>
      </c>
      <c r="AO9">
        <f>'77'!CJ9 +TiltFact</f>
        <v>-3</v>
      </c>
      <c r="AP9">
        <v>0</v>
      </c>
      <c r="AQ9">
        <f>'77'!H9</f>
        <v>-6</v>
      </c>
      <c r="AR9">
        <f t="shared" si="0"/>
        <v>-3</v>
      </c>
      <c r="AS9">
        <f t="shared" si="1"/>
        <v>3</v>
      </c>
      <c r="AT9">
        <f t="shared" si="2"/>
        <v>-0.15384615384615385</v>
      </c>
    </row>
    <row r="10" spans="1:46">
      <c r="A10" s="11">
        <v>43</v>
      </c>
      <c r="B10" s="22">
        <v>0</v>
      </c>
      <c r="C10">
        <f>'77'!K10 +TiltZ</f>
        <v>-11</v>
      </c>
      <c r="D10">
        <f>'77'!M10 +TiltZ+(TiltBoard*Board)</f>
        <v>-10.435897435897436</v>
      </c>
      <c r="E10">
        <f>'77'!O10 +TiltZ+(TiltBoard*Board)</f>
        <v>-17.871794871794872</v>
      </c>
      <c r="F10">
        <f>'77'!Q10 +TiltZ+(TiltBoard*Board)</f>
        <v>-33.307692307692307</v>
      </c>
      <c r="G10">
        <f>'77'!S10 +TiltZ+(TiltBoard*Board)</f>
        <v>-43.743589743589745</v>
      </c>
      <c r="H10">
        <f>'77'!U10 +TiltZ+(TiltBoard*Board)</f>
        <v>-56.179487179487182</v>
      </c>
      <c r="I10">
        <f>'77'!W10 +TiltZ+(TiltBoard*Board)</f>
        <v>-63.615384615384613</v>
      </c>
      <c r="J10">
        <f>'77'!Y10 +TiltZ+(TiltBoard*Board)</f>
        <v>-70.051282051282044</v>
      </c>
      <c r="K10">
        <f>'77'!AA10 +TiltZ+(TiltBoard*Board)</f>
        <v>-75.487179487179489</v>
      </c>
      <c r="L10">
        <f>'77'!AC10 +TiltZ+(TiltBoard*Board)</f>
        <v>-83.92307692307692</v>
      </c>
      <c r="M10">
        <f>'77'!AE10 +TiltZ+(TiltBoard*Board)</f>
        <v>-86.358974358974365</v>
      </c>
      <c r="N10">
        <f>'77'!AG10 +TiltZ+(TiltBoard*Board)</f>
        <v>-91.794871794871796</v>
      </c>
      <c r="O10">
        <f>'77'!AI10 +TiltZ+(TiltBoard*Board)</f>
        <v>-97.230769230769226</v>
      </c>
      <c r="P10">
        <f>'77'!AK10 +TiltZ+(TiltBoard*Board)</f>
        <v>-98.666666666666671</v>
      </c>
      <c r="Q10">
        <f>'77'!AM10 +TiltZ+(TiltBoard*Board)</f>
        <v>-102.1025641025641</v>
      </c>
      <c r="R10">
        <f>'77'!AO10 +TiltZ+(TiltBoard*Board)</f>
        <v>-104.53846153846153</v>
      </c>
      <c r="S10">
        <f>'77'!AQ10 +TiltZ+(TiltBoard*Board)</f>
        <v>-103.97435897435898</v>
      </c>
      <c r="T10">
        <f>'77'!AS10 +TiltZ+(TiltBoard*Board)</f>
        <v>-105.41025641025641</v>
      </c>
      <c r="U10">
        <f>'77'!AU10 +TiltZ+(TiltBoard*Board)</f>
        <v>-104.84615384615384</v>
      </c>
      <c r="V10">
        <f>'77'!AW10 +TiltZ+(TiltBoard*Board)</f>
        <v>-103.28205128205128</v>
      </c>
      <c r="W10">
        <f>'77'!AY10 +TiltZ+(TiltBoard*Board)</f>
        <v>-100.71794871794872</v>
      </c>
      <c r="X10">
        <f>'77'!BA10 +TiltZ+(TiltBoard*Board)</f>
        <v>-98.15384615384616</v>
      </c>
      <c r="Y10">
        <f>'77'!BC10 +TiltZ+(TiltBoard*Board)</f>
        <v>-92.589743589743591</v>
      </c>
      <c r="Z10">
        <f>'77'!BE10 +TiltZ+(TiltBoard*Board)</f>
        <v>-88.025641025641022</v>
      </c>
      <c r="AA10">
        <f>'77'!BG10 +TiltZ+(TiltBoard*Board)</f>
        <v>-83.461538461538467</v>
      </c>
      <c r="AB10">
        <f>'77'!BI10 +TiltZ+(TiltBoard*Board)</f>
        <v>-78.897435897435898</v>
      </c>
      <c r="AC10">
        <f>'77'!BK10 +TiltZ+(TiltBoard*Board)</f>
        <v>-74.333333333333329</v>
      </c>
      <c r="AD10">
        <f>'77'!BM10 +TiltZ+(TiltBoard*Board)</f>
        <v>-69.769230769230774</v>
      </c>
      <c r="AE10">
        <f>'77'!BO10 +TiltZ+(TiltBoard*Board)</f>
        <v>-64.205128205128204</v>
      </c>
      <c r="AF10">
        <f>'77'!BQ10 +TiltZ+(TiltBoard*Board)</f>
        <v>-54.641025641025642</v>
      </c>
      <c r="AG10">
        <f>'77'!BS10 +TiltZ+(TiltBoard*Board)</f>
        <v>-42.07692307692308</v>
      </c>
      <c r="AH10">
        <f>'77'!BU10 +TiltZ+(TiltBoard*Board)</f>
        <v>-30.512820512820515</v>
      </c>
      <c r="AI10">
        <f>'77'!BW10 +TiltZ+(TiltBoard*Board)</f>
        <v>-21.948717948717949</v>
      </c>
      <c r="AJ10">
        <f>'77'!BY10 +TiltZ+(TiltBoard*Board)</f>
        <v>-11.384615384615383</v>
      </c>
      <c r="AK10">
        <f>'77'!CA10 +TiltZ+(TiltBoard*Board)</f>
        <v>-2.8205128205128212</v>
      </c>
      <c r="AL10">
        <f>'77'!CC10 +TiltZ+(TiltBoard*Board)</f>
        <v>5.7435897435897445</v>
      </c>
      <c r="AM10">
        <f>'77'!CE10 +TiltZ+(TiltBoard*Board)</f>
        <v>12.307692307692307</v>
      </c>
      <c r="AN10">
        <f>'77'!CG10 +TiltZ+(TiltBoard*Board)</f>
        <v>16.871794871794872</v>
      </c>
      <c r="AO10">
        <f>'77'!CI10 +TiltFact</f>
        <v>11</v>
      </c>
      <c r="AP10">
        <v>0</v>
      </c>
      <c r="AQ10">
        <f>'77'!H10</f>
        <v>22</v>
      </c>
      <c r="AR10">
        <f t="shared" si="0"/>
        <v>11</v>
      </c>
      <c r="AS10">
        <f t="shared" si="1"/>
        <v>-11</v>
      </c>
      <c r="AT10">
        <f t="shared" si="2"/>
        <v>0.5641025641025641</v>
      </c>
    </row>
    <row r="11" spans="1:46">
      <c r="A11" s="11">
        <v>41</v>
      </c>
      <c r="B11" s="22">
        <v>0</v>
      </c>
      <c r="C11">
        <f>'77'!K11 +TiltZ</f>
        <v>1</v>
      </c>
      <c r="D11">
        <f>'77'!M11 +TiltZ+(TiltBoard*Board)</f>
        <v>2.9487179487179489</v>
      </c>
      <c r="E11">
        <f>'77'!O11 +TiltZ+(TiltBoard*Board)</f>
        <v>2.8974358974358974</v>
      </c>
      <c r="F11">
        <f>'77'!Q11 +TiltZ+(TiltBoard*Board)</f>
        <v>4.8461538461538458</v>
      </c>
      <c r="G11">
        <f>'77'!S11 +TiltZ+(TiltBoard*Board)</f>
        <v>6.7948717948717947</v>
      </c>
      <c r="H11">
        <f>'77'!U11 +TiltZ+(TiltBoard*Board)</f>
        <v>8.7435897435897445</v>
      </c>
      <c r="I11">
        <f>'77'!W11 +TiltZ+(TiltBoard*Board)</f>
        <v>7.6923076923076925</v>
      </c>
      <c r="J11">
        <f>'77'!Y11 +TiltZ+(TiltBoard*Board)</f>
        <v>8.6410256410256405</v>
      </c>
      <c r="K11">
        <f>'77'!AA11 +TiltZ+(TiltBoard*Board)</f>
        <v>8.5897435897435894</v>
      </c>
      <c r="L11">
        <f>'77'!AC11 +TiltZ+(TiltBoard*Board)</f>
        <v>6.5384615384615383</v>
      </c>
      <c r="M11">
        <f>'77'!AE11 +TiltZ+(TiltBoard*Board)</f>
        <v>5.4871794871794872</v>
      </c>
      <c r="N11">
        <f>'77'!AG11 +TiltZ+(TiltBoard*Board)</f>
        <v>4.4358974358974361</v>
      </c>
      <c r="O11">
        <f>'77'!AI11 +TiltZ+(TiltBoard*Board)</f>
        <v>3.3846153846153846</v>
      </c>
      <c r="P11">
        <f>'77'!AK11 +TiltZ+(TiltBoard*Board)</f>
        <v>3.3333333333333335</v>
      </c>
      <c r="Q11">
        <f>'77'!AM11 +TiltZ+(TiltBoard*Board)</f>
        <v>3.2820512820512819</v>
      </c>
      <c r="R11">
        <f>'77'!AO11 +TiltZ+(TiltBoard*Board)</f>
        <v>3.2307692307692308</v>
      </c>
      <c r="S11">
        <f>'77'!AQ11 +TiltZ+(TiltBoard*Board)</f>
        <v>3.1794871794871797</v>
      </c>
      <c r="T11">
        <f>'77'!AS11 +TiltZ+(TiltBoard*Board)</f>
        <v>3.1282051282051282</v>
      </c>
      <c r="U11">
        <f>'77'!AU11 +TiltZ+(TiltBoard*Board)</f>
        <v>3.0769230769230771</v>
      </c>
      <c r="V11">
        <f>'77'!AW11 +TiltZ+(TiltBoard*Board)</f>
        <v>3.0256410256410255</v>
      </c>
      <c r="W11">
        <f>'77'!AY11 +TiltZ+(TiltBoard*Board)</f>
        <v>2.9743589743589745</v>
      </c>
      <c r="X11">
        <f>'77'!BA11 +TiltZ+(TiltBoard*Board)</f>
        <v>1.9230769230769231</v>
      </c>
      <c r="Y11">
        <f>'77'!BC11 +TiltZ+(TiltBoard*Board)</f>
        <v>0.87179487179487181</v>
      </c>
      <c r="Z11">
        <f>'77'!BE11 +TiltZ+(TiltBoard*Board)</f>
        <v>0.82051282051282048</v>
      </c>
      <c r="AA11">
        <f>'77'!BG11 +TiltZ+(TiltBoard*Board)</f>
        <v>0.76923076923076916</v>
      </c>
      <c r="AB11">
        <f>'77'!BI11 +TiltZ+(TiltBoard*Board)</f>
        <v>-0.28205128205128194</v>
      </c>
      <c r="AC11">
        <f>'77'!BK11 +TiltZ+(TiltBoard*Board)</f>
        <v>-0.33333333333333326</v>
      </c>
      <c r="AD11">
        <f>'77'!BM11 +TiltZ+(TiltBoard*Board)</f>
        <v>0.61538461538461542</v>
      </c>
      <c r="AE11">
        <f>'77'!BO11 +TiltZ+(TiltBoard*Board)</f>
        <v>0.5641025641025641</v>
      </c>
      <c r="AF11">
        <f>'77'!BQ11 +TiltZ+(TiltBoard*Board)</f>
        <v>-0.48717948717948723</v>
      </c>
      <c r="AG11">
        <f>'77'!BS11 +TiltZ+(TiltBoard*Board)</f>
        <v>0.46153846153846168</v>
      </c>
      <c r="AH11">
        <f>'77'!BU11 +TiltZ+(TiltBoard*Board)</f>
        <v>0.41025641025641035</v>
      </c>
      <c r="AI11">
        <f>'77'!BW11 +TiltZ+(TiltBoard*Board)</f>
        <v>-0.64102564102564097</v>
      </c>
      <c r="AJ11">
        <f>'77'!BY11 +TiltZ+(TiltBoard*Board)</f>
        <v>-0.69230769230769229</v>
      </c>
      <c r="AK11">
        <f>'77'!CA11 +TiltZ+(TiltBoard*Board)</f>
        <v>-1.7435897435897436</v>
      </c>
      <c r="AL11">
        <f>'77'!CC11 +TiltZ+(TiltBoard*Board)</f>
        <v>-2.7948717948717947</v>
      </c>
      <c r="AM11">
        <f>'77'!CE11 +TiltZ+(TiltBoard*Board)</f>
        <v>-2.8461538461538458</v>
      </c>
      <c r="AN11">
        <f>'77'!CG11 +TiltZ+(TiltBoard*Board)</f>
        <v>-2.8974358974358974</v>
      </c>
      <c r="AO11">
        <f>'77'!CJ11 +TiltFact</f>
        <v>-1</v>
      </c>
      <c r="AP11">
        <v>0</v>
      </c>
      <c r="AQ11">
        <f>'77'!H11</f>
        <v>-2</v>
      </c>
      <c r="AR11">
        <f t="shared" si="0"/>
        <v>-1</v>
      </c>
      <c r="AS11">
        <f t="shared" si="1"/>
        <v>1</v>
      </c>
      <c r="AT11">
        <f t="shared" si="2"/>
        <v>-5.128205128205128E-2</v>
      </c>
    </row>
    <row r="12" spans="1:46">
      <c r="A12" s="11">
        <v>39</v>
      </c>
      <c r="B12" s="22">
        <v>0</v>
      </c>
      <c r="C12">
        <f>'77'!K12 +TiltZ</f>
        <v>-0.5</v>
      </c>
      <c r="D12">
        <f>'77'!M12 +TiltZ+(TiltBoard*Board)</f>
        <v>1.5256410256410255</v>
      </c>
      <c r="E12">
        <f>'77'!O12 +TiltZ+(TiltBoard*Board)</f>
        <v>2.5512820512820511</v>
      </c>
      <c r="F12">
        <f>'77'!Q12 +TiltZ+(TiltBoard*Board)</f>
        <v>2.5769230769230771</v>
      </c>
      <c r="G12">
        <f>'77'!S12 +TiltZ+(TiltBoard*Board)</f>
        <v>2.6025641025641026</v>
      </c>
      <c r="H12">
        <f>'77'!U12 +TiltZ+(TiltBoard*Board)</f>
        <v>4.6282051282051277</v>
      </c>
      <c r="I12">
        <f>'77'!W12 +TiltZ+(TiltBoard*Board)</f>
        <v>4.6538461538461542</v>
      </c>
      <c r="J12">
        <f>'77'!Y12 +TiltZ+(TiltBoard*Board)</f>
        <v>4.6794871794871797</v>
      </c>
      <c r="K12">
        <f>'77'!AA12 +TiltZ+(TiltBoard*Board)</f>
        <v>5.7051282051282053</v>
      </c>
      <c r="L12">
        <f>'77'!AC12 +TiltZ+(TiltBoard*Board)</f>
        <v>2.7307692307692308</v>
      </c>
      <c r="M12">
        <f>'77'!AE12 +TiltZ+(TiltBoard*Board)</f>
        <v>0.75641025641025639</v>
      </c>
      <c r="N12">
        <f>'77'!AG12 +TiltZ+(TiltBoard*Board)</f>
        <v>0.78205128205128205</v>
      </c>
      <c r="O12">
        <f>'77'!AI12 +TiltZ+(TiltBoard*Board)</f>
        <v>0.80769230769230771</v>
      </c>
      <c r="P12">
        <f>'77'!AK12 +TiltZ+(TiltBoard*Board)</f>
        <v>-0.16666666666666669</v>
      </c>
      <c r="Q12">
        <f>'77'!AM12 +TiltZ+(TiltBoard*Board)</f>
        <v>0.85897435897435903</v>
      </c>
      <c r="R12">
        <f>'77'!AO12 +TiltZ+(TiltBoard*Board)</f>
        <v>2.8846153846153846</v>
      </c>
      <c r="S12">
        <f>'77'!AQ12 +TiltZ+(TiltBoard*Board)</f>
        <v>4.9102564102564106</v>
      </c>
      <c r="T12">
        <f>'77'!AS12 +TiltZ+(TiltBoard*Board)</f>
        <v>5.9358974358974361</v>
      </c>
      <c r="U12">
        <f>'77'!AU12 +TiltZ+(TiltBoard*Board)</f>
        <v>5.9615384615384617</v>
      </c>
      <c r="V12">
        <f>'77'!AW12 +TiltZ+(TiltBoard*Board)</f>
        <v>6.9871794871794872</v>
      </c>
      <c r="W12">
        <f>'77'!AY12 +TiltZ+(TiltBoard*Board)</f>
        <v>6.0128205128205128</v>
      </c>
      <c r="X12">
        <f>'77'!BA12 +TiltZ+(TiltBoard*Board)</f>
        <v>5.0384615384615383</v>
      </c>
      <c r="Y12">
        <f>'77'!BC12 +TiltZ+(TiltBoard*Board)</f>
        <v>4.0641025641025639</v>
      </c>
      <c r="Z12">
        <f>'77'!BE12 +TiltZ+(TiltBoard*Board)</f>
        <v>3.0897435897435899</v>
      </c>
      <c r="AA12">
        <f>'77'!BG12 +TiltZ+(TiltBoard*Board)</f>
        <v>3.1153846153846154</v>
      </c>
      <c r="AB12">
        <f>'77'!BI12 +TiltZ+(TiltBoard*Board)</f>
        <v>3.141025641025641</v>
      </c>
      <c r="AC12">
        <f>'77'!BK12 +TiltZ+(TiltBoard*Board)</f>
        <v>4.166666666666667</v>
      </c>
      <c r="AD12">
        <f>'77'!BM12 +TiltZ+(TiltBoard*Board)</f>
        <v>3.1923076923076925</v>
      </c>
      <c r="AE12">
        <f>'77'!BO12 +TiltZ+(TiltBoard*Board)</f>
        <v>5.2179487179487181</v>
      </c>
      <c r="AF12">
        <f>'77'!BQ12 +TiltZ+(TiltBoard*Board)</f>
        <v>4.2435897435897436</v>
      </c>
      <c r="AG12">
        <f>'77'!BS12 +TiltZ+(TiltBoard*Board)</f>
        <v>5.2692307692307692</v>
      </c>
      <c r="AH12">
        <f>'77'!BU12 +TiltZ+(TiltBoard*Board)</f>
        <v>6.2948717948717947</v>
      </c>
      <c r="AI12">
        <f>'77'!BW12 +TiltZ+(TiltBoard*Board)</f>
        <v>5.3205128205128203</v>
      </c>
      <c r="AJ12">
        <f>'77'!BY12 +TiltZ+(TiltBoard*Board)</f>
        <v>5.3461538461538458</v>
      </c>
      <c r="AK12">
        <f>'77'!CA12 +TiltZ+(TiltBoard*Board)</f>
        <v>3.3717948717948718</v>
      </c>
      <c r="AL12">
        <f>'77'!CC12 +TiltZ+(TiltBoard*Board)</f>
        <v>2.3974358974358974</v>
      </c>
      <c r="AM12">
        <f>'77'!CE12 +TiltZ+(TiltBoard*Board)</f>
        <v>1.4230769230769229</v>
      </c>
      <c r="AN12">
        <f>'77'!CG12 +TiltZ+(TiltBoard*Board)</f>
        <v>0.44871794871794868</v>
      </c>
      <c r="AO12">
        <f>'77'!CJ12 +TiltFact</f>
        <v>0.5</v>
      </c>
      <c r="AP12">
        <v>0</v>
      </c>
      <c r="AQ12">
        <f>'77'!H12</f>
        <v>1</v>
      </c>
      <c r="AR12">
        <f t="shared" si="0"/>
        <v>0.5</v>
      </c>
      <c r="AS12">
        <f t="shared" si="1"/>
        <v>-0.5</v>
      </c>
      <c r="AT12">
        <f t="shared" si="2"/>
        <v>2.564102564102564E-2</v>
      </c>
    </row>
    <row r="13" spans="1:46">
      <c r="A13" s="11">
        <v>37</v>
      </c>
      <c r="B13" s="22">
        <v>0</v>
      </c>
      <c r="C13">
        <f>'77'!K13 +TiltZ</f>
        <v>-11</v>
      </c>
      <c r="D13">
        <f>'77'!M13 +TiltZ+(TiltBoard*Board)</f>
        <v>-7.4358974358974361</v>
      </c>
      <c r="E13">
        <f>'77'!O13 +TiltZ+(TiltBoard*Board)</f>
        <v>-7.8717948717948723</v>
      </c>
      <c r="F13">
        <f>'77'!Q13 +TiltZ+(TiltBoard*Board)</f>
        <v>-7.3076923076923075</v>
      </c>
      <c r="G13">
        <f>'77'!S13 +TiltZ+(TiltBoard*Board)</f>
        <v>-5.7435897435897436</v>
      </c>
      <c r="H13">
        <f>'77'!U13 +TiltZ+(TiltBoard*Board)</f>
        <v>-4.1794871794871797</v>
      </c>
      <c r="I13">
        <f>'77'!W13 +TiltZ+(TiltBoard*Board)</f>
        <v>-3.6153846153846154</v>
      </c>
      <c r="J13">
        <f>'77'!Y13 +TiltZ+(TiltBoard*Board)</f>
        <v>-2.0512820512820511</v>
      </c>
      <c r="K13">
        <f>'77'!AA13 +TiltZ+(TiltBoard*Board)</f>
        <v>-0.48717948717948723</v>
      </c>
      <c r="L13">
        <f>'77'!AC13 +TiltZ+(TiltBoard*Board)</f>
        <v>-1.9230769230769234</v>
      </c>
      <c r="M13">
        <f>'77'!AE13 +TiltZ+(TiltBoard*Board)</f>
        <v>-1.3589743589743595</v>
      </c>
      <c r="N13">
        <f>'77'!AG13 +TiltZ+(TiltBoard*Board)</f>
        <v>-1.7948717948717947</v>
      </c>
      <c r="O13">
        <f>'77'!AI13 +TiltZ+(TiltBoard*Board)</f>
        <v>-3.2307692307692308</v>
      </c>
      <c r="P13">
        <f>'77'!AK13 +TiltZ+(TiltBoard*Board)</f>
        <v>-3.666666666666667</v>
      </c>
      <c r="Q13">
        <f>'77'!AM13 +TiltZ+(TiltBoard*Board)</f>
        <v>-5.1025641025641022</v>
      </c>
      <c r="R13">
        <f>'77'!AO13 +TiltZ+(TiltBoard*Board)</f>
        <v>-5.5384615384615383</v>
      </c>
      <c r="S13">
        <f>'77'!AQ13 +TiltZ+(TiltBoard*Board)</f>
        <v>-5.9743589743589745</v>
      </c>
      <c r="T13">
        <f>'77'!AS13 +TiltZ+(TiltBoard*Board)</f>
        <v>-5.4102564102564106</v>
      </c>
      <c r="U13">
        <f>'77'!AU13 +TiltZ+(TiltBoard*Board)</f>
        <v>-6.8461538461538467</v>
      </c>
      <c r="V13">
        <f>'77'!AW13 +TiltZ+(TiltBoard*Board)</f>
        <v>-6.2820512820512828</v>
      </c>
      <c r="W13">
        <f>'77'!AY13 +TiltZ+(TiltBoard*Board)</f>
        <v>-5.717948717948719</v>
      </c>
      <c r="X13">
        <f>'77'!BA13 +TiltZ+(TiltBoard*Board)</f>
        <v>-7.1538461538461533</v>
      </c>
      <c r="Y13">
        <f>'77'!BC13 +TiltZ+(TiltBoard*Board)</f>
        <v>-6.5897435897435894</v>
      </c>
      <c r="Z13">
        <f>'77'!BE13 +TiltZ+(TiltBoard*Board)</f>
        <v>-6.0256410256410255</v>
      </c>
      <c r="AA13">
        <f>'77'!BG13 +TiltZ+(TiltBoard*Board)</f>
        <v>-5.4615384615384617</v>
      </c>
      <c r="AB13">
        <f>'77'!BI13 +TiltZ+(TiltBoard*Board)</f>
        <v>-3.8974358974358978</v>
      </c>
      <c r="AC13">
        <f>'77'!BK13 +TiltZ+(TiltBoard*Board)</f>
        <v>-3.3333333333333339</v>
      </c>
      <c r="AD13">
        <f>'77'!BM13 +TiltZ+(TiltBoard*Board)</f>
        <v>-1.7692307692307701</v>
      </c>
      <c r="AE13">
        <f>'77'!BO13 +TiltZ+(TiltBoard*Board)</f>
        <v>-1.2051282051282044</v>
      </c>
      <c r="AF13">
        <f>'77'!BQ13 +TiltZ+(TiltBoard*Board)</f>
        <v>0.3589743589743577</v>
      </c>
      <c r="AG13">
        <f>'77'!BS13 +TiltZ+(TiltBoard*Board)</f>
        <v>2.9230769230769234</v>
      </c>
      <c r="AH13">
        <f>'77'!BU13 +TiltZ+(TiltBoard*Board)</f>
        <v>4.4871794871794854</v>
      </c>
      <c r="AI13">
        <f>'77'!BW13 +TiltZ+(TiltBoard*Board)</f>
        <v>5.0512820512820511</v>
      </c>
      <c r="AJ13">
        <f>'77'!BY13 +TiltZ+(TiltBoard*Board)</f>
        <v>6.6153846153846168</v>
      </c>
      <c r="AK13">
        <f>'77'!CA13 +TiltZ+(TiltBoard*Board)</f>
        <v>7.1794871794871788</v>
      </c>
      <c r="AL13">
        <f>'77'!CC13 +TiltZ+(TiltBoard*Board)</f>
        <v>7.7435897435897445</v>
      </c>
      <c r="AM13">
        <f>'77'!CE13 +TiltZ+(TiltBoard*Board)</f>
        <v>8.3076923076923066</v>
      </c>
      <c r="AN13">
        <f>'77'!CG13 +TiltZ+(TiltBoard*Board)</f>
        <v>8.8717948717948723</v>
      </c>
      <c r="AO13">
        <f>'77'!CI13 +TiltFact</f>
        <v>11</v>
      </c>
      <c r="AP13">
        <v>0</v>
      </c>
      <c r="AQ13">
        <f>'77'!H13</f>
        <v>22</v>
      </c>
      <c r="AR13">
        <f t="shared" si="0"/>
        <v>11</v>
      </c>
      <c r="AS13">
        <f t="shared" si="1"/>
        <v>-11</v>
      </c>
      <c r="AT13">
        <f t="shared" si="2"/>
        <v>0.5641025641025641</v>
      </c>
    </row>
    <row r="14" spans="1:46">
      <c r="A14" s="11">
        <v>35</v>
      </c>
      <c r="B14" s="22">
        <v>0</v>
      </c>
      <c r="C14">
        <f>'77'!K14 +TiltZ</f>
        <v>14.5</v>
      </c>
      <c r="D14">
        <f>'77'!M14 +TiltZ+(TiltBoard*Board)</f>
        <v>14.756410256410255</v>
      </c>
      <c r="E14">
        <f>'77'!O14 +TiltZ+(TiltBoard*Board)</f>
        <v>14.012820512820513</v>
      </c>
      <c r="F14">
        <f>'77'!Q14 +TiltZ+(TiltBoard*Board)</f>
        <v>13.26923076923077</v>
      </c>
      <c r="G14">
        <f>'77'!S14 +TiltZ+(TiltBoard*Board)</f>
        <v>12.525641025641026</v>
      </c>
      <c r="H14">
        <f>'77'!U14 +TiltZ+(TiltBoard*Board)</f>
        <v>13.782051282051281</v>
      </c>
      <c r="I14">
        <f>'77'!W14 +TiltZ+(TiltBoard*Board)</f>
        <v>12.038461538461538</v>
      </c>
      <c r="J14">
        <f>'77'!Y14 +TiltZ+(TiltBoard*Board)</f>
        <v>13.294871794871796</v>
      </c>
      <c r="K14">
        <f>'77'!AA14 +TiltZ+(TiltBoard*Board)</f>
        <v>13.551282051282051</v>
      </c>
      <c r="L14">
        <f>'77'!AC14 +TiltZ+(TiltBoard*Board)</f>
        <v>11.807692307692307</v>
      </c>
      <c r="M14">
        <f>'77'!AE14 +TiltZ+(TiltBoard*Board)</f>
        <v>12.064102564102564</v>
      </c>
      <c r="N14">
        <f>'77'!AG14 +TiltZ+(TiltBoard*Board)</f>
        <v>10.320512820512821</v>
      </c>
      <c r="O14">
        <f>'77'!AI14 +TiltZ+(TiltBoard*Board)</f>
        <v>9.5769230769230766</v>
      </c>
      <c r="P14">
        <f>'77'!AK14 +TiltZ+(TiltBoard*Board)</f>
        <v>7.8333333333333321</v>
      </c>
      <c r="Q14">
        <f>'77'!AM14 +TiltZ+(TiltBoard*Board)</f>
        <v>7.0897435897435894</v>
      </c>
      <c r="R14">
        <f>'77'!AO14 +TiltZ+(TiltBoard*Board)</f>
        <v>5.3461538461538467</v>
      </c>
      <c r="S14">
        <f>'77'!AQ14 +TiltZ+(TiltBoard*Board)</f>
        <v>4.6025641025641022</v>
      </c>
      <c r="T14">
        <f>'77'!AS14 +TiltZ+(TiltBoard*Board)</f>
        <v>2.8589743589743577</v>
      </c>
      <c r="U14">
        <f>'77'!AU14 +TiltZ+(TiltBoard*Board)</f>
        <v>2.115384615384615</v>
      </c>
      <c r="V14">
        <f>'77'!AW14 +TiltZ+(TiltBoard*Board)</f>
        <v>1.3717948717948723</v>
      </c>
      <c r="W14">
        <f>'77'!AY14 +TiltZ+(TiltBoard*Board)</f>
        <v>0.62820512820512775</v>
      </c>
      <c r="X14">
        <f>'77'!BA14 +TiltZ+(TiltBoard*Board)</f>
        <v>-1.1153846153846168</v>
      </c>
      <c r="Y14">
        <f>'77'!BC14 +TiltZ+(TiltBoard*Board)</f>
        <v>-1.8589743589743577</v>
      </c>
      <c r="Z14">
        <f>'77'!BE14 +TiltZ+(TiltBoard*Board)</f>
        <v>-3.6025641025641022</v>
      </c>
      <c r="AA14">
        <f>'77'!BG14 +TiltZ+(TiltBoard*Board)</f>
        <v>-4.3461538461538467</v>
      </c>
      <c r="AB14">
        <f>'77'!BI14 +TiltZ+(TiltBoard*Board)</f>
        <v>-4.0897435897435912</v>
      </c>
      <c r="AC14">
        <f>'77'!BK14 +TiltZ+(TiltBoard*Board)</f>
        <v>-4.8333333333333357</v>
      </c>
      <c r="AD14">
        <f>'77'!BM14 +TiltZ+(TiltBoard*Board)</f>
        <v>-5.5769230769230766</v>
      </c>
      <c r="AE14">
        <f>'77'!BO14 +TiltZ+(TiltBoard*Board)</f>
        <v>-6.3205128205128212</v>
      </c>
      <c r="AF14">
        <f>'77'!BQ14 +TiltZ+(TiltBoard*Board)</f>
        <v>-7.0641025641025657</v>
      </c>
      <c r="AG14">
        <f>'77'!BS14 +TiltZ+(TiltBoard*Board)</f>
        <v>-6.8076923076923066</v>
      </c>
      <c r="AH14">
        <f>'77'!BU14 +TiltZ+(TiltBoard*Board)</f>
        <v>-7.5512820512820511</v>
      </c>
      <c r="AI14">
        <f>'77'!BW14 +TiltZ+(TiltBoard*Board)</f>
        <v>-9.2948717948717956</v>
      </c>
      <c r="AJ14">
        <f>'77'!BY14 +TiltZ+(TiltBoard*Board)</f>
        <v>-9.0384615384615401</v>
      </c>
      <c r="AK14">
        <f>'77'!CA14 +TiltZ+(TiltBoard*Board)</f>
        <v>-10.782051282051285</v>
      </c>
      <c r="AL14">
        <f>'77'!CC14 +TiltZ+(TiltBoard*Board)</f>
        <v>-11.525641025641026</v>
      </c>
      <c r="AM14">
        <f>'77'!CE14 +TiltZ+(TiltBoard*Board)</f>
        <v>-12.26923076923077</v>
      </c>
      <c r="AN14">
        <f>'77'!CG14 +TiltZ+(TiltBoard*Board)</f>
        <v>-14.012820512820515</v>
      </c>
      <c r="AO14">
        <f>'77'!CJ14 +TiltFact</f>
        <v>-14.5</v>
      </c>
      <c r="AP14">
        <v>0</v>
      </c>
      <c r="AQ14">
        <f>'77'!H14</f>
        <v>-29</v>
      </c>
      <c r="AR14">
        <f t="shared" si="0"/>
        <v>-14.5</v>
      </c>
      <c r="AS14">
        <f t="shared" si="1"/>
        <v>14.5</v>
      </c>
      <c r="AT14">
        <f t="shared" si="2"/>
        <v>-0.74358974358974361</v>
      </c>
    </row>
    <row r="15" spans="1:46">
      <c r="A15" s="11">
        <v>33</v>
      </c>
      <c r="B15" s="22">
        <v>0</v>
      </c>
      <c r="C15">
        <f>'77'!K15 +TiltZ</f>
        <v>-11</v>
      </c>
      <c r="D15">
        <f>'77'!M15 +TiltZ+(TiltBoard*Board)</f>
        <v>-10.435897435897436</v>
      </c>
      <c r="E15">
        <f>'77'!O15 +TiltZ+(TiltBoard*Board)</f>
        <v>-17.871794871794872</v>
      </c>
      <c r="F15">
        <f>'77'!Q15 +TiltZ+(TiltBoard*Board)</f>
        <v>-33.307692307692307</v>
      </c>
      <c r="G15">
        <f>'77'!S15 +TiltZ+(TiltBoard*Board)</f>
        <v>-43.743589743589745</v>
      </c>
      <c r="H15">
        <f>'77'!U15 +TiltZ+(TiltBoard*Board)</f>
        <v>-56.179487179487182</v>
      </c>
      <c r="I15">
        <f>'77'!W15 +TiltZ+(TiltBoard*Board)</f>
        <v>-63.615384615384613</v>
      </c>
      <c r="J15">
        <f>'77'!Y15 +TiltZ+(TiltBoard*Board)</f>
        <v>-70.051282051282044</v>
      </c>
      <c r="K15">
        <f>'77'!AA15 +TiltZ+(TiltBoard*Board)</f>
        <v>-75.487179487179489</v>
      </c>
      <c r="L15">
        <f>'77'!AC15 +TiltZ+(TiltBoard*Board)</f>
        <v>-83.92307692307692</v>
      </c>
      <c r="M15">
        <f>'77'!AE15 +TiltZ+(TiltBoard*Board)</f>
        <v>-86.358974358974365</v>
      </c>
      <c r="N15">
        <f>'77'!AG15 +TiltZ+(TiltBoard*Board)</f>
        <v>-91.794871794871796</v>
      </c>
      <c r="O15">
        <f>'77'!AI15 +TiltZ+(TiltBoard*Board)</f>
        <v>-97.230769230769226</v>
      </c>
      <c r="P15">
        <f>'77'!AK15 +TiltZ+(TiltBoard*Board)</f>
        <v>-98.666666666666671</v>
      </c>
      <c r="Q15">
        <f>'77'!AM15 +TiltZ+(TiltBoard*Board)</f>
        <v>-102.1025641025641</v>
      </c>
      <c r="R15">
        <f>'77'!AO15 +TiltZ+(TiltBoard*Board)</f>
        <v>-104.53846153846153</v>
      </c>
      <c r="S15">
        <f>'77'!AQ15 +TiltZ+(TiltBoard*Board)</f>
        <v>-103.97435897435898</v>
      </c>
      <c r="T15">
        <f>'77'!AS15 +TiltZ+(TiltBoard*Board)</f>
        <v>-105.41025641025641</v>
      </c>
      <c r="U15">
        <f>'77'!AU15 +TiltZ+(TiltBoard*Board)</f>
        <v>-104.84615384615384</v>
      </c>
      <c r="V15">
        <f>'77'!AW15 +TiltZ+(TiltBoard*Board)</f>
        <v>-103.28205128205128</v>
      </c>
      <c r="W15">
        <f>'77'!AY15 +TiltZ+(TiltBoard*Board)</f>
        <v>-100.71794871794872</v>
      </c>
      <c r="X15">
        <f>'77'!BA15 +TiltZ+(TiltBoard*Board)</f>
        <v>-98.15384615384616</v>
      </c>
      <c r="Y15">
        <f>'77'!BC15 +TiltZ+(TiltBoard*Board)</f>
        <v>-92.589743589743591</v>
      </c>
      <c r="Z15">
        <f>'77'!BE15 +TiltZ+(TiltBoard*Board)</f>
        <v>-88.025641025641022</v>
      </c>
      <c r="AA15">
        <f>'77'!BG15 +TiltZ+(TiltBoard*Board)</f>
        <v>-83.461538461538467</v>
      </c>
      <c r="AB15">
        <f>'77'!BI15 +TiltZ+(TiltBoard*Board)</f>
        <v>-78.897435897435898</v>
      </c>
      <c r="AC15">
        <f>'77'!BK15 +TiltZ+(TiltBoard*Board)</f>
        <v>-74.333333333333329</v>
      </c>
      <c r="AD15">
        <f>'77'!BM15 +TiltZ+(TiltBoard*Board)</f>
        <v>-69.769230769230774</v>
      </c>
      <c r="AE15">
        <f>'77'!BO15 +TiltZ+(TiltBoard*Board)</f>
        <v>-64.205128205128204</v>
      </c>
      <c r="AF15">
        <f>'77'!BQ15 +TiltZ+(TiltBoard*Board)</f>
        <v>-54.641025641025642</v>
      </c>
      <c r="AG15">
        <f>'77'!BS15 +TiltZ+(TiltBoard*Board)</f>
        <v>-42.07692307692308</v>
      </c>
      <c r="AH15">
        <f>'77'!BU15 +TiltZ+(TiltBoard*Board)</f>
        <v>-30.512820512820515</v>
      </c>
      <c r="AI15">
        <f>'77'!BW15 +TiltZ+(TiltBoard*Board)</f>
        <v>-21.948717948717949</v>
      </c>
      <c r="AJ15">
        <f>'77'!BY15 +TiltZ+(TiltBoard*Board)</f>
        <v>-11.384615384615383</v>
      </c>
      <c r="AK15">
        <f>'77'!CA15 +TiltZ+(TiltBoard*Board)</f>
        <v>-2.8205128205128212</v>
      </c>
      <c r="AL15">
        <f>'77'!CC15 +TiltZ+(TiltBoard*Board)</f>
        <v>5.7435897435897445</v>
      </c>
      <c r="AM15">
        <f>'77'!CE15 +TiltZ+(TiltBoard*Board)</f>
        <v>12.307692307692307</v>
      </c>
      <c r="AN15">
        <f>'77'!CG15 +TiltZ+(TiltBoard*Board)</f>
        <v>16.871794871794872</v>
      </c>
      <c r="AO15">
        <f>'77'!CI15 +TiltFact</f>
        <v>11</v>
      </c>
      <c r="AP15">
        <v>0</v>
      </c>
      <c r="AQ15">
        <f>'77'!H15</f>
        <v>22</v>
      </c>
      <c r="AR15">
        <f t="shared" si="0"/>
        <v>11</v>
      </c>
      <c r="AS15">
        <f t="shared" si="1"/>
        <v>-11</v>
      </c>
      <c r="AT15">
        <f t="shared" si="2"/>
        <v>0.5641025641025641</v>
      </c>
    </row>
    <row r="16" spans="1:46">
      <c r="A16" s="11">
        <v>31</v>
      </c>
      <c r="B16" s="22">
        <v>0</v>
      </c>
      <c r="C16">
        <f>'77'!K16 +TiltZ</f>
        <v>3.5</v>
      </c>
      <c r="D16">
        <f>'77'!M16 +TiltZ+(TiltBoard*Board)</f>
        <v>4.3205128205128203</v>
      </c>
      <c r="E16">
        <f>'77'!O16 +TiltZ+(TiltBoard*Board)</f>
        <v>6.1410256410256414</v>
      </c>
      <c r="F16">
        <f>'77'!Q16 +TiltZ+(TiltBoard*Board)</f>
        <v>5.9615384615384617</v>
      </c>
      <c r="G16">
        <f>'77'!S16 +TiltZ+(TiltBoard*Board)</f>
        <v>6.7820512820512819</v>
      </c>
      <c r="H16">
        <f>'77'!U16 +TiltZ+(TiltBoard*Board)</f>
        <v>8.6025641025641022</v>
      </c>
      <c r="I16">
        <f>'77'!W16 +TiltZ+(TiltBoard*Board)</f>
        <v>7.4230769230769234</v>
      </c>
      <c r="J16">
        <f>'77'!Y16 +TiltZ+(TiltBoard*Board)</f>
        <v>7.2435897435897436</v>
      </c>
      <c r="K16">
        <f>'77'!AA16 +TiltZ+(TiltBoard*Board)</f>
        <v>7.0641025641025639</v>
      </c>
      <c r="L16">
        <f>'77'!AC16 +TiltZ+(TiltBoard*Board)</f>
        <v>4.884615384615385</v>
      </c>
      <c r="M16">
        <f>'77'!AE16 +TiltZ+(TiltBoard*Board)</f>
        <v>3.7051282051282053</v>
      </c>
      <c r="N16">
        <f>'77'!AG16 +TiltZ+(TiltBoard*Board)</f>
        <v>1.5256410256410255</v>
      </c>
      <c r="O16">
        <f>'77'!AI16 +TiltZ+(TiltBoard*Board)</f>
        <v>-0.65384615384615374</v>
      </c>
      <c r="P16">
        <f>'77'!AK16 +TiltZ+(TiltBoard*Board)</f>
        <v>-1.8333333333333335</v>
      </c>
      <c r="Q16">
        <f>'77'!AM16 +TiltZ+(TiltBoard*Board)</f>
        <v>-4.0128205128205128</v>
      </c>
      <c r="R16">
        <f>'77'!AO16 +TiltZ+(TiltBoard*Board)</f>
        <v>-5.1923076923076925</v>
      </c>
      <c r="S16">
        <f>'77'!AQ16 +TiltZ+(TiltBoard*Board)</f>
        <v>-5.3717948717948723</v>
      </c>
      <c r="T16">
        <f>'77'!AS16 +TiltZ+(TiltBoard*Board)</f>
        <v>-5.5512820512820511</v>
      </c>
      <c r="U16">
        <f>'77'!AU16 +TiltZ+(TiltBoard*Board)</f>
        <v>-5.7307692307692308</v>
      </c>
      <c r="V16">
        <f>'77'!AW16 +TiltZ+(TiltBoard*Board)</f>
        <v>-4.9102564102564106</v>
      </c>
      <c r="W16">
        <f>'77'!AY16 +TiltZ+(TiltBoard*Board)</f>
        <v>-5.0897435897435894</v>
      </c>
      <c r="X16">
        <f>'77'!BA16 +TiltZ+(TiltBoard*Board)</f>
        <v>-5.2692307692307692</v>
      </c>
      <c r="Y16">
        <f>'77'!BC16 +TiltZ+(TiltBoard*Board)</f>
        <v>-5.4487179487179489</v>
      </c>
      <c r="Z16">
        <f>'77'!BE16 +TiltZ+(TiltBoard*Board)</f>
        <v>-5.6282051282051286</v>
      </c>
      <c r="AA16">
        <f>'77'!BG16 +TiltZ+(TiltBoard*Board)</f>
        <v>-5.8076923076923075</v>
      </c>
      <c r="AB16">
        <f>'77'!BI16 +TiltZ+(TiltBoard*Board)</f>
        <v>-4.9871794871794872</v>
      </c>
      <c r="AC16">
        <f>'77'!BK16 +TiltZ+(TiltBoard*Board)</f>
        <v>-4.166666666666667</v>
      </c>
      <c r="AD16">
        <f>'77'!BM16 +TiltZ+(TiltBoard*Board)</f>
        <v>-4.3461538461538458</v>
      </c>
      <c r="AE16">
        <f>'77'!BO16 +TiltZ+(TiltBoard*Board)</f>
        <v>-2.5256410256410255</v>
      </c>
      <c r="AF16">
        <f>'77'!BQ16 +TiltZ+(TiltBoard*Board)</f>
        <v>-2.7051282051282053</v>
      </c>
      <c r="AG16">
        <f>'77'!BS16 +TiltZ+(TiltBoard*Board)</f>
        <v>0.11538461538461497</v>
      </c>
      <c r="AH16">
        <f>'77'!BU16 +TiltZ+(TiltBoard*Board)</f>
        <v>1.9358974358974361</v>
      </c>
      <c r="AI16">
        <f>'77'!BW16 +TiltZ+(TiltBoard*Board)</f>
        <v>-0.24358974358974361</v>
      </c>
      <c r="AJ16">
        <f>'77'!BY16 +TiltZ+(TiltBoard*Board)</f>
        <v>0.57692307692307665</v>
      </c>
      <c r="AK16">
        <f>'77'!CA16 +TiltZ+(TiltBoard*Board)</f>
        <v>-0.6025641025641022</v>
      </c>
      <c r="AL16">
        <f>'77'!CC16 +TiltZ+(TiltBoard*Board)</f>
        <v>-2.7820512820512819</v>
      </c>
      <c r="AM16">
        <f>'77'!CE16 +TiltZ+(TiltBoard*Board)</f>
        <v>-2.9615384615384617</v>
      </c>
      <c r="AN16">
        <f>'77'!CG16 +TiltZ+(TiltBoard*Board)</f>
        <v>-4.1410256410256414</v>
      </c>
      <c r="AO16">
        <f>'77'!CJ16 +TiltFact</f>
        <v>-3.5</v>
      </c>
      <c r="AP16">
        <v>0</v>
      </c>
      <c r="AQ16">
        <f>'77'!H16</f>
        <v>-7</v>
      </c>
      <c r="AR16">
        <f t="shared" si="0"/>
        <v>-3.5</v>
      </c>
      <c r="AS16">
        <f t="shared" si="1"/>
        <v>3.5</v>
      </c>
      <c r="AT16">
        <f t="shared" si="2"/>
        <v>-0.17948717948717949</v>
      </c>
    </row>
    <row r="17" spans="1:46">
      <c r="A17" s="11">
        <v>29</v>
      </c>
      <c r="B17" s="22">
        <v>0</v>
      </c>
      <c r="C17">
        <f>'77'!K17 +TiltZ</f>
        <v>-7</v>
      </c>
      <c r="D17">
        <f>'77'!M17 +TiltZ+(TiltBoard*Board)</f>
        <v>-5.6410256410256414</v>
      </c>
      <c r="E17">
        <f>'77'!O17 +TiltZ+(TiltBoard*Board)</f>
        <v>-5.2820512820512819</v>
      </c>
      <c r="F17">
        <f>'77'!Q17 +TiltZ+(TiltBoard*Board)</f>
        <v>-5.9230769230769234</v>
      </c>
      <c r="G17">
        <f>'77'!S17 +TiltZ+(TiltBoard*Board)</f>
        <v>-6.5641025641025639</v>
      </c>
      <c r="H17">
        <f>'77'!U17 +TiltZ+(TiltBoard*Board)</f>
        <v>-7.2051282051282053</v>
      </c>
      <c r="I17">
        <f>'77'!W17 +TiltZ+(TiltBoard*Board)</f>
        <v>-8.8461538461538467</v>
      </c>
      <c r="J17">
        <f>'77'!Y17 +TiltZ+(TiltBoard*Board)</f>
        <v>-9.4871794871794872</v>
      </c>
      <c r="K17">
        <f>'77'!AA17 +TiltZ+(TiltBoard*Board)</f>
        <v>-12.128205128205128</v>
      </c>
      <c r="L17">
        <f>'77'!AC17 +TiltZ+(TiltBoard*Board)</f>
        <v>-16.76923076923077</v>
      </c>
      <c r="M17">
        <f>'77'!AE17 +TiltZ+(TiltBoard*Board)</f>
        <v>-20.410256410256409</v>
      </c>
      <c r="N17">
        <f>'77'!AG17 +TiltZ+(TiltBoard*Board)</f>
        <v>-22.051282051282051</v>
      </c>
      <c r="O17">
        <f>'77'!AI17 +TiltZ+(TiltBoard*Board)</f>
        <v>-22.692307692307693</v>
      </c>
      <c r="P17">
        <f>'77'!AK17 +TiltZ+(TiltBoard*Board)</f>
        <v>-24.333333333333332</v>
      </c>
      <c r="Q17">
        <f>'77'!AM17 +TiltZ+(TiltBoard*Board)</f>
        <v>-22.974358974358974</v>
      </c>
      <c r="R17">
        <f>'77'!AO17 +TiltZ+(TiltBoard*Board)</f>
        <v>-21.615384615384613</v>
      </c>
      <c r="S17">
        <f>'77'!AQ17 +TiltZ+(TiltBoard*Board)</f>
        <v>-20.256410256410255</v>
      </c>
      <c r="T17">
        <f>'77'!AS17 +TiltZ+(TiltBoard*Board)</f>
        <v>-19.897435897435898</v>
      </c>
      <c r="U17">
        <f>'77'!AU17 +TiltZ+(TiltBoard*Board)</f>
        <v>-18.53846153846154</v>
      </c>
      <c r="V17">
        <f>'77'!AW17 +TiltZ+(TiltBoard*Board)</f>
        <v>-17.179487179487179</v>
      </c>
      <c r="W17">
        <f>'77'!AY17 +TiltZ+(TiltBoard*Board)</f>
        <v>-15.820512820512821</v>
      </c>
      <c r="X17">
        <f>'77'!BA17 +TiltZ+(TiltBoard*Board)</f>
        <v>-15.461538461538462</v>
      </c>
      <c r="Y17">
        <f>'77'!BC17 +TiltZ+(TiltBoard*Board)</f>
        <v>-14.102564102564102</v>
      </c>
      <c r="Z17">
        <f>'77'!BE17 +TiltZ+(TiltBoard*Board)</f>
        <v>-13.743589743589743</v>
      </c>
      <c r="AA17">
        <f>'77'!BG17 +TiltZ+(TiltBoard*Board)</f>
        <v>-13.384615384615385</v>
      </c>
      <c r="AB17">
        <f>'77'!BI17 +TiltZ+(TiltBoard*Board)</f>
        <v>-14.025641025641026</v>
      </c>
      <c r="AC17">
        <f>'77'!BK17 +TiltZ+(TiltBoard*Board)</f>
        <v>-14.666666666666666</v>
      </c>
      <c r="AD17">
        <f>'77'!BM17 +TiltZ+(TiltBoard*Board)</f>
        <v>-11.307692307692308</v>
      </c>
      <c r="AE17">
        <f>'77'!BO17 +TiltZ+(TiltBoard*Board)</f>
        <v>-9.9487179487179489</v>
      </c>
      <c r="AF17">
        <f>'77'!BQ17 +TiltZ+(TiltBoard*Board)</f>
        <v>-8.5897435897435894</v>
      </c>
      <c r="AG17">
        <f>'77'!BS17 +TiltZ+(TiltBoard*Board)</f>
        <v>-4.2307692307692299</v>
      </c>
      <c r="AH17">
        <f>'77'!BU17 +TiltZ+(TiltBoard*Board)</f>
        <v>0.12820512820512775</v>
      </c>
      <c r="AI17">
        <f>'77'!BW17 +TiltZ+(TiltBoard*Board)</f>
        <v>2.4871794871794872</v>
      </c>
      <c r="AJ17">
        <f>'77'!BY17 +TiltZ+(TiltBoard*Board)</f>
        <v>4.8461538461538467</v>
      </c>
      <c r="AK17">
        <f>'77'!CA17 +TiltZ+(TiltBoard*Board)</f>
        <v>5.2051282051282044</v>
      </c>
      <c r="AL17">
        <f>'77'!CC17 +TiltZ+(TiltBoard*Board)</f>
        <v>5.5641025641025639</v>
      </c>
      <c r="AM17">
        <f>'77'!CE17 +TiltZ+(TiltBoard*Board)</f>
        <v>5.9230769230769234</v>
      </c>
      <c r="AN17">
        <f>'77'!CG17 +TiltZ+(TiltBoard*Board)</f>
        <v>6.2820512820512828</v>
      </c>
      <c r="AO17">
        <f>'77'!CJ17 +TiltFact</f>
        <v>7</v>
      </c>
      <c r="AP17">
        <v>0</v>
      </c>
      <c r="AQ17">
        <f>'77'!H17</f>
        <v>14</v>
      </c>
      <c r="AR17">
        <f t="shared" si="0"/>
        <v>7</v>
      </c>
      <c r="AS17">
        <f t="shared" si="1"/>
        <v>-7</v>
      </c>
      <c r="AT17">
        <f t="shared" si="2"/>
        <v>0.35897435897435898</v>
      </c>
    </row>
    <row r="18" spans="1:46">
      <c r="A18" s="11">
        <v>27</v>
      </c>
      <c r="B18" s="22">
        <v>0</v>
      </c>
      <c r="C18">
        <f>'77'!K18 +TiltZ</f>
        <v>-11</v>
      </c>
      <c r="D18">
        <f>'77'!M18 +TiltZ+(TiltBoard*Board)</f>
        <v>-7.4358974358974361</v>
      </c>
      <c r="E18">
        <f>'77'!O18 +TiltZ+(TiltBoard*Board)</f>
        <v>-7.8717948717948723</v>
      </c>
      <c r="F18">
        <f>'77'!Q18 +TiltZ+(TiltBoard*Board)</f>
        <v>-7.3076923076923075</v>
      </c>
      <c r="G18">
        <f>'77'!S18 +TiltZ+(TiltBoard*Board)</f>
        <v>-5.7435897435897436</v>
      </c>
      <c r="H18">
        <f>'77'!U18 +TiltZ+(TiltBoard*Board)</f>
        <v>-4.1794871794871797</v>
      </c>
      <c r="I18">
        <f>'77'!W18 +TiltZ+(TiltBoard*Board)</f>
        <v>-3.6153846153846154</v>
      </c>
      <c r="J18">
        <f>'77'!Y18 +TiltZ+(TiltBoard*Board)</f>
        <v>-2.0512820512820511</v>
      </c>
      <c r="K18">
        <f>'77'!AA18 +TiltZ+(TiltBoard*Board)</f>
        <v>-0.48717948717948723</v>
      </c>
      <c r="L18">
        <f>'77'!AC18 +TiltZ+(TiltBoard*Board)</f>
        <v>-1.9230769230769234</v>
      </c>
      <c r="M18">
        <f>'77'!AE18 +TiltZ+(TiltBoard*Board)</f>
        <v>-1.3589743589743595</v>
      </c>
      <c r="N18">
        <f>'77'!AG18 +TiltZ+(TiltBoard*Board)</f>
        <v>-1.7948717948717947</v>
      </c>
      <c r="O18">
        <f>'77'!AI18 +TiltZ+(TiltBoard*Board)</f>
        <v>-3.2307692307692308</v>
      </c>
      <c r="P18">
        <f>'77'!AK18 +TiltZ+(TiltBoard*Board)</f>
        <v>-3.666666666666667</v>
      </c>
      <c r="Q18">
        <f>'77'!AM18 +TiltZ+(TiltBoard*Board)</f>
        <v>-5.1025641025641022</v>
      </c>
      <c r="R18">
        <f>'77'!AO18 +TiltZ+(TiltBoard*Board)</f>
        <v>-5.5384615384615383</v>
      </c>
      <c r="S18">
        <f>'77'!AQ18 +TiltZ+(TiltBoard*Board)</f>
        <v>-5.9743589743589745</v>
      </c>
      <c r="T18">
        <f>'77'!AS18 +TiltZ+(TiltBoard*Board)</f>
        <v>-5.4102564102564106</v>
      </c>
      <c r="U18">
        <f>'77'!AU18 +TiltZ+(TiltBoard*Board)</f>
        <v>-6.8461538461538467</v>
      </c>
      <c r="V18">
        <f>'77'!AW18 +TiltZ+(TiltBoard*Board)</f>
        <v>-6.2820512820512828</v>
      </c>
      <c r="W18">
        <f>'77'!AY18 +TiltZ+(TiltBoard*Board)</f>
        <v>-5.717948717948719</v>
      </c>
      <c r="X18">
        <f>'77'!BA18 +TiltZ+(TiltBoard*Board)</f>
        <v>-7.1538461538461533</v>
      </c>
      <c r="Y18">
        <f>'77'!BC18 +TiltZ+(TiltBoard*Board)</f>
        <v>-6.5897435897435894</v>
      </c>
      <c r="Z18">
        <f>'77'!BE18 +TiltZ+(TiltBoard*Board)</f>
        <v>-6.0256410256410255</v>
      </c>
      <c r="AA18">
        <f>'77'!BG18 +TiltZ+(TiltBoard*Board)</f>
        <v>-5.4615384615384617</v>
      </c>
      <c r="AB18">
        <f>'77'!BI18 +TiltZ+(TiltBoard*Board)</f>
        <v>-3.8974358974358978</v>
      </c>
      <c r="AC18">
        <f>'77'!BK18 +TiltZ+(TiltBoard*Board)</f>
        <v>-3.3333333333333339</v>
      </c>
      <c r="AD18">
        <f>'77'!BM18 +TiltZ+(TiltBoard*Board)</f>
        <v>-1.7692307692307701</v>
      </c>
      <c r="AE18">
        <f>'77'!BO18 +TiltZ+(TiltBoard*Board)</f>
        <v>-1.2051282051282044</v>
      </c>
      <c r="AF18">
        <f>'77'!BQ18 +TiltZ+(TiltBoard*Board)</f>
        <v>0.3589743589743577</v>
      </c>
      <c r="AG18">
        <f>'77'!BS18 +TiltZ+(TiltBoard*Board)</f>
        <v>2.9230769230769234</v>
      </c>
      <c r="AH18">
        <f>'77'!BU18 +TiltZ+(TiltBoard*Board)</f>
        <v>4.4871794871794854</v>
      </c>
      <c r="AI18">
        <f>'77'!BW18 +TiltZ+(TiltBoard*Board)</f>
        <v>5.0512820512820511</v>
      </c>
      <c r="AJ18">
        <f>'77'!BY18 +TiltZ+(TiltBoard*Board)</f>
        <v>6.6153846153846168</v>
      </c>
      <c r="AK18">
        <f>'77'!CA18 +TiltZ+(TiltBoard*Board)</f>
        <v>7.1794871794871788</v>
      </c>
      <c r="AL18">
        <f>'77'!CC18 +TiltZ+(TiltBoard*Board)</f>
        <v>7.7435897435897445</v>
      </c>
      <c r="AM18">
        <f>'77'!CE18 +TiltZ+(TiltBoard*Board)</f>
        <v>8.3076923076923066</v>
      </c>
      <c r="AN18">
        <f>'77'!CG18 +TiltZ+(TiltBoard*Board)</f>
        <v>8.8717948717948723</v>
      </c>
      <c r="AO18">
        <f>'77'!CI18 +TiltFact</f>
        <v>11</v>
      </c>
      <c r="AP18">
        <v>0</v>
      </c>
      <c r="AQ18">
        <f>'77'!H18</f>
        <v>22</v>
      </c>
      <c r="AR18">
        <f t="shared" si="0"/>
        <v>11</v>
      </c>
      <c r="AS18">
        <f t="shared" si="1"/>
        <v>-11</v>
      </c>
      <c r="AT18">
        <f t="shared" si="2"/>
        <v>0.5641025641025641</v>
      </c>
    </row>
    <row r="19" spans="1:46">
      <c r="A19" s="11">
        <v>25</v>
      </c>
      <c r="B19" s="22">
        <v>0</v>
      </c>
      <c r="C19">
        <f>'77'!K19 +TiltZ</f>
        <v>16.5</v>
      </c>
      <c r="D19">
        <f>'77'!M19 +TiltZ+(TiltBoard*Board)</f>
        <v>16.653846153846153</v>
      </c>
      <c r="E19">
        <f>'77'!O19 +TiltZ+(TiltBoard*Board)</f>
        <v>15.807692307692308</v>
      </c>
      <c r="F19">
        <f>'77'!Q19 +TiltZ+(TiltBoard*Board)</f>
        <v>13.961538461538462</v>
      </c>
      <c r="G19">
        <f>'77'!S19 +TiltZ+(TiltBoard*Board)</f>
        <v>12.115384615384615</v>
      </c>
      <c r="H19">
        <f>'77'!U19 +TiltZ+(TiltBoard*Board)</f>
        <v>10.26923076923077</v>
      </c>
      <c r="I19">
        <f>'77'!W19 +TiltZ+(TiltBoard*Board)</f>
        <v>7.4230769230769234</v>
      </c>
      <c r="J19">
        <f>'77'!Y19 +TiltZ+(TiltBoard*Board)</f>
        <v>5.5769230769230766</v>
      </c>
      <c r="K19">
        <f>'77'!AA19 +TiltZ+(TiltBoard*Board)</f>
        <v>1.7307692307692308</v>
      </c>
      <c r="L19">
        <f>'77'!AC19 +TiltZ+(TiltBoard*Board)</f>
        <v>-4.115384615384615</v>
      </c>
      <c r="M19">
        <f>'77'!AE19 +TiltZ+(TiltBoard*Board)</f>
        <v>-8.9615384615384617</v>
      </c>
      <c r="N19">
        <f>'77'!AG19 +TiltZ+(TiltBoard*Board)</f>
        <v>-11.807692307692308</v>
      </c>
      <c r="O19">
        <f>'77'!AI19 +TiltZ+(TiltBoard*Board)</f>
        <v>-13.653846153846153</v>
      </c>
      <c r="P19">
        <f>'77'!AK19 +TiltZ+(TiltBoard*Board)</f>
        <v>-16.5</v>
      </c>
      <c r="Q19">
        <f>'77'!AM19 +TiltZ+(TiltBoard*Board)</f>
        <v>-16.346153846153847</v>
      </c>
      <c r="R19">
        <f>'77'!AO19 +TiltZ+(TiltBoard*Board)</f>
        <v>-16.192307692307693</v>
      </c>
      <c r="S19">
        <f>'77'!AQ19 +TiltZ+(TiltBoard*Board)</f>
        <v>-16.03846153846154</v>
      </c>
      <c r="T19">
        <f>'77'!AS19 +TiltZ+(TiltBoard*Board)</f>
        <v>-16.884615384615387</v>
      </c>
      <c r="U19">
        <f>'77'!AU19 +TiltZ+(TiltBoard*Board)</f>
        <v>-16.73076923076923</v>
      </c>
      <c r="V19">
        <f>'77'!AW19 +TiltZ+(TiltBoard*Board)</f>
        <v>-16.576923076923077</v>
      </c>
      <c r="W19">
        <f>'77'!AY19 +TiltZ+(TiltBoard*Board)</f>
        <v>-16.423076923076923</v>
      </c>
      <c r="X19">
        <f>'77'!BA19 +TiltZ+(TiltBoard*Board)</f>
        <v>-17.26923076923077</v>
      </c>
      <c r="Y19">
        <f>'77'!BC19 +TiltZ+(TiltBoard*Board)</f>
        <v>-17.115384615384617</v>
      </c>
      <c r="Z19">
        <f>'77'!BE19 +TiltZ+(TiltBoard*Board)</f>
        <v>-17.96153846153846</v>
      </c>
      <c r="AA19">
        <f>'77'!BG19 +TiltZ+(TiltBoard*Board)</f>
        <v>-18.807692307692307</v>
      </c>
      <c r="AB19">
        <f>'77'!BI19 +TiltZ+(TiltBoard*Board)</f>
        <v>-20.653846153846153</v>
      </c>
      <c r="AC19">
        <f>'77'!BK19 +TiltZ+(TiltBoard*Board)</f>
        <v>-22.5</v>
      </c>
      <c r="AD19">
        <f>'77'!BM19 +TiltZ+(TiltBoard*Board)</f>
        <v>-20.346153846153847</v>
      </c>
      <c r="AE19">
        <f>'77'!BO19 +TiltZ+(TiltBoard*Board)</f>
        <v>-20.192307692307693</v>
      </c>
      <c r="AF19">
        <f>'77'!BQ19 +TiltZ+(TiltBoard*Board)</f>
        <v>-20.038461538461537</v>
      </c>
      <c r="AG19">
        <f>'77'!BS19 +TiltZ+(TiltBoard*Board)</f>
        <v>-16.884615384615383</v>
      </c>
      <c r="AH19">
        <f>'77'!BU19 +TiltZ+(TiltBoard*Board)</f>
        <v>-13.73076923076923</v>
      </c>
      <c r="AI19">
        <f>'77'!BW19 +TiltZ+(TiltBoard*Board)</f>
        <v>-12.576923076923077</v>
      </c>
      <c r="AJ19">
        <f>'77'!BY19 +TiltZ+(TiltBoard*Board)</f>
        <v>-11.423076923076923</v>
      </c>
      <c r="AK19">
        <f>'77'!CA19 +TiltZ+(TiltBoard*Board)</f>
        <v>-12.26923076923077</v>
      </c>
      <c r="AL19">
        <f>'77'!CC19 +TiltZ+(TiltBoard*Board)</f>
        <v>-13.115384615384617</v>
      </c>
      <c r="AM19">
        <f>'77'!CE19 +TiltZ+(TiltBoard*Board)</f>
        <v>-13.96153846153846</v>
      </c>
      <c r="AN19">
        <f>'77'!CG19 +TiltZ+(TiltBoard*Board)</f>
        <v>-14.807692307692307</v>
      </c>
      <c r="AO19">
        <f>'77'!CJ19 +TiltFact</f>
        <v>-16.5</v>
      </c>
      <c r="AP19">
        <v>0</v>
      </c>
      <c r="AQ19">
        <f>'77'!H19</f>
        <v>-33</v>
      </c>
      <c r="AR19">
        <f t="shared" si="0"/>
        <v>-16.5</v>
      </c>
      <c r="AS19">
        <f t="shared" si="1"/>
        <v>16.5</v>
      </c>
      <c r="AT19">
        <f t="shared" si="2"/>
        <v>-0.84615384615384615</v>
      </c>
    </row>
    <row r="20" spans="1:46">
      <c r="A20" s="11">
        <v>23</v>
      </c>
      <c r="B20" s="22">
        <v>0</v>
      </c>
      <c r="C20">
        <f>'77'!K20 +TiltZ</f>
        <v>-11</v>
      </c>
      <c r="D20">
        <f>'77'!M20 +TiltZ+(TiltBoard*Board)</f>
        <v>-7.4358974358974361</v>
      </c>
      <c r="E20">
        <f>'77'!O20 +TiltZ+(TiltBoard*Board)</f>
        <v>-7.8717948717948723</v>
      </c>
      <c r="F20">
        <f>'77'!Q20 +TiltZ+(TiltBoard*Board)</f>
        <v>-7.3076923076923075</v>
      </c>
      <c r="G20">
        <f>'77'!S20 +TiltZ+(TiltBoard*Board)</f>
        <v>-5.7435897435897436</v>
      </c>
      <c r="H20">
        <f>'77'!U20 +TiltZ+(TiltBoard*Board)</f>
        <v>-4.1794871794871797</v>
      </c>
      <c r="I20">
        <f>'77'!W20 +TiltZ+(TiltBoard*Board)</f>
        <v>-3.6153846153846154</v>
      </c>
      <c r="J20">
        <f>'77'!Y20 +TiltZ+(TiltBoard*Board)</f>
        <v>-2.0512820512820511</v>
      </c>
      <c r="K20">
        <f>'77'!AA20 +TiltZ+(TiltBoard*Board)</f>
        <v>-0.48717948717948723</v>
      </c>
      <c r="L20">
        <f>'77'!AC20 +TiltZ+(TiltBoard*Board)</f>
        <v>-1.9230769230769234</v>
      </c>
      <c r="M20">
        <f>'77'!AE20 +TiltZ+(TiltBoard*Board)</f>
        <v>-1.3589743589743595</v>
      </c>
      <c r="N20">
        <f>'77'!AG20 +TiltZ+(TiltBoard*Board)</f>
        <v>-1.7948717948717947</v>
      </c>
      <c r="O20">
        <f>'77'!AI20 +TiltZ+(TiltBoard*Board)</f>
        <v>-3.2307692307692308</v>
      </c>
      <c r="P20">
        <f>'77'!AK20 +TiltZ+(TiltBoard*Board)</f>
        <v>-3.666666666666667</v>
      </c>
      <c r="Q20">
        <f>'77'!AM20 +TiltZ+(TiltBoard*Board)</f>
        <v>-5.1025641025641022</v>
      </c>
      <c r="R20">
        <f>'77'!AO20 +TiltZ+(TiltBoard*Board)</f>
        <v>-5.5384615384615383</v>
      </c>
      <c r="S20">
        <f>'77'!AQ20 +TiltZ+(TiltBoard*Board)</f>
        <v>-5.9743589743589745</v>
      </c>
      <c r="T20">
        <f>'77'!AS20 +TiltZ+(TiltBoard*Board)</f>
        <v>-5.4102564102564106</v>
      </c>
      <c r="U20">
        <f>'77'!AU20 +TiltZ+(TiltBoard*Board)</f>
        <v>-6.8461538461538467</v>
      </c>
      <c r="V20">
        <f>'77'!AW20 +TiltZ+(TiltBoard*Board)</f>
        <v>-6.2820512820512828</v>
      </c>
      <c r="W20">
        <f>'77'!AY20 +TiltZ+(TiltBoard*Board)</f>
        <v>-5.717948717948719</v>
      </c>
      <c r="X20">
        <f>'77'!BA20 +TiltZ+(TiltBoard*Board)</f>
        <v>-7.1538461538461533</v>
      </c>
      <c r="Y20">
        <f>'77'!BC20 +TiltZ+(TiltBoard*Board)</f>
        <v>-6.5897435897435894</v>
      </c>
      <c r="Z20">
        <f>'77'!BE20 +TiltZ+(TiltBoard*Board)</f>
        <v>-6.0256410256410255</v>
      </c>
      <c r="AA20">
        <f>'77'!BG20 +TiltZ+(TiltBoard*Board)</f>
        <v>-5.4615384615384617</v>
      </c>
      <c r="AB20">
        <f>'77'!BI20 +TiltZ+(TiltBoard*Board)</f>
        <v>-3.8974358974358978</v>
      </c>
      <c r="AC20">
        <f>'77'!BK20 +TiltZ+(TiltBoard*Board)</f>
        <v>-3.3333333333333339</v>
      </c>
      <c r="AD20">
        <f>'77'!BM20 +TiltZ+(TiltBoard*Board)</f>
        <v>-1.7692307692307701</v>
      </c>
      <c r="AE20">
        <f>'77'!BO20 +TiltZ+(TiltBoard*Board)</f>
        <v>-1.2051282051282044</v>
      </c>
      <c r="AF20">
        <f>'77'!BQ20 +TiltZ+(TiltBoard*Board)</f>
        <v>0.3589743589743577</v>
      </c>
      <c r="AG20">
        <f>'77'!BS20 +TiltZ+(TiltBoard*Board)</f>
        <v>2.9230769230769234</v>
      </c>
      <c r="AH20">
        <f>'77'!BU20 +TiltZ+(TiltBoard*Board)</f>
        <v>4.4871794871794854</v>
      </c>
      <c r="AI20">
        <f>'77'!BW20 +TiltZ+(TiltBoard*Board)</f>
        <v>5.0512820512820511</v>
      </c>
      <c r="AJ20">
        <f>'77'!BY20 +TiltZ+(TiltBoard*Board)</f>
        <v>6.6153846153846168</v>
      </c>
      <c r="AK20">
        <f>'77'!CA20 +TiltZ+(TiltBoard*Board)</f>
        <v>7.1794871794871788</v>
      </c>
      <c r="AL20">
        <f>'77'!CC20 +TiltZ+(TiltBoard*Board)</f>
        <v>7.7435897435897445</v>
      </c>
      <c r="AM20">
        <f>'77'!CE20 +TiltZ+(TiltBoard*Board)</f>
        <v>8.3076923076923066</v>
      </c>
      <c r="AN20">
        <f>'77'!CG20 +TiltZ+(TiltBoard*Board)</f>
        <v>8.8717948717948723</v>
      </c>
      <c r="AO20">
        <f>'77'!CI20 +TiltFact</f>
        <v>11</v>
      </c>
      <c r="AP20">
        <v>0</v>
      </c>
      <c r="AQ20">
        <f>'77'!H20</f>
        <v>22</v>
      </c>
      <c r="AR20">
        <f t="shared" si="0"/>
        <v>11</v>
      </c>
      <c r="AS20">
        <f t="shared" si="1"/>
        <v>-11</v>
      </c>
      <c r="AT20">
        <f t="shared" si="2"/>
        <v>0.5641025641025641</v>
      </c>
    </row>
    <row r="21" spans="1:46">
      <c r="A21" s="11">
        <v>21</v>
      </c>
      <c r="B21" s="22">
        <v>0</v>
      </c>
      <c r="C21">
        <f>'77'!K21 +TiltZ</f>
        <v>29</v>
      </c>
      <c r="D21">
        <f>'77'!M21 +TiltZ+(TiltBoard*Board)</f>
        <v>28.512820512820511</v>
      </c>
      <c r="E21">
        <f>'77'!O21 +TiltZ+(TiltBoard*Board)</f>
        <v>27.025641025641026</v>
      </c>
      <c r="F21">
        <f>'77'!Q21 +TiltZ+(TiltBoard*Board)</f>
        <v>24.53846153846154</v>
      </c>
      <c r="G21">
        <f>'77'!S21 +TiltZ+(TiltBoard*Board)</f>
        <v>22.051282051282051</v>
      </c>
      <c r="H21">
        <f>'77'!U21 +TiltZ+(TiltBoard*Board)</f>
        <v>19.564102564102562</v>
      </c>
      <c r="I21">
        <f>'77'!W21 +TiltZ+(TiltBoard*Board)</f>
        <v>16.076923076923077</v>
      </c>
      <c r="J21">
        <f>'77'!Y21 +TiltZ+(TiltBoard*Board)</f>
        <v>13.589743589743589</v>
      </c>
      <c r="K21">
        <f>'77'!AA21 +TiltZ+(TiltBoard*Board)</f>
        <v>9.1025641025641022</v>
      </c>
      <c r="L21">
        <f>'77'!AC21 +TiltZ+(TiltBoard*Board)</f>
        <v>2.615384615384615</v>
      </c>
      <c r="M21">
        <f>'77'!AE21 +TiltZ+(TiltBoard*Board)</f>
        <v>-2.8717948717948723</v>
      </c>
      <c r="N21">
        <f>'77'!AG21 +TiltZ+(TiltBoard*Board)</f>
        <v>-6.3589743589743577</v>
      </c>
      <c r="O21">
        <f>'77'!AI21 +TiltZ+(TiltBoard*Board)</f>
        <v>-8.8461538461538467</v>
      </c>
      <c r="P21">
        <f>'77'!AK21 +TiltZ+(TiltBoard*Board)</f>
        <v>-12.333333333333336</v>
      </c>
      <c r="Q21">
        <f>'77'!AM21 +TiltZ+(TiltBoard*Board)</f>
        <v>-12.820512820512821</v>
      </c>
      <c r="R21">
        <f>'77'!AO21 +TiltZ+(TiltBoard*Board)</f>
        <v>-13.307692307692307</v>
      </c>
      <c r="S21">
        <f>'77'!AQ21 +TiltZ+(TiltBoard*Board)</f>
        <v>-13.794871794871796</v>
      </c>
      <c r="T21">
        <f>'77'!AS21 +TiltZ+(TiltBoard*Board)</f>
        <v>-15.282051282051285</v>
      </c>
      <c r="U21">
        <f>'77'!AU21 +TiltZ+(TiltBoard*Board)</f>
        <v>-15.76923076923077</v>
      </c>
      <c r="V21">
        <f>'77'!AW21 +TiltZ+(TiltBoard*Board)</f>
        <v>-16.256410256410255</v>
      </c>
      <c r="W21">
        <f>'77'!AY21 +TiltZ+(TiltBoard*Board)</f>
        <v>-16.743589743589745</v>
      </c>
      <c r="X21">
        <f>'77'!BA21 +TiltZ+(TiltBoard*Board)</f>
        <v>-18.230769230769234</v>
      </c>
      <c r="Y21">
        <f>'77'!BC21 +TiltZ+(TiltBoard*Board)</f>
        <v>-18.717948717948715</v>
      </c>
      <c r="Z21">
        <f>'77'!BE21 +TiltZ+(TiltBoard*Board)</f>
        <v>-20.205128205128204</v>
      </c>
      <c r="AA21">
        <f>'77'!BG21 +TiltZ+(TiltBoard*Board)</f>
        <v>-21.692307692307693</v>
      </c>
      <c r="AB21">
        <f>'77'!BI21 +TiltZ+(TiltBoard*Board)</f>
        <v>-24.179487179487182</v>
      </c>
      <c r="AC21">
        <f>'77'!BK21 +TiltZ+(TiltBoard*Board)</f>
        <v>-26.666666666666671</v>
      </c>
      <c r="AD21">
        <f>'77'!BM21 +TiltZ+(TiltBoard*Board)</f>
        <v>-25.153846153846153</v>
      </c>
      <c r="AE21">
        <f>'77'!BO21 +TiltZ+(TiltBoard*Board)</f>
        <v>-25.641025641025642</v>
      </c>
      <c r="AF21">
        <f>'77'!BQ21 +TiltZ+(TiltBoard*Board)</f>
        <v>-26.128205128205131</v>
      </c>
      <c r="AG21">
        <f>'77'!BS21 +TiltZ+(TiltBoard*Board)</f>
        <v>-23.615384615384613</v>
      </c>
      <c r="AH21">
        <f>'77'!BU21 +TiltZ+(TiltBoard*Board)</f>
        <v>-21.102564102564102</v>
      </c>
      <c r="AI21">
        <f>'77'!BW21 +TiltZ+(TiltBoard*Board)</f>
        <v>-20.589743589743591</v>
      </c>
      <c r="AJ21">
        <f>'77'!BY21 +TiltZ+(TiltBoard*Board)</f>
        <v>-20.07692307692308</v>
      </c>
      <c r="AK21">
        <f>'77'!CA21 +TiltZ+(TiltBoard*Board)</f>
        <v>-21.564102564102569</v>
      </c>
      <c r="AL21">
        <f>'77'!CC21 +TiltZ+(TiltBoard*Board)</f>
        <v>-23.051282051282051</v>
      </c>
      <c r="AM21">
        <f>'77'!CE21 +TiltZ+(TiltBoard*Board)</f>
        <v>-24.53846153846154</v>
      </c>
      <c r="AN21">
        <f>'77'!CG21 +TiltZ+(TiltBoard*Board)</f>
        <v>-26.025641025641029</v>
      </c>
      <c r="AO21">
        <f>'77'!CJ21 +TiltFact</f>
        <v>-29</v>
      </c>
      <c r="AP21">
        <v>0</v>
      </c>
      <c r="AQ21">
        <f>'77'!H21</f>
        <v>-58</v>
      </c>
      <c r="AR21">
        <f t="shared" si="0"/>
        <v>-29</v>
      </c>
      <c r="AS21">
        <f t="shared" si="1"/>
        <v>29</v>
      </c>
      <c r="AT21">
        <f t="shared" si="2"/>
        <v>-1.4871794871794872</v>
      </c>
    </row>
    <row r="22" spans="1:46">
      <c r="A22" s="11">
        <v>19</v>
      </c>
      <c r="B22" s="22">
        <v>0</v>
      </c>
      <c r="C22">
        <f>'77'!K22 +TiltZ</f>
        <v>-11</v>
      </c>
      <c r="D22">
        <f>'77'!M22 +TiltZ+(TiltBoard*Board)</f>
        <v>-7.4358974358974361</v>
      </c>
      <c r="E22">
        <f>'77'!O22 +TiltZ+(TiltBoard*Board)</f>
        <v>-7.8717948717948723</v>
      </c>
      <c r="F22">
        <f>'77'!Q22 +TiltZ+(TiltBoard*Board)</f>
        <v>-7.3076923076923075</v>
      </c>
      <c r="G22">
        <f>'77'!S22 +TiltZ+(TiltBoard*Board)</f>
        <v>-5.7435897435897436</v>
      </c>
      <c r="H22">
        <f>'77'!U22 +TiltZ+(TiltBoard*Board)</f>
        <v>-4.1794871794871797</v>
      </c>
      <c r="I22">
        <f>'77'!W22 +TiltZ+(TiltBoard*Board)</f>
        <v>-3.6153846153846154</v>
      </c>
      <c r="J22">
        <f>'77'!Y22 +TiltZ+(TiltBoard*Board)</f>
        <v>-2.0512820512820511</v>
      </c>
      <c r="K22">
        <f>'77'!AA22 +TiltZ+(TiltBoard*Board)</f>
        <v>-0.48717948717948723</v>
      </c>
      <c r="L22">
        <f>'77'!AC22 +TiltZ+(TiltBoard*Board)</f>
        <v>-1.9230769230769234</v>
      </c>
      <c r="M22">
        <f>'77'!AE22 +TiltZ+(TiltBoard*Board)</f>
        <v>-1.3589743589743595</v>
      </c>
      <c r="N22">
        <f>'77'!AG22 +TiltZ+(TiltBoard*Board)</f>
        <v>-1.7948717948717947</v>
      </c>
      <c r="O22">
        <f>'77'!AI22 +TiltZ+(TiltBoard*Board)</f>
        <v>-3.2307692307692308</v>
      </c>
      <c r="P22">
        <f>'77'!AK22 +TiltZ+(TiltBoard*Board)</f>
        <v>-3.666666666666667</v>
      </c>
      <c r="Q22">
        <f>'77'!AM22 +TiltZ+(TiltBoard*Board)</f>
        <v>-5.1025641025641022</v>
      </c>
      <c r="R22">
        <f>'77'!AO22 +TiltZ+(TiltBoard*Board)</f>
        <v>-5.5384615384615383</v>
      </c>
      <c r="S22">
        <f>'77'!AQ22 +TiltZ+(TiltBoard*Board)</f>
        <v>-5.9743589743589745</v>
      </c>
      <c r="T22">
        <f>'77'!AS22 +TiltZ+(TiltBoard*Board)</f>
        <v>-5.4102564102564106</v>
      </c>
      <c r="U22">
        <f>'77'!AU22 +TiltZ+(TiltBoard*Board)</f>
        <v>-6.8461538461538467</v>
      </c>
      <c r="V22">
        <f>'77'!AW22 +TiltZ+(TiltBoard*Board)</f>
        <v>-6.2820512820512828</v>
      </c>
      <c r="W22">
        <f>'77'!AY22 +TiltZ+(TiltBoard*Board)</f>
        <v>-5.717948717948719</v>
      </c>
      <c r="X22">
        <f>'77'!BA22 +TiltZ+(TiltBoard*Board)</f>
        <v>-7.1538461538461533</v>
      </c>
      <c r="Y22">
        <f>'77'!BC22 +TiltZ+(TiltBoard*Board)</f>
        <v>-6.5897435897435894</v>
      </c>
      <c r="Z22">
        <f>'77'!BE22 +TiltZ+(TiltBoard*Board)</f>
        <v>-6.0256410256410255</v>
      </c>
      <c r="AA22">
        <f>'77'!BG22 +TiltZ+(TiltBoard*Board)</f>
        <v>-5.4615384615384617</v>
      </c>
      <c r="AB22">
        <f>'77'!BI22 +TiltZ+(TiltBoard*Board)</f>
        <v>-3.8974358974358978</v>
      </c>
      <c r="AC22">
        <f>'77'!BK22 +TiltZ+(TiltBoard*Board)</f>
        <v>-3.3333333333333339</v>
      </c>
      <c r="AD22">
        <f>'77'!BM22 +TiltZ+(TiltBoard*Board)</f>
        <v>-1.7692307692307701</v>
      </c>
      <c r="AE22">
        <f>'77'!BO22 +TiltZ+(TiltBoard*Board)</f>
        <v>-1.2051282051282044</v>
      </c>
      <c r="AF22">
        <f>'77'!BQ22 +TiltZ+(TiltBoard*Board)</f>
        <v>0.3589743589743577</v>
      </c>
      <c r="AG22">
        <f>'77'!BS22 +TiltZ+(TiltBoard*Board)</f>
        <v>2.9230769230769234</v>
      </c>
      <c r="AH22">
        <f>'77'!BU22 +TiltZ+(TiltBoard*Board)</f>
        <v>4.4871794871794854</v>
      </c>
      <c r="AI22">
        <f>'77'!BW22 +TiltZ+(TiltBoard*Board)</f>
        <v>5.0512820512820511</v>
      </c>
      <c r="AJ22">
        <f>'77'!BY22 +TiltZ+(TiltBoard*Board)</f>
        <v>6.6153846153846168</v>
      </c>
      <c r="AK22">
        <f>'77'!CA22 +TiltZ+(TiltBoard*Board)</f>
        <v>7.1794871794871788</v>
      </c>
      <c r="AL22">
        <f>'77'!CC22 +TiltZ+(TiltBoard*Board)</f>
        <v>7.7435897435897445</v>
      </c>
      <c r="AM22">
        <f>'77'!CE22 +TiltZ+(TiltBoard*Board)</f>
        <v>8.3076923076923066</v>
      </c>
      <c r="AN22">
        <f>'77'!CG22 +TiltZ+(TiltBoard*Board)</f>
        <v>8.8717948717948723</v>
      </c>
      <c r="AO22">
        <f>'77'!CI22 +TiltFact</f>
        <v>11</v>
      </c>
      <c r="AP22">
        <v>0</v>
      </c>
      <c r="AQ22">
        <f>'77'!H22</f>
        <v>22</v>
      </c>
      <c r="AR22">
        <f t="shared" si="0"/>
        <v>11</v>
      </c>
      <c r="AS22">
        <f t="shared" si="1"/>
        <v>-11</v>
      </c>
      <c r="AT22">
        <f t="shared" si="2"/>
        <v>0.5641025641025641</v>
      </c>
    </row>
    <row r="23" spans="1:46">
      <c r="A23" s="11">
        <v>17</v>
      </c>
      <c r="B23" s="22">
        <v>0</v>
      </c>
      <c r="C23">
        <f>'77'!K23 +TiltZ</f>
        <v>-5</v>
      </c>
      <c r="D23">
        <f>'77'!M23 +TiltZ+(TiltBoard*Board)</f>
        <v>-5.7435897435897436</v>
      </c>
      <c r="E23">
        <f>'77'!O23 +TiltZ+(TiltBoard*Board)</f>
        <v>-8.4871794871794872</v>
      </c>
      <c r="F23">
        <f>'77'!Q23 +TiltZ+(TiltBoard*Board)</f>
        <v>-11.23076923076923</v>
      </c>
      <c r="G23">
        <f>'77'!S23 +TiltZ+(TiltBoard*Board)</f>
        <v>-16.974358974358974</v>
      </c>
      <c r="H23">
        <f>'77'!U23 +TiltZ+(TiltBoard*Board)</f>
        <v>-20.717948717948719</v>
      </c>
      <c r="I23">
        <f>'77'!W23 +TiltZ+(TiltBoard*Board)</f>
        <v>-25.46153846153846</v>
      </c>
      <c r="J23">
        <f>'77'!Y23 +TiltZ+(TiltBoard*Board)</f>
        <v>-30.205128205128204</v>
      </c>
      <c r="K23">
        <f>'77'!AA23 +TiltZ+(TiltBoard*Board)</f>
        <v>-33.948717948717949</v>
      </c>
      <c r="L23">
        <f>'77'!AC23 +TiltZ+(TiltBoard*Board)</f>
        <v>-39.692307692307693</v>
      </c>
      <c r="M23">
        <f>'77'!AE23 +TiltZ+(TiltBoard*Board)</f>
        <v>-44.435897435897438</v>
      </c>
      <c r="N23">
        <f>'77'!AG23 +TiltZ+(TiltBoard*Board)</f>
        <v>-48.179487179487182</v>
      </c>
      <c r="O23">
        <f>'77'!AI23 +TiltZ+(TiltBoard*Board)</f>
        <v>-52.92307692307692</v>
      </c>
      <c r="P23">
        <f>'77'!AK23 +TiltZ+(TiltBoard*Board)</f>
        <v>-56.666666666666664</v>
      </c>
      <c r="Q23">
        <f>'77'!AM23 +TiltZ+(TiltBoard*Board)</f>
        <v>-61.410256410256409</v>
      </c>
      <c r="R23">
        <f>'77'!AO23 +TiltZ+(TiltBoard*Board)</f>
        <v>-67.15384615384616</v>
      </c>
      <c r="S23">
        <f>'77'!AQ23 +TiltZ+(TiltBoard*Board)</f>
        <v>-70.897435897435898</v>
      </c>
      <c r="T23">
        <f>'77'!AS23 +TiltZ+(TiltBoard*Board)</f>
        <v>-74.641025641025635</v>
      </c>
      <c r="U23">
        <f>'77'!AU23 +TiltZ+(TiltBoard*Board)</f>
        <v>-79.384615384615387</v>
      </c>
      <c r="V23">
        <f>'77'!AW23 +TiltZ+(TiltBoard*Board)</f>
        <v>-83.128205128205124</v>
      </c>
      <c r="W23">
        <f>'77'!AY23 +TiltZ+(TiltBoard*Board)</f>
        <v>-84.871794871794876</v>
      </c>
      <c r="X23">
        <f>'77'!BA23 +TiltZ+(TiltBoard*Board)</f>
        <v>-88.615384615384613</v>
      </c>
      <c r="Y23">
        <f>'77'!BC23 +TiltZ+(TiltBoard*Board)</f>
        <v>-90.358974358974365</v>
      </c>
      <c r="Z23">
        <f>'77'!BE23 +TiltZ+(TiltBoard*Board)</f>
        <v>-88.102564102564102</v>
      </c>
      <c r="AA23">
        <f>'77'!BG23 +TiltZ+(TiltBoard*Board)</f>
        <v>-86.84615384615384</v>
      </c>
      <c r="AB23">
        <f>'77'!BI23 +TiltZ+(TiltBoard*Board)</f>
        <v>-82.589743589743591</v>
      </c>
      <c r="AC23">
        <f>'77'!BK23 +TiltZ+(TiltBoard*Board)</f>
        <v>-78.333333333333329</v>
      </c>
      <c r="AD23">
        <f>'77'!BM23 +TiltZ+(TiltBoard*Board)</f>
        <v>-72.07692307692308</v>
      </c>
      <c r="AE23">
        <f>'77'!BO23 +TiltZ+(TiltBoard*Board)</f>
        <v>-64.820512820512818</v>
      </c>
      <c r="AF23">
        <f>'77'!BQ23 +TiltZ+(TiltBoard*Board)</f>
        <v>-57.564102564102562</v>
      </c>
      <c r="AG23">
        <f>'77'!BS23 +TiltZ+(TiltBoard*Board)</f>
        <v>-48.307692307692307</v>
      </c>
      <c r="AH23">
        <f>'77'!BU23 +TiltZ+(TiltBoard*Board)</f>
        <v>-35.051282051282051</v>
      </c>
      <c r="AI23">
        <f>'77'!BW23 +TiltZ+(TiltBoard*Board)</f>
        <v>-26.794871794871796</v>
      </c>
      <c r="AJ23">
        <f>'77'!BY23 +TiltZ+(TiltBoard*Board)</f>
        <v>-18.53846153846154</v>
      </c>
      <c r="AK23">
        <f>'77'!CA23 +TiltZ+(TiltBoard*Board)</f>
        <v>-13.282051282051283</v>
      </c>
      <c r="AL23">
        <f>'77'!CC23 +TiltZ+(TiltBoard*Board)</f>
        <v>-5.0256410256410255</v>
      </c>
      <c r="AM23">
        <f>'77'!CE23 +TiltZ+(TiltBoard*Board)</f>
        <v>-0.76923076923077005</v>
      </c>
      <c r="AN23">
        <f>'77'!CG23 +TiltZ+(TiltBoard*Board)</f>
        <v>1.4871794871794854</v>
      </c>
      <c r="AO23">
        <f>'77'!CJ23 +TiltFact</f>
        <v>5</v>
      </c>
      <c r="AP23">
        <v>0</v>
      </c>
      <c r="AQ23">
        <f>'77'!H23</f>
        <v>10</v>
      </c>
      <c r="AR23">
        <f t="shared" si="0"/>
        <v>5</v>
      </c>
      <c r="AS23">
        <f t="shared" si="1"/>
        <v>-5</v>
      </c>
      <c r="AT23">
        <f t="shared" si="2"/>
        <v>0.25641025641025639</v>
      </c>
    </row>
    <row r="24" spans="1:46">
      <c r="A24" s="11">
        <v>15</v>
      </c>
      <c r="B24" s="22">
        <v>0</v>
      </c>
      <c r="C24">
        <f>'77'!K24 +TiltZ</f>
        <v>-14</v>
      </c>
      <c r="D24">
        <f>'77'!M24 +TiltZ+(TiltBoard*Board)</f>
        <v>-12.282051282051283</v>
      </c>
      <c r="E24">
        <f>'77'!O24 +TiltZ+(TiltBoard*Board)</f>
        <v>-9.5641025641025639</v>
      </c>
      <c r="F24">
        <f>'77'!Q24 +TiltZ+(TiltBoard*Board)</f>
        <v>-4.8461538461538467</v>
      </c>
      <c r="G24">
        <f>'77'!S24 +TiltZ+(TiltBoard*Board)</f>
        <v>-1.1282051282051282</v>
      </c>
      <c r="H24">
        <f>'77'!U24 +TiltZ+(TiltBoard*Board)</f>
        <v>1.5897435897435899</v>
      </c>
      <c r="I24">
        <f>'77'!W24 +TiltZ+(TiltBoard*Board)</f>
        <v>1.3076923076923075</v>
      </c>
      <c r="J24">
        <f>'77'!Y24 +TiltZ+(TiltBoard*Board)</f>
        <v>2.0256410256410255</v>
      </c>
      <c r="K24">
        <f>'77'!AA24 +TiltZ+(TiltBoard*Board)</f>
        <v>1.7435897435897436</v>
      </c>
      <c r="L24">
        <f>'77'!AC24 +TiltZ+(TiltBoard*Board)</f>
        <v>-1.5384615384615383</v>
      </c>
      <c r="M24">
        <f>'77'!AE24 +TiltZ+(TiltBoard*Board)</f>
        <v>-3.8205128205128203</v>
      </c>
      <c r="N24">
        <f>'77'!AG24 +TiltZ+(TiltBoard*Board)</f>
        <v>-5.1025641025641022</v>
      </c>
      <c r="O24">
        <f>'77'!AI24 +TiltZ+(TiltBoard*Board)</f>
        <v>-10.384615384615385</v>
      </c>
      <c r="P24">
        <f>'77'!AK24 +TiltZ+(TiltBoard*Board)</f>
        <v>-13.666666666666666</v>
      </c>
      <c r="Q24">
        <f>'77'!AM24 +TiltZ+(TiltBoard*Board)</f>
        <v>-18.948717948717949</v>
      </c>
      <c r="R24">
        <f>'77'!AO24 +TiltZ+(TiltBoard*Board)</f>
        <v>-23.23076923076923</v>
      </c>
      <c r="S24">
        <f>'77'!AQ24 +TiltZ+(TiltBoard*Board)</f>
        <v>-26.512820512820511</v>
      </c>
      <c r="T24">
        <f>'77'!AS24 +TiltZ+(TiltBoard*Board)</f>
        <v>-28.794871794871796</v>
      </c>
      <c r="U24">
        <f>'77'!AU24 +TiltZ+(TiltBoard*Board)</f>
        <v>-32.07692307692308</v>
      </c>
      <c r="V24">
        <f>'77'!AW24 +TiltZ+(TiltBoard*Board)</f>
        <v>-31.358974358974358</v>
      </c>
      <c r="W24">
        <f>'77'!AY24 +TiltZ+(TiltBoard*Board)</f>
        <v>-30.641025641025642</v>
      </c>
      <c r="X24">
        <f>'77'!BA24 +TiltZ+(TiltBoard*Board)</f>
        <v>-29.923076923076923</v>
      </c>
      <c r="Y24">
        <f>'77'!BC24 +TiltZ+(TiltBoard*Board)</f>
        <v>-28.205128205128204</v>
      </c>
      <c r="Z24">
        <f>'77'!BE24 +TiltZ+(TiltBoard*Board)</f>
        <v>-25.487179487179485</v>
      </c>
      <c r="AA24">
        <f>'77'!BG24 +TiltZ+(TiltBoard*Board)</f>
        <v>-24.76923076923077</v>
      </c>
      <c r="AB24">
        <f>'77'!BI24 +TiltZ+(TiltBoard*Board)</f>
        <v>-24.051282051282051</v>
      </c>
      <c r="AC24">
        <f>'77'!BK24 +TiltZ+(TiltBoard*Board)</f>
        <v>-22.333333333333332</v>
      </c>
      <c r="AD24">
        <f>'77'!BM24 +TiltZ+(TiltBoard*Board)</f>
        <v>-21.615384615384617</v>
      </c>
      <c r="AE24">
        <f>'77'!BO24 +TiltZ+(TiltBoard*Board)</f>
        <v>-18.897435897435898</v>
      </c>
      <c r="AF24">
        <f>'77'!BQ24 +TiltZ+(TiltBoard*Board)</f>
        <v>-18.179487179487179</v>
      </c>
      <c r="AG24">
        <f>'77'!BS24 +TiltZ+(TiltBoard*Board)</f>
        <v>-16.46153846153846</v>
      </c>
      <c r="AH24">
        <f>'77'!BU24 +TiltZ+(TiltBoard*Board)</f>
        <v>-11.743589743589745</v>
      </c>
      <c r="AI24">
        <f>'77'!BW24 +TiltZ+(TiltBoard*Board)</f>
        <v>-10.025641025641026</v>
      </c>
      <c r="AJ24">
        <f>'77'!BY24 +TiltZ+(TiltBoard*Board)</f>
        <v>-7.3076923076923066</v>
      </c>
      <c r="AK24">
        <f>'77'!CA24 +TiltZ+(TiltBoard*Board)</f>
        <v>-5.5897435897435912</v>
      </c>
      <c r="AL24">
        <f>'77'!CC24 +TiltZ+(TiltBoard*Board)</f>
        <v>-3.8717948717948723</v>
      </c>
      <c r="AM24">
        <f>'77'!CE24 +TiltZ+(TiltBoard*Board)</f>
        <v>0.8461538461538467</v>
      </c>
      <c r="AN24">
        <f>'77'!CG24 +TiltZ+(TiltBoard*Board)</f>
        <v>3.5641025641025657</v>
      </c>
      <c r="AO24">
        <f>'77'!CJ24 +TiltFact</f>
        <v>14</v>
      </c>
      <c r="AP24">
        <v>0</v>
      </c>
      <c r="AQ24">
        <f>'77'!H24</f>
        <v>28</v>
      </c>
      <c r="AR24">
        <f t="shared" si="0"/>
        <v>14</v>
      </c>
      <c r="AS24">
        <f t="shared" si="1"/>
        <v>-14</v>
      </c>
      <c r="AT24">
        <f t="shared" si="2"/>
        <v>0.71794871794871795</v>
      </c>
    </row>
    <row r="25" spans="1:46">
      <c r="A25" s="11">
        <v>13</v>
      </c>
      <c r="B25" s="22">
        <v>0</v>
      </c>
      <c r="C25">
        <f>'77'!K25 +TiltZ</f>
        <v>-11</v>
      </c>
      <c r="D25">
        <f>'77'!M25 +TiltZ+(TiltBoard*Board)</f>
        <v>-7.4358974358974361</v>
      </c>
      <c r="E25">
        <f>'77'!O25 +TiltZ+(TiltBoard*Board)</f>
        <v>-7.8717948717948723</v>
      </c>
      <c r="F25">
        <f>'77'!Q25 +TiltZ+(TiltBoard*Board)</f>
        <v>-7.3076923076923075</v>
      </c>
      <c r="G25">
        <f>'77'!S25 +TiltZ+(TiltBoard*Board)</f>
        <v>-5.7435897435897436</v>
      </c>
      <c r="H25">
        <f>'77'!U25 +TiltZ+(TiltBoard*Board)</f>
        <v>-4.1794871794871797</v>
      </c>
      <c r="I25">
        <f>'77'!W25 +TiltZ+(TiltBoard*Board)</f>
        <v>-3.6153846153846154</v>
      </c>
      <c r="J25">
        <f>'77'!Y25 +TiltZ+(TiltBoard*Board)</f>
        <v>-2.0512820512820511</v>
      </c>
      <c r="K25">
        <f>'77'!AA25 +TiltZ+(TiltBoard*Board)</f>
        <v>-0.48717948717948723</v>
      </c>
      <c r="L25">
        <f>'77'!AC25 +TiltZ+(TiltBoard*Board)</f>
        <v>-1.9230769230769234</v>
      </c>
      <c r="M25">
        <f>'77'!AE25 +TiltZ+(TiltBoard*Board)</f>
        <v>-1.3589743589743595</v>
      </c>
      <c r="N25">
        <f>'77'!AG25 +TiltZ+(TiltBoard*Board)</f>
        <v>-1.7948717948717947</v>
      </c>
      <c r="O25">
        <f>'77'!AI25 +TiltZ+(TiltBoard*Board)</f>
        <v>-3.2307692307692308</v>
      </c>
      <c r="P25">
        <f>'77'!AK25 +TiltZ+(TiltBoard*Board)</f>
        <v>-3.666666666666667</v>
      </c>
      <c r="Q25">
        <f>'77'!AM25 +TiltZ+(TiltBoard*Board)</f>
        <v>-5.1025641025641022</v>
      </c>
      <c r="R25">
        <f>'77'!AO25 +TiltZ+(TiltBoard*Board)</f>
        <v>-5.5384615384615383</v>
      </c>
      <c r="S25">
        <f>'77'!AQ25 +TiltZ+(TiltBoard*Board)</f>
        <v>-5.9743589743589745</v>
      </c>
      <c r="T25">
        <f>'77'!AS25 +TiltZ+(TiltBoard*Board)</f>
        <v>-5.4102564102564106</v>
      </c>
      <c r="U25">
        <f>'77'!AU25 +TiltZ+(TiltBoard*Board)</f>
        <v>-6.8461538461538467</v>
      </c>
      <c r="V25">
        <f>'77'!AW25 +TiltZ+(TiltBoard*Board)</f>
        <v>-6.2820512820512828</v>
      </c>
      <c r="W25">
        <f>'77'!AY25 +TiltZ+(TiltBoard*Board)</f>
        <v>-5.717948717948719</v>
      </c>
      <c r="X25">
        <f>'77'!BA25 +TiltZ+(TiltBoard*Board)</f>
        <v>-7.1538461538461533</v>
      </c>
      <c r="Y25">
        <f>'77'!BC25 +TiltZ+(TiltBoard*Board)</f>
        <v>-6.5897435897435894</v>
      </c>
      <c r="Z25">
        <f>'77'!BE25 +TiltZ+(TiltBoard*Board)</f>
        <v>-6.0256410256410255</v>
      </c>
      <c r="AA25">
        <f>'77'!BG25 +TiltZ+(TiltBoard*Board)</f>
        <v>-5.4615384615384617</v>
      </c>
      <c r="AB25">
        <f>'77'!BI25 +TiltZ+(TiltBoard*Board)</f>
        <v>-3.8974358974358978</v>
      </c>
      <c r="AC25">
        <f>'77'!BK25 +TiltZ+(TiltBoard*Board)</f>
        <v>-3.3333333333333339</v>
      </c>
      <c r="AD25">
        <f>'77'!BM25 +TiltZ+(TiltBoard*Board)</f>
        <v>-1.7692307692307701</v>
      </c>
      <c r="AE25">
        <f>'77'!BO25 +TiltZ+(TiltBoard*Board)</f>
        <v>-1.2051282051282044</v>
      </c>
      <c r="AF25">
        <f>'77'!BQ25 +TiltZ+(TiltBoard*Board)</f>
        <v>0.3589743589743577</v>
      </c>
      <c r="AG25">
        <f>'77'!BS25 +TiltZ+(TiltBoard*Board)</f>
        <v>2.9230769230769234</v>
      </c>
      <c r="AH25">
        <f>'77'!BU25 +TiltZ+(TiltBoard*Board)</f>
        <v>4.4871794871794854</v>
      </c>
      <c r="AI25">
        <f>'77'!BW25 +TiltZ+(TiltBoard*Board)</f>
        <v>5.0512820512820511</v>
      </c>
      <c r="AJ25">
        <f>'77'!BY25 +TiltZ+(TiltBoard*Board)</f>
        <v>6.6153846153846168</v>
      </c>
      <c r="AK25">
        <f>'77'!CA25 +TiltZ+(TiltBoard*Board)</f>
        <v>7.1794871794871788</v>
      </c>
      <c r="AL25">
        <f>'77'!CC25 +TiltZ+(TiltBoard*Board)</f>
        <v>7.7435897435897445</v>
      </c>
      <c r="AM25">
        <f>'77'!CE25 +TiltZ+(TiltBoard*Board)</f>
        <v>8.3076923076923066</v>
      </c>
      <c r="AN25">
        <f>'77'!CG25 +TiltZ+(TiltBoard*Board)</f>
        <v>8.8717948717948723</v>
      </c>
      <c r="AO25">
        <f>'77'!CI25 +TiltFact</f>
        <v>11</v>
      </c>
      <c r="AP25">
        <v>0</v>
      </c>
      <c r="AQ25">
        <f>'77'!H25</f>
        <v>22</v>
      </c>
      <c r="AR25">
        <f t="shared" si="0"/>
        <v>11</v>
      </c>
      <c r="AS25">
        <f t="shared" si="1"/>
        <v>-11</v>
      </c>
      <c r="AT25">
        <f t="shared" si="2"/>
        <v>0.5641025641025641</v>
      </c>
    </row>
    <row r="26" spans="1:46">
      <c r="A26" s="11">
        <v>11</v>
      </c>
      <c r="B26" s="22">
        <v>0</v>
      </c>
      <c r="C26">
        <f>'77'!K26 +TiltZ</f>
        <v>-13.5</v>
      </c>
      <c r="D26">
        <f>'77'!M26 +TiltZ+(TiltBoard*Board)</f>
        <v>-12.807692307692308</v>
      </c>
      <c r="E26">
        <f>'77'!O26 +TiltZ+(TiltBoard*Board)</f>
        <v>-10.115384615384615</v>
      </c>
      <c r="F26">
        <f>'77'!Q26 +TiltZ+(TiltBoard*Board)</f>
        <v>-7.4230769230769234</v>
      </c>
      <c r="G26">
        <f>'77'!S26 +TiltZ+(TiltBoard*Board)</f>
        <v>-5.7307692307692308</v>
      </c>
      <c r="H26">
        <f>'77'!U26 +TiltZ+(TiltBoard*Board)</f>
        <v>-5.0384615384615383</v>
      </c>
      <c r="I26">
        <f>'77'!W26 +TiltZ+(TiltBoard*Board)</f>
        <v>-6.3461538461538467</v>
      </c>
      <c r="J26">
        <f>'77'!Y26 +TiltZ+(TiltBoard*Board)</f>
        <v>-7.6538461538461542</v>
      </c>
      <c r="K26">
        <f>'77'!AA26 +TiltZ+(TiltBoard*Board)</f>
        <v>-9.9615384615384617</v>
      </c>
      <c r="L26">
        <f>'77'!AC26 +TiltZ+(TiltBoard*Board)</f>
        <v>-14.26923076923077</v>
      </c>
      <c r="M26">
        <f>'77'!AE26 +TiltZ+(TiltBoard*Board)</f>
        <v>-20.576923076923077</v>
      </c>
      <c r="N26">
        <f>'77'!AG26 +TiltZ+(TiltBoard*Board)</f>
        <v>-24.884615384615387</v>
      </c>
      <c r="O26">
        <f>'77'!AI26 +TiltZ+(TiltBoard*Board)</f>
        <v>-28.192307692307693</v>
      </c>
      <c r="P26">
        <f>'77'!AK26 +TiltZ+(TiltBoard*Board)</f>
        <v>-33.5</v>
      </c>
      <c r="Q26">
        <f>'77'!AM26 +TiltZ+(TiltBoard*Board)</f>
        <v>-37.807692307692307</v>
      </c>
      <c r="R26">
        <f>'77'!AO26 +TiltZ+(TiltBoard*Board)</f>
        <v>-42.115384615384613</v>
      </c>
      <c r="S26">
        <f>'77'!AQ26 +TiltZ+(TiltBoard*Board)</f>
        <v>-42.42307692307692</v>
      </c>
      <c r="T26">
        <f>'77'!AS26 +TiltZ+(TiltBoard*Board)</f>
        <v>-42.730769230769234</v>
      </c>
      <c r="U26">
        <f>'77'!AU26 +TiltZ+(TiltBoard*Board)</f>
        <v>-44.03846153846154</v>
      </c>
      <c r="V26">
        <f>'77'!AW26 +TiltZ+(TiltBoard*Board)</f>
        <v>-43.346153846153847</v>
      </c>
      <c r="W26">
        <f>'77'!AY26 +TiltZ+(TiltBoard*Board)</f>
        <v>-42.653846153846153</v>
      </c>
      <c r="X26">
        <f>'77'!BA26 +TiltZ+(TiltBoard*Board)</f>
        <v>-41.96153846153846</v>
      </c>
      <c r="Y26">
        <f>'77'!BC26 +TiltZ+(TiltBoard*Board)</f>
        <v>-41.269230769230774</v>
      </c>
      <c r="Z26">
        <f>'77'!BE26 +TiltZ+(TiltBoard*Board)</f>
        <v>-39.57692307692308</v>
      </c>
      <c r="AA26">
        <f>'77'!BG26 +TiltZ+(TiltBoard*Board)</f>
        <v>-39.884615384615387</v>
      </c>
      <c r="AB26">
        <f>'77'!BI26 +TiltZ+(TiltBoard*Board)</f>
        <v>-40.192307692307693</v>
      </c>
      <c r="AC26">
        <f>'77'!BK26 +TiltZ+(TiltBoard*Board)</f>
        <v>-40.5</v>
      </c>
      <c r="AD26">
        <f>'77'!BM26 +TiltZ+(TiltBoard*Board)</f>
        <v>-40.807692307692307</v>
      </c>
      <c r="AE26">
        <f>'77'!BO26 +TiltZ+(TiltBoard*Board)</f>
        <v>-42.115384615384613</v>
      </c>
      <c r="AF26">
        <f>'77'!BQ26 +TiltZ+(TiltBoard*Board)</f>
        <v>-43.42307692307692</v>
      </c>
      <c r="AG26">
        <f>'77'!BS26 +TiltZ+(TiltBoard*Board)</f>
        <v>-41.730769230769226</v>
      </c>
      <c r="AH26">
        <f>'77'!BU26 +TiltZ+(TiltBoard*Board)</f>
        <v>-38.03846153846154</v>
      </c>
      <c r="AI26">
        <f>'77'!BW26 +TiltZ+(TiltBoard*Board)</f>
        <v>-33.346153846153847</v>
      </c>
      <c r="AJ26">
        <f>'77'!BY26 +TiltZ+(TiltBoard*Board)</f>
        <v>-26.653846153846153</v>
      </c>
      <c r="AK26">
        <f>'77'!CA26 +TiltZ+(TiltBoard*Board)</f>
        <v>-19.961538461538463</v>
      </c>
      <c r="AL26">
        <f>'77'!CC26 +TiltZ+(TiltBoard*Board)</f>
        <v>-8.2692307692307701</v>
      </c>
      <c r="AM26">
        <f>'77'!CE26 +TiltZ+(TiltBoard*Board)</f>
        <v>-2.5769230769230766</v>
      </c>
      <c r="AN26">
        <f>'77'!CG26 +TiltZ+(TiltBoard*Board)</f>
        <v>2.1153846153846132</v>
      </c>
      <c r="AO26">
        <f>'77'!CJ26 +TiltFact</f>
        <v>13.5</v>
      </c>
      <c r="AP26">
        <v>0</v>
      </c>
      <c r="AQ26">
        <f>'77'!H26</f>
        <v>27</v>
      </c>
      <c r="AR26">
        <f t="shared" si="0"/>
        <v>13.5</v>
      </c>
      <c r="AS26">
        <f t="shared" si="1"/>
        <v>-13.5</v>
      </c>
      <c r="AT26">
        <f t="shared" si="2"/>
        <v>0.69230769230769229</v>
      </c>
    </row>
    <row r="27" spans="1:46">
      <c r="A27" s="11">
        <v>9</v>
      </c>
      <c r="B27" s="22">
        <v>0</v>
      </c>
      <c r="C27">
        <f>'77'!K27 +TiltZ</f>
        <v>-11</v>
      </c>
      <c r="D27">
        <f>'77'!M27 +TiltZ+(TiltBoard*Board)</f>
        <v>-7.4358974358974361</v>
      </c>
      <c r="E27">
        <f>'77'!O27 +TiltZ+(TiltBoard*Board)</f>
        <v>-7.8717948717948723</v>
      </c>
      <c r="F27">
        <f>'77'!Q27 +TiltZ+(TiltBoard*Board)</f>
        <v>-7.3076923076923075</v>
      </c>
      <c r="G27">
        <f>'77'!S27 +TiltZ+(TiltBoard*Board)</f>
        <v>-5.7435897435897436</v>
      </c>
      <c r="H27">
        <f>'77'!U27 +TiltZ+(TiltBoard*Board)</f>
        <v>-4.1794871794871797</v>
      </c>
      <c r="I27">
        <f>'77'!W27 +TiltZ+(TiltBoard*Board)</f>
        <v>-3.6153846153846154</v>
      </c>
      <c r="J27">
        <f>'77'!Y27 +TiltZ+(TiltBoard*Board)</f>
        <v>-2.0512820512820511</v>
      </c>
      <c r="K27">
        <f>'77'!AA27 +TiltZ+(TiltBoard*Board)</f>
        <v>-0.48717948717948723</v>
      </c>
      <c r="L27">
        <f>'77'!AC27 +TiltZ+(TiltBoard*Board)</f>
        <v>-1.9230769230769234</v>
      </c>
      <c r="M27">
        <f>'77'!AE27 +TiltZ+(TiltBoard*Board)</f>
        <v>-1.3589743589743595</v>
      </c>
      <c r="N27">
        <f>'77'!AG27 +TiltZ+(TiltBoard*Board)</f>
        <v>-1.7948717948717947</v>
      </c>
      <c r="O27">
        <f>'77'!AI27 +TiltZ+(TiltBoard*Board)</f>
        <v>-3.2307692307692308</v>
      </c>
      <c r="P27">
        <f>'77'!AK27 +TiltZ+(TiltBoard*Board)</f>
        <v>-3.666666666666667</v>
      </c>
      <c r="Q27">
        <f>'77'!AM27 +TiltZ+(TiltBoard*Board)</f>
        <v>-5.1025641025641022</v>
      </c>
      <c r="R27">
        <f>'77'!AO27 +TiltZ+(TiltBoard*Board)</f>
        <v>-5.5384615384615383</v>
      </c>
      <c r="S27">
        <f>'77'!AQ27 +TiltZ+(TiltBoard*Board)</f>
        <v>-5.9743589743589745</v>
      </c>
      <c r="T27">
        <f>'77'!AS27 +TiltZ+(TiltBoard*Board)</f>
        <v>-5.4102564102564106</v>
      </c>
      <c r="U27">
        <f>'77'!AU27 +TiltZ+(TiltBoard*Board)</f>
        <v>-6.8461538461538467</v>
      </c>
      <c r="V27">
        <f>'77'!AW27 +TiltZ+(TiltBoard*Board)</f>
        <v>-6.2820512820512828</v>
      </c>
      <c r="W27">
        <f>'77'!AY27 +TiltZ+(TiltBoard*Board)</f>
        <v>-5.717948717948719</v>
      </c>
      <c r="X27">
        <f>'77'!BA27 +TiltZ+(TiltBoard*Board)</f>
        <v>-7.1538461538461533</v>
      </c>
      <c r="Y27">
        <f>'77'!BC27 +TiltZ+(TiltBoard*Board)</f>
        <v>-6.5897435897435894</v>
      </c>
      <c r="Z27">
        <f>'77'!BE27 +TiltZ+(TiltBoard*Board)</f>
        <v>-6.0256410256410255</v>
      </c>
      <c r="AA27">
        <f>'77'!BG27 +TiltZ+(TiltBoard*Board)</f>
        <v>-5.4615384615384617</v>
      </c>
      <c r="AB27">
        <f>'77'!BI27 +TiltZ+(TiltBoard*Board)</f>
        <v>-3.8974358974358978</v>
      </c>
      <c r="AC27">
        <f>'77'!BK27 +TiltZ+(TiltBoard*Board)</f>
        <v>-3.3333333333333339</v>
      </c>
      <c r="AD27">
        <f>'77'!BM27 +TiltZ+(TiltBoard*Board)</f>
        <v>-1.7692307692307701</v>
      </c>
      <c r="AE27">
        <f>'77'!BO27 +TiltZ+(TiltBoard*Board)</f>
        <v>-1.2051282051282044</v>
      </c>
      <c r="AF27">
        <f>'77'!BQ27 +TiltZ+(TiltBoard*Board)</f>
        <v>0.3589743589743577</v>
      </c>
      <c r="AG27">
        <f>'77'!BS27 +TiltZ+(TiltBoard*Board)</f>
        <v>2.9230769230769234</v>
      </c>
      <c r="AH27">
        <f>'77'!BU27 +TiltZ+(TiltBoard*Board)</f>
        <v>4.4871794871794854</v>
      </c>
      <c r="AI27">
        <f>'77'!BW27 +TiltZ+(TiltBoard*Board)</f>
        <v>5.0512820512820511</v>
      </c>
      <c r="AJ27">
        <f>'77'!BY27 +TiltZ+(TiltBoard*Board)</f>
        <v>6.6153846153846168</v>
      </c>
      <c r="AK27">
        <f>'77'!CA27 +TiltZ+(TiltBoard*Board)</f>
        <v>7.1794871794871788</v>
      </c>
      <c r="AL27">
        <f>'77'!CC27 +TiltZ+(TiltBoard*Board)</f>
        <v>7.7435897435897445</v>
      </c>
      <c r="AM27">
        <f>'77'!CE27 +TiltZ+(TiltBoard*Board)</f>
        <v>8.3076923076923066</v>
      </c>
      <c r="AN27">
        <f>'77'!CG27 +TiltZ+(TiltBoard*Board)</f>
        <v>8.8717948717948723</v>
      </c>
      <c r="AO27">
        <f>'77'!CI27 +TiltFact</f>
        <v>11</v>
      </c>
      <c r="AP27">
        <v>0</v>
      </c>
      <c r="AQ27">
        <f>'77'!H27</f>
        <v>22</v>
      </c>
      <c r="AR27">
        <f t="shared" si="0"/>
        <v>11</v>
      </c>
      <c r="AS27">
        <f t="shared" si="1"/>
        <v>-11</v>
      </c>
      <c r="AT27">
        <f t="shared" si="2"/>
        <v>0.5641025641025641</v>
      </c>
    </row>
    <row r="28" spans="1:46">
      <c r="A28" s="11">
        <v>7</v>
      </c>
      <c r="B28" s="22">
        <v>0</v>
      </c>
      <c r="C28">
        <f>'77'!K28 +TiltZ</f>
        <v>4.5</v>
      </c>
      <c r="D28">
        <f>'77'!M28 +TiltZ+(TiltBoard*Board)</f>
        <v>4.2692307692307692</v>
      </c>
      <c r="E28">
        <f>'77'!O28 +TiltZ+(TiltBoard*Board)</f>
        <v>3.0384615384615383</v>
      </c>
      <c r="F28">
        <f>'77'!Q28 +TiltZ+(TiltBoard*Board)</f>
        <v>1.8076923076923077</v>
      </c>
      <c r="G28">
        <f>'77'!S28 +TiltZ+(TiltBoard*Board)</f>
        <v>-0.42307692307692313</v>
      </c>
      <c r="H28">
        <f>'77'!U28 +TiltZ+(TiltBoard*Board)</f>
        <v>-3.6538461538461542</v>
      </c>
      <c r="I28">
        <f>'77'!W28 +TiltZ+(TiltBoard*Board)</f>
        <v>-6.884615384615385</v>
      </c>
      <c r="J28">
        <f>'77'!Y28 +TiltZ+(TiltBoard*Board)</f>
        <v>-11.115384615384615</v>
      </c>
      <c r="K28">
        <f>'77'!AA28 +TiltZ+(TiltBoard*Board)</f>
        <v>-16.346153846153847</v>
      </c>
      <c r="L28">
        <f>'77'!AC28 +TiltZ+(TiltBoard*Board)</f>
        <v>-22.576923076923077</v>
      </c>
      <c r="M28">
        <f>'77'!AE28 +TiltZ+(TiltBoard*Board)</f>
        <v>-28.807692307692307</v>
      </c>
      <c r="N28">
        <f>'77'!AG28 +TiltZ+(TiltBoard*Board)</f>
        <v>-36.03846153846154</v>
      </c>
      <c r="O28">
        <f>'77'!AI28 +TiltZ+(TiltBoard*Board)</f>
        <v>-42.269230769230766</v>
      </c>
      <c r="P28">
        <f>'77'!AK28 +TiltZ+(TiltBoard*Board)</f>
        <v>-49.5</v>
      </c>
      <c r="Q28">
        <f>'77'!AM28 +TiltZ+(TiltBoard*Board)</f>
        <v>-55.730769230769234</v>
      </c>
      <c r="R28">
        <f>'77'!AO28 +TiltZ+(TiltBoard*Board)</f>
        <v>-61.96153846153846</v>
      </c>
      <c r="S28">
        <f>'77'!AQ28 +TiltZ+(TiltBoard*Board)</f>
        <v>-64.192307692307693</v>
      </c>
      <c r="T28">
        <f>'77'!AS28 +TiltZ+(TiltBoard*Board)</f>
        <v>-67.42307692307692</v>
      </c>
      <c r="U28">
        <f>'77'!AU28 +TiltZ+(TiltBoard*Board)</f>
        <v>-70.65384615384616</v>
      </c>
      <c r="V28">
        <f>'77'!AW28 +TiltZ+(TiltBoard*Board)</f>
        <v>-69.884615384615387</v>
      </c>
      <c r="W28">
        <f>'77'!AY28 +TiltZ+(TiltBoard*Board)</f>
        <v>-71.115384615384613</v>
      </c>
      <c r="X28">
        <f>'77'!BA28 +TiltZ+(TiltBoard*Board)</f>
        <v>-72.34615384615384</v>
      </c>
      <c r="Y28">
        <f>'77'!BC28 +TiltZ+(TiltBoard*Board)</f>
        <v>-71.57692307692308</v>
      </c>
      <c r="Z28">
        <f>'77'!BE28 +TiltZ+(TiltBoard*Board)</f>
        <v>-69.807692307692307</v>
      </c>
      <c r="AA28">
        <f>'77'!BG28 +TiltZ+(TiltBoard*Board)</f>
        <v>-68.038461538461533</v>
      </c>
      <c r="AB28">
        <f>'77'!BI28 +TiltZ+(TiltBoard*Board)</f>
        <v>-66.269230769230774</v>
      </c>
      <c r="AC28">
        <f>'77'!BK28 +TiltZ+(TiltBoard*Board)</f>
        <v>-64.5</v>
      </c>
      <c r="AD28">
        <f>'77'!BM28 +TiltZ+(TiltBoard*Board)</f>
        <v>-63.730769230769234</v>
      </c>
      <c r="AE28">
        <f>'77'!BO28 +TiltZ+(TiltBoard*Board)</f>
        <v>-62.96153846153846</v>
      </c>
      <c r="AF28">
        <f>'77'!BQ28 +TiltZ+(TiltBoard*Board)</f>
        <v>-61.192307692307693</v>
      </c>
      <c r="AG28">
        <f>'77'!BS28 +TiltZ+(TiltBoard*Board)</f>
        <v>-58.42307692307692</v>
      </c>
      <c r="AH28">
        <f>'77'!BU28 +TiltZ+(TiltBoard*Board)</f>
        <v>-52.653846153846153</v>
      </c>
      <c r="AI28">
        <f>'77'!BW28 +TiltZ+(TiltBoard*Board)</f>
        <v>-46.884615384615387</v>
      </c>
      <c r="AJ28">
        <f>'77'!BY28 +TiltZ+(TiltBoard*Board)</f>
        <v>-39.115384615384613</v>
      </c>
      <c r="AK28">
        <f>'77'!CA28 +TiltZ+(TiltBoard*Board)</f>
        <v>-31.346153846153847</v>
      </c>
      <c r="AL28">
        <f>'77'!CC28 +TiltZ+(TiltBoard*Board)</f>
        <v>-22.576923076923077</v>
      </c>
      <c r="AM28">
        <f>'77'!CE28 +TiltZ+(TiltBoard*Board)</f>
        <v>-16.807692307692307</v>
      </c>
      <c r="AN28">
        <f>'77'!CG28 +TiltZ+(TiltBoard*Board)</f>
        <v>-11.038461538461538</v>
      </c>
      <c r="AO28">
        <f>'77'!CJ28 +TiltFact</f>
        <v>-4.5</v>
      </c>
      <c r="AP28">
        <v>0</v>
      </c>
      <c r="AQ28">
        <f>'77'!H28</f>
        <v>-9</v>
      </c>
      <c r="AR28">
        <f t="shared" si="0"/>
        <v>-4.5</v>
      </c>
      <c r="AS28">
        <f t="shared" si="1"/>
        <v>4.5</v>
      </c>
      <c r="AT28">
        <f t="shared" si="2"/>
        <v>-0.23076923076923078</v>
      </c>
    </row>
    <row r="29" spans="1:46">
      <c r="A29" s="11">
        <v>5</v>
      </c>
      <c r="B29" s="22">
        <v>0</v>
      </c>
      <c r="C29">
        <f>'77'!K29 +TiltZ</f>
        <v>-11</v>
      </c>
      <c r="D29">
        <f>'77'!M29 +TiltZ+(TiltBoard*Board)</f>
        <v>-7.4358974358974361</v>
      </c>
      <c r="E29">
        <f>'77'!O29 +TiltZ+(TiltBoard*Board)</f>
        <v>-7.8717948717948723</v>
      </c>
      <c r="F29">
        <f>'77'!Q29 +TiltZ+(TiltBoard*Board)</f>
        <v>-7.3076923076923075</v>
      </c>
      <c r="G29">
        <f>'77'!S29 +TiltZ+(TiltBoard*Board)</f>
        <v>-5.7435897435897436</v>
      </c>
      <c r="H29">
        <f>'77'!U29 +TiltZ+(TiltBoard*Board)</f>
        <v>-4.1794871794871797</v>
      </c>
      <c r="I29">
        <f>'77'!W29 +TiltZ+(TiltBoard*Board)</f>
        <v>-3.6153846153846154</v>
      </c>
      <c r="J29">
        <f>'77'!Y29 +TiltZ+(TiltBoard*Board)</f>
        <v>-2.0512820512820511</v>
      </c>
      <c r="K29">
        <f>'77'!AA29 +TiltZ+(TiltBoard*Board)</f>
        <v>-0.48717948717948723</v>
      </c>
      <c r="L29">
        <f>'77'!AC29 +TiltZ+(TiltBoard*Board)</f>
        <v>-1.9230769230769234</v>
      </c>
      <c r="M29">
        <f>'77'!AE29 +TiltZ+(TiltBoard*Board)</f>
        <v>-1.3589743589743595</v>
      </c>
      <c r="N29">
        <f>'77'!AG29 +TiltZ+(TiltBoard*Board)</f>
        <v>-1.7948717948717947</v>
      </c>
      <c r="O29">
        <f>'77'!AI29 +TiltZ+(TiltBoard*Board)</f>
        <v>-3.2307692307692308</v>
      </c>
      <c r="P29">
        <f>'77'!AK29 +TiltZ+(TiltBoard*Board)</f>
        <v>-3.666666666666667</v>
      </c>
      <c r="Q29">
        <f>'77'!AM29 +TiltZ+(TiltBoard*Board)</f>
        <v>-5.1025641025641022</v>
      </c>
      <c r="R29">
        <f>'77'!AO29 +TiltZ+(TiltBoard*Board)</f>
        <v>-5.5384615384615383</v>
      </c>
      <c r="S29">
        <f>'77'!AQ29 +TiltZ+(TiltBoard*Board)</f>
        <v>-5.9743589743589745</v>
      </c>
      <c r="T29">
        <f>'77'!AS29 +TiltZ+(TiltBoard*Board)</f>
        <v>-5.4102564102564106</v>
      </c>
      <c r="U29">
        <f>'77'!AU29 +TiltZ+(TiltBoard*Board)</f>
        <v>-6.8461538461538467</v>
      </c>
      <c r="V29">
        <f>'77'!AW29 +TiltZ+(TiltBoard*Board)</f>
        <v>-6.2820512820512828</v>
      </c>
      <c r="W29">
        <f>'77'!AY29 +TiltZ+(TiltBoard*Board)</f>
        <v>-5.717948717948719</v>
      </c>
      <c r="X29">
        <f>'77'!BA29 +TiltZ+(TiltBoard*Board)</f>
        <v>-7.1538461538461533</v>
      </c>
      <c r="Y29">
        <f>'77'!BC29 +TiltZ+(TiltBoard*Board)</f>
        <v>-6.5897435897435894</v>
      </c>
      <c r="Z29">
        <f>'77'!BE29 +TiltZ+(TiltBoard*Board)</f>
        <v>-6.0256410256410255</v>
      </c>
      <c r="AA29">
        <f>'77'!BG29 +TiltZ+(TiltBoard*Board)</f>
        <v>-5.4615384615384617</v>
      </c>
      <c r="AB29">
        <f>'77'!BI29 +TiltZ+(TiltBoard*Board)</f>
        <v>-3.8974358974358978</v>
      </c>
      <c r="AC29">
        <f>'77'!BK29 +TiltZ+(TiltBoard*Board)</f>
        <v>-3.3333333333333339</v>
      </c>
      <c r="AD29">
        <f>'77'!BM29 +TiltZ+(TiltBoard*Board)</f>
        <v>-1.7692307692307701</v>
      </c>
      <c r="AE29">
        <f>'77'!BO29 +TiltZ+(TiltBoard*Board)</f>
        <v>-1.2051282051282044</v>
      </c>
      <c r="AF29">
        <f>'77'!BQ29 +TiltZ+(TiltBoard*Board)</f>
        <v>0.3589743589743577</v>
      </c>
      <c r="AG29">
        <f>'77'!BS29 +TiltZ+(TiltBoard*Board)</f>
        <v>2.9230769230769234</v>
      </c>
      <c r="AH29">
        <f>'77'!BU29 +TiltZ+(TiltBoard*Board)</f>
        <v>4.4871794871794854</v>
      </c>
      <c r="AI29">
        <f>'77'!BW29 +TiltZ+(TiltBoard*Board)</f>
        <v>5.0512820512820511</v>
      </c>
      <c r="AJ29">
        <f>'77'!BY29 +TiltZ+(TiltBoard*Board)</f>
        <v>6.6153846153846168</v>
      </c>
      <c r="AK29">
        <f>'77'!CA29 +TiltZ+(TiltBoard*Board)</f>
        <v>7.1794871794871788</v>
      </c>
      <c r="AL29">
        <f>'77'!CC29 +TiltZ+(TiltBoard*Board)</f>
        <v>7.7435897435897445</v>
      </c>
      <c r="AM29">
        <f>'77'!CE29 +TiltZ+(TiltBoard*Board)</f>
        <v>8.3076923076923066</v>
      </c>
      <c r="AN29">
        <f>'77'!CG29 +TiltZ+(TiltBoard*Board)</f>
        <v>8.8717948717948723</v>
      </c>
      <c r="AO29">
        <f>'77'!CI29 +TiltFact</f>
        <v>11</v>
      </c>
      <c r="AP29">
        <v>0</v>
      </c>
      <c r="AQ29">
        <f>'77'!H29</f>
        <v>22</v>
      </c>
      <c r="AR29">
        <f t="shared" si="0"/>
        <v>11</v>
      </c>
      <c r="AS29">
        <f t="shared" si="1"/>
        <v>-11</v>
      </c>
      <c r="AT29">
        <f t="shared" si="2"/>
        <v>0.5641025641025641</v>
      </c>
    </row>
    <row r="30" spans="1:46">
      <c r="A30" s="11">
        <v>3</v>
      </c>
      <c r="B30" s="22">
        <v>0</v>
      </c>
      <c r="C30">
        <f>'77'!K30 +TiltZ</f>
        <v>0.5</v>
      </c>
      <c r="D30">
        <f>'77'!M30 +TiltZ+(TiltBoard*Board)</f>
        <v>0.47435897435897434</v>
      </c>
      <c r="E30">
        <f>'77'!O30 +TiltZ+(TiltBoard*Board)</f>
        <v>0.44871794871794873</v>
      </c>
      <c r="F30">
        <f>'77'!Q30 +TiltZ+(TiltBoard*Board)</f>
        <v>-0.57692307692307687</v>
      </c>
      <c r="G30">
        <f>'77'!S30 +TiltZ+(TiltBoard*Board)</f>
        <v>-1.6025641025641026</v>
      </c>
      <c r="H30">
        <f>'77'!U30 +TiltZ+(TiltBoard*Board)</f>
        <v>-1.6282051282051282</v>
      </c>
      <c r="I30">
        <f>'77'!W30 +TiltZ+(TiltBoard*Board)</f>
        <v>-4.6538461538461542</v>
      </c>
      <c r="J30">
        <f>'77'!Y30 +TiltZ+(TiltBoard*Board)</f>
        <v>-5.6794871794871797</v>
      </c>
      <c r="K30">
        <f>'77'!AA30 +TiltZ+(TiltBoard*Board)</f>
        <v>-7.7051282051282053</v>
      </c>
      <c r="L30">
        <f>'77'!AC30 +TiltZ+(TiltBoard*Board)</f>
        <v>-11.73076923076923</v>
      </c>
      <c r="M30">
        <f>'77'!AE30 +TiltZ+(TiltBoard*Board)</f>
        <v>-13.756410256410255</v>
      </c>
      <c r="N30">
        <f>'77'!AG30 +TiltZ+(TiltBoard*Board)</f>
        <v>-16.782051282051281</v>
      </c>
      <c r="O30">
        <f>'77'!AI30 +TiltZ+(TiltBoard*Board)</f>
        <v>-19.807692307692307</v>
      </c>
      <c r="P30">
        <f>'77'!AK30 +TiltZ+(TiltBoard*Board)</f>
        <v>-23.833333333333332</v>
      </c>
      <c r="Q30">
        <f>'77'!AM30 +TiltZ+(TiltBoard*Board)</f>
        <v>-27.858974358974358</v>
      </c>
      <c r="R30">
        <f>'77'!AO30 +TiltZ+(TiltBoard*Board)</f>
        <v>-30.884615384615383</v>
      </c>
      <c r="S30">
        <f>'77'!AQ30 +TiltZ+(TiltBoard*Board)</f>
        <v>-33.910256410256409</v>
      </c>
      <c r="T30">
        <f>'77'!AS30 +TiltZ+(TiltBoard*Board)</f>
        <v>-35.935897435897438</v>
      </c>
      <c r="U30">
        <f>'77'!AU30 +TiltZ+(TiltBoard*Board)</f>
        <v>-37.96153846153846</v>
      </c>
      <c r="V30">
        <f>'77'!AW30 +TiltZ+(TiltBoard*Board)</f>
        <v>-38.987179487179489</v>
      </c>
      <c r="W30">
        <f>'77'!AY30 +TiltZ+(TiltBoard*Board)</f>
        <v>-40.012820512820511</v>
      </c>
      <c r="X30">
        <f>'77'!BA30 +TiltZ+(TiltBoard*Board)</f>
        <v>-41.03846153846154</v>
      </c>
      <c r="Y30">
        <f>'77'!BC30 +TiltZ+(TiltBoard*Board)</f>
        <v>-40.064102564102562</v>
      </c>
      <c r="Z30">
        <f>'77'!BE30 +TiltZ+(TiltBoard*Board)</f>
        <v>-39.089743589743591</v>
      </c>
      <c r="AA30">
        <f>'77'!BG30 +TiltZ+(TiltBoard*Board)</f>
        <v>-38.115384615384613</v>
      </c>
      <c r="AB30">
        <f>'77'!BI30 +TiltZ+(TiltBoard*Board)</f>
        <v>-35.141025641025642</v>
      </c>
      <c r="AC30">
        <f>'77'!BK30 +TiltZ+(TiltBoard*Board)</f>
        <v>-33.166666666666664</v>
      </c>
      <c r="AD30">
        <f>'77'!BM30 +TiltZ+(TiltBoard*Board)</f>
        <v>-31.192307692307693</v>
      </c>
      <c r="AE30">
        <f>'77'!BO30 +TiltZ+(TiltBoard*Board)</f>
        <v>-29.217948717948719</v>
      </c>
      <c r="AF30">
        <f>'77'!BQ30 +TiltZ+(TiltBoard*Board)</f>
        <v>-27.243589743589745</v>
      </c>
      <c r="AG30">
        <f>'77'!BS30 +TiltZ+(TiltBoard*Board)</f>
        <v>-24.26923076923077</v>
      </c>
      <c r="AH30">
        <f>'77'!BU30 +TiltZ+(TiltBoard*Board)</f>
        <v>-21.294871794871796</v>
      </c>
      <c r="AI30">
        <f>'77'!BW30 +TiltZ+(TiltBoard*Board)</f>
        <v>-19.320512820512821</v>
      </c>
      <c r="AJ30">
        <f>'77'!BY30 +TiltZ+(TiltBoard*Board)</f>
        <v>-15.346153846153847</v>
      </c>
      <c r="AK30">
        <f>'77'!CA30 +TiltZ+(TiltBoard*Board)</f>
        <v>-12.371794871794872</v>
      </c>
      <c r="AL30">
        <f>'77'!CC30 +TiltZ+(TiltBoard*Board)</f>
        <v>-7.3974358974358978</v>
      </c>
      <c r="AM30">
        <f>'77'!CE30 +TiltZ+(TiltBoard*Board)</f>
        <v>-5.4230769230769234</v>
      </c>
      <c r="AN30">
        <f>'77'!CG30 +TiltZ+(TiltBoard*Board)</f>
        <v>-3.4487179487179489</v>
      </c>
      <c r="AO30">
        <f>'77'!CJ30 +TiltFact</f>
        <v>-0.5</v>
      </c>
      <c r="AP30">
        <v>0</v>
      </c>
      <c r="AQ30">
        <f>'77'!H30</f>
        <v>-1</v>
      </c>
      <c r="AR30">
        <f t="shared" si="0"/>
        <v>-0.5</v>
      </c>
      <c r="AS30">
        <f t="shared" si="1"/>
        <v>0.5</v>
      </c>
      <c r="AT30">
        <f t="shared" si="2"/>
        <v>-2.564102564102564E-2</v>
      </c>
    </row>
    <row r="31" spans="1:46">
      <c r="A31" s="11">
        <v>1</v>
      </c>
      <c r="B31" s="22">
        <v>0</v>
      </c>
      <c r="C31">
        <f>'77'!K31 +TiltZ</f>
        <v>15</v>
      </c>
      <c r="D31">
        <f>'77'!M31 +TiltZ+(TiltBoard*Board)</f>
        <v>17.23076923076923</v>
      </c>
      <c r="E31">
        <f>'77'!O31 +TiltZ+(TiltBoard*Board)</f>
        <v>17.46153846153846</v>
      </c>
      <c r="F31">
        <f>'77'!Q31 +TiltZ+(TiltBoard*Board)</f>
        <v>18.692307692307693</v>
      </c>
      <c r="G31">
        <f>'77'!S31 +TiltZ+(TiltBoard*Board)</f>
        <v>20.923076923076923</v>
      </c>
      <c r="H31">
        <f>'77'!U31 +TiltZ+(TiltBoard*Board)</f>
        <v>23.153846153846153</v>
      </c>
      <c r="I31">
        <f>'77'!W31 +TiltZ+(TiltBoard*Board)</f>
        <v>22.384615384615383</v>
      </c>
      <c r="J31">
        <f>'77'!Y31 +TiltZ+(TiltBoard*Board)</f>
        <v>22.615384615384613</v>
      </c>
      <c r="K31">
        <f>'77'!AA31 +TiltZ+(TiltBoard*Board)</f>
        <v>21.846153846153847</v>
      </c>
      <c r="L31">
        <f>'77'!AC31 +TiltZ+(TiltBoard*Board)</f>
        <v>19.076923076923077</v>
      </c>
      <c r="M31">
        <f>'77'!AE31 +TiltZ+(TiltBoard*Board)</f>
        <v>16.307692307692307</v>
      </c>
      <c r="N31">
        <f>'77'!AG31 +TiltZ+(TiltBoard*Board)</f>
        <v>11.538461538461538</v>
      </c>
      <c r="O31">
        <f>'77'!AI31 +TiltZ+(TiltBoard*Board)</f>
        <v>7.7692307692307683</v>
      </c>
      <c r="P31">
        <f>'77'!AK31 +TiltZ+(TiltBoard*Board)</f>
        <v>2</v>
      </c>
      <c r="Q31">
        <f>'77'!AM31 +TiltZ+(TiltBoard*Board)</f>
        <v>-5.7692307692307701</v>
      </c>
      <c r="R31">
        <f>'77'!AO31 +TiltZ+(TiltBoard*Board)</f>
        <v>-12.538461538461538</v>
      </c>
      <c r="S31">
        <f>'77'!AQ31 +TiltZ+(TiltBoard*Board)</f>
        <v>-18.307692307692307</v>
      </c>
      <c r="T31">
        <f>'77'!AS31 +TiltZ+(TiltBoard*Board)</f>
        <v>-26.07692307692308</v>
      </c>
      <c r="U31">
        <f>'77'!AU31 +TiltZ+(TiltBoard*Board)</f>
        <v>-31.846153846153847</v>
      </c>
      <c r="V31">
        <f>'77'!AW31 +TiltZ+(TiltBoard*Board)</f>
        <v>-34.615384615384613</v>
      </c>
      <c r="W31">
        <f>'77'!AY31 +TiltZ+(TiltBoard*Board)</f>
        <v>-37.384615384615387</v>
      </c>
      <c r="X31">
        <f>'77'!BA31 +TiltZ+(TiltBoard*Board)</f>
        <v>-39.153846153846153</v>
      </c>
      <c r="Y31">
        <f>'77'!BC31 +TiltZ+(TiltBoard*Board)</f>
        <v>-40.92307692307692</v>
      </c>
      <c r="Z31">
        <f>'77'!BE31 +TiltZ+(TiltBoard*Board)</f>
        <v>-40.692307692307693</v>
      </c>
      <c r="AA31">
        <f>'77'!BG31 +TiltZ+(TiltBoard*Board)</f>
        <v>-40.461538461538467</v>
      </c>
      <c r="AB31">
        <f>'77'!BI31 +TiltZ+(TiltBoard*Board)</f>
        <v>-41.230769230769234</v>
      </c>
      <c r="AC31">
        <f>'77'!BK31 +TiltZ+(TiltBoard*Board)</f>
        <v>-39</v>
      </c>
      <c r="AD31">
        <f>'77'!BM31 +TiltZ+(TiltBoard*Board)</f>
        <v>-38.769230769230774</v>
      </c>
      <c r="AE31">
        <f>'77'!BO31 +TiltZ+(TiltBoard*Board)</f>
        <v>-35.53846153846154</v>
      </c>
      <c r="AF31">
        <f>'77'!BQ31 +TiltZ+(TiltBoard*Board)</f>
        <v>-34.307692307692307</v>
      </c>
      <c r="AG31">
        <f>'77'!BS31 +TiltZ+(TiltBoard*Board)</f>
        <v>-33.07692307692308</v>
      </c>
      <c r="AH31">
        <f>'77'!BU31 +TiltZ+(TiltBoard*Board)</f>
        <v>-29.846153846153847</v>
      </c>
      <c r="AI31">
        <f>'77'!BW31 +TiltZ+(TiltBoard*Board)</f>
        <v>-28.615384615384617</v>
      </c>
      <c r="AJ31">
        <f>'77'!BY31 +TiltZ+(TiltBoard*Board)</f>
        <v>-27.384615384615387</v>
      </c>
      <c r="AK31">
        <f>'77'!CA31 +TiltZ+(TiltBoard*Board)</f>
        <v>-25.153846153846157</v>
      </c>
      <c r="AL31">
        <f>'77'!CC31 +TiltZ+(TiltBoard*Board)</f>
        <v>-21.923076923076923</v>
      </c>
      <c r="AM31">
        <f>'77'!CE31 +TiltZ+(TiltBoard*Board)</f>
        <v>-20.692307692307693</v>
      </c>
      <c r="AN31">
        <f>'77'!CG31 +TiltZ+(TiltBoard*Board)</f>
        <v>-20.461538461538463</v>
      </c>
      <c r="AO31">
        <f>'77'!CJ31 +TiltFact</f>
        <v>-15</v>
      </c>
      <c r="AP31">
        <v>0</v>
      </c>
      <c r="AQ31">
        <f>'77'!H31</f>
        <v>-30</v>
      </c>
      <c r="AR31">
        <f t="shared" si="0"/>
        <v>-15</v>
      </c>
      <c r="AS31">
        <f t="shared" si="1"/>
        <v>15</v>
      </c>
      <c r="AT31">
        <f t="shared" si="2"/>
        <v>-0.76923076923076927</v>
      </c>
    </row>
    <row r="32" spans="1:46">
      <c r="D32">
        <v>1</v>
      </c>
      <c r="E32">
        <v>2</v>
      </c>
      <c r="F32">
        <v>3</v>
      </c>
      <c r="G32">
        <v>4</v>
      </c>
      <c r="H32">
        <v>5</v>
      </c>
      <c r="I32">
        <v>6</v>
      </c>
      <c r="J32">
        <v>7</v>
      </c>
      <c r="K32">
        <v>8</v>
      </c>
      <c r="L32">
        <v>9</v>
      </c>
      <c r="M32">
        <v>10</v>
      </c>
      <c r="N32">
        <v>11</v>
      </c>
      <c r="O32">
        <v>12</v>
      </c>
      <c r="P32">
        <v>13</v>
      </c>
      <c r="Q32">
        <v>14</v>
      </c>
      <c r="R32">
        <v>15</v>
      </c>
      <c r="S32">
        <v>16</v>
      </c>
      <c r="T32">
        <v>17</v>
      </c>
      <c r="U32">
        <v>18</v>
      </c>
      <c r="V32">
        <v>19</v>
      </c>
      <c r="W32">
        <v>20</v>
      </c>
      <c r="X32">
        <v>21</v>
      </c>
      <c r="Y32">
        <v>22</v>
      </c>
      <c r="Z32">
        <v>23</v>
      </c>
      <c r="AA32">
        <v>24</v>
      </c>
      <c r="AB32">
        <v>25</v>
      </c>
      <c r="AC32">
        <v>26</v>
      </c>
      <c r="AD32">
        <v>27</v>
      </c>
      <c r="AE32">
        <v>28</v>
      </c>
      <c r="AF32">
        <v>29</v>
      </c>
      <c r="AG32">
        <v>30</v>
      </c>
      <c r="AH32">
        <v>31</v>
      </c>
      <c r="AI32">
        <v>32</v>
      </c>
      <c r="AJ32">
        <v>33</v>
      </c>
      <c r="AK32">
        <v>34</v>
      </c>
      <c r="AL32">
        <v>35</v>
      </c>
      <c r="AM32">
        <v>36</v>
      </c>
      <c r="AN32">
        <v>37</v>
      </c>
    </row>
  </sheetData>
  <sheetProtection selectLockedCells="1"/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C932"/>
  <sheetViews>
    <sheetView topLeftCell="R7" zoomScale="80" zoomScaleNormal="80" workbookViewId="0">
      <selection activeCell="AG26" sqref="AG26"/>
    </sheetView>
  </sheetViews>
  <sheetFormatPr defaultRowHeight="12.75"/>
  <cols>
    <col min="1" max="1" width="29.140625" customWidth="1"/>
    <col min="2" max="2" width="9.140625" style="111" customWidth="1"/>
    <col min="6" max="6" width="9.140625" style="111" customWidth="1"/>
    <col min="10" max="10" width="9.140625" style="111"/>
    <col min="14" max="14" width="9.140625" style="111"/>
    <col min="18" max="18" width="9.140625" style="111"/>
    <col min="19" max="19" width="4.85546875" style="128" customWidth="1"/>
    <col min="20" max="20" width="9.140625" style="117" customWidth="1"/>
    <col min="21" max="21" width="9.140625" style="117"/>
    <col min="22" max="22" width="4.85546875" style="129" customWidth="1"/>
    <col min="23" max="23" width="4.85546875" style="114" customWidth="1"/>
    <col min="25" max="29" width="0" hidden="1" customWidth="1"/>
  </cols>
  <sheetData>
    <row r="1" spans="1:107">
      <c r="T1" s="114"/>
      <c r="U1" s="114"/>
      <c r="BV1" s="121" t="s">
        <v>214</v>
      </c>
      <c r="BW1" s="121" t="s">
        <v>213</v>
      </c>
      <c r="BX1" s="121" t="s">
        <v>212</v>
      </c>
      <c r="BY1" s="121" t="s">
        <v>211</v>
      </c>
      <c r="BZ1" s="121" t="s">
        <v>210</v>
      </c>
      <c r="CA1" s="121" t="s">
        <v>209</v>
      </c>
      <c r="CB1" s="121" t="s">
        <v>208</v>
      </c>
      <c r="CC1" s="121" t="s">
        <v>207</v>
      </c>
      <c r="CD1" s="121" t="s">
        <v>206</v>
      </c>
      <c r="CE1" s="121" t="s">
        <v>205</v>
      </c>
      <c r="CF1" s="121" t="s">
        <v>204</v>
      </c>
      <c r="CG1" s="121" t="s">
        <v>203</v>
      </c>
      <c r="CH1" s="121" t="s">
        <v>202</v>
      </c>
      <c r="CI1" s="121" t="s">
        <v>201</v>
      </c>
      <c r="CJ1" s="121" t="s">
        <v>200</v>
      </c>
      <c r="CK1" s="121" t="s">
        <v>199</v>
      </c>
      <c r="CL1" s="121" t="s">
        <v>198</v>
      </c>
      <c r="CM1" s="121" t="s">
        <v>197</v>
      </c>
      <c r="CN1" s="121" t="s">
        <v>196</v>
      </c>
      <c r="CO1" s="121" t="s">
        <v>195</v>
      </c>
      <c r="CP1" s="121" t="s">
        <v>194</v>
      </c>
      <c r="CQ1" s="121" t="s">
        <v>193</v>
      </c>
      <c r="CR1" s="121" t="s">
        <v>183</v>
      </c>
      <c r="CS1" s="121" t="s">
        <v>184</v>
      </c>
      <c r="CT1" s="121" t="s">
        <v>185</v>
      </c>
      <c r="CU1" s="121" t="s">
        <v>186</v>
      </c>
      <c r="CV1" s="121" t="s">
        <v>187</v>
      </c>
      <c r="CW1" s="121" t="s">
        <v>188</v>
      </c>
      <c r="CX1" s="121" t="s">
        <v>189</v>
      </c>
      <c r="CY1" s="121" t="s">
        <v>190</v>
      </c>
      <c r="CZ1" s="121" t="s">
        <v>191</v>
      </c>
      <c r="DA1" s="121" t="s">
        <v>192</v>
      </c>
      <c r="DB1" s="121"/>
    </row>
    <row r="2" spans="1:107" ht="25.5">
      <c r="I2" s="116" t="s">
        <v>173</v>
      </c>
      <c r="T2" s="125" t="s">
        <v>172</v>
      </c>
      <c r="U2" s="114"/>
      <c r="AD2" s="121" t="s">
        <v>149</v>
      </c>
      <c r="AE2" s="122"/>
      <c r="AF2" s="121" t="s">
        <v>148</v>
      </c>
      <c r="AG2" s="122"/>
      <c r="AH2" s="121" t="s">
        <v>147</v>
      </c>
      <c r="AI2" s="122"/>
      <c r="AJ2" s="121" t="s">
        <v>146</v>
      </c>
      <c r="AK2" s="122"/>
      <c r="AL2" s="121" t="s">
        <v>145</v>
      </c>
      <c r="AM2" s="122"/>
      <c r="AN2" s="121" t="s">
        <v>144</v>
      </c>
      <c r="AO2" s="122"/>
      <c r="AP2" s="121" t="s">
        <v>143</v>
      </c>
      <c r="AQ2" s="122"/>
      <c r="AR2" s="121" t="s">
        <v>142</v>
      </c>
      <c r="AS2" s="122"/>
      <c r="AT2" s="121" t="s">
        <v>141</v>
      </c>
      <c r="AU2" s="122"/>
      <c r="AV2" s="121" t="s">
        <v>140</v>
      </c>
      <c r="AW2" s="122"/>
      <c r="AX2" s="121" t="s">
        <v>139</v>
      </c>
      <c r="AY2" s="122"/>
      <c r="AZ2" s="121" t="s">
        <v>138</v>
      </c>
      <c r="BA2" s="121"/>
      <c r="BB2" s="121" t="s">
        <v>137</v>
      </c>
      <c r="BC2" s="122"/>
      <c r="BD2" s="121" t="s">
        <v>136</v>
      </c>
      <c r="BE2" s="122"/>
      <c r="BF2" s="121" t="s">
        <v>131</v>
      </c>
      <c r="BG2" s="122"/>
      <c r="BH2" s="121" t="s">
        <v>132</v>
      </c>
      <c r="BI2" s="122"/>
      <c r="BJ2" s="121" t="s">
        <v>133</v>
      </c>
      <c r="BK2" s="122"/>
      <c r="BL2" s="121" t="s">
        <v>134</v>
      </c>
      <c r="BM2" s="122"/>
      <c r="BN2" s="121" t="s">
        <v>135</v>
      </c>
      <c r="BO2" s="122"/>
      <c r="BP2" s="122"/>
      <c r="BQ2" s="122"/>
      <c r="BR2" s="121" t="s">
        <v>150</v>
      </c>
      <c r="BS2" s="122"/>
      <c r="BT2" s="121" t="s">
        <v>151</v>
      </c>
      <c r="BU2" s="122"/>
      <c r="BV2" s="121" t="s">
        <v>152</v>
      </c>
      <c r="BW2" s="122"/>
      <c r="BX2" s="121" t="s">
        <v>153</v>
      </c>
      <c r="BY2" s="122"/>
      <c r="BZ2" s="121" t="s">
        <v>154</v>
      </c>
      <c r="CA2" s="122"/>
      <c r="CB2" s="121" t="s">
        <v>155</v>
      </c>
      <c r="CC2" s="122"/>
      <c r="CD2" s="121" t="s">
        <v>156</v>
      </c>
      <c r="CE2" s="122"/>
      <c r="CF2" s="121" t="s">
        <v>157</v>
      </c>
      <c r="CG2" s="122"/>
      <c r="CH2" s="121" t="s">
        <v>158</v>
      </c>
      <c r="CI2" s="122"/>
      <c r="CJ2" s="121" t="s">
        <v>159</v>
      </c>
      <c r="CK2" s="122"/>
      <c r="CL2" s="121" t="s">
        <v>160</v>
      </c>
      <c r="CM2" s="122"/>
      <c r="CN2" s="121" t="s">
        <v>161</v>
      </c>
      <c r="CO2" s="122"/>
      <c r="CP2" s="121" t="s">
        <v>162</v>
      </c>
      <c r="CQ2" s="122"/>
      <c r="CR2" s="121" t="s">
        <v>163</v>
      </c>
      <c r="CS2" s="122"/>
      <c r="CT2" s="121" t="s">
        <v>164</v>
      </c>
      <c r="CU2" s="122"/>
      <c r="CV2" s="121" t="s">
        <v>165</v>
      </c>
      <c r="CW2" s="122"/>
      <c r="CX2" s="121" t="s">
        <v>166</v>
      </c>
      <c r="CY2" s="122"/>
      <c r="CZ2" s="121" t="s">
        <v>167</v>
      </c>
      <c r="DA2" s="122"/>
      <c r="DB2" s="121" t="s">
        <v>168</v>
      </c>
    </row>
    <row r="3" spans="1:107">
      <c r="T3" s="114"/>
      <c r="U3" s="114"/>
      <c r="X3" s="120" t="str">
        <f>'77'!D41</f>
        <v>Distance</v>
      </c>
      <c r="Y3" s="120">
        <f>'77'!E41</f>
        <v>0</v>
      </c>
      <c r="Z3" s="120">
        <f>'77'!F41</f>
        <v>0</v>
      </c>
      <c r="AA3" s="120">
        <f>'77'!G41</f>
        <v>0</v>
      </c>
      <c r="AB3" s="120">
        <f>'77'!H41</f>
        <v>0</v>
      </c>
      <c r="AC3" s="120">
        <f>'77'!I41</f>
        <v>0</v>
      </c>
      <c r="AD3" s="120" t="str">
        <f>'77'!K41</f>
        <v>L1</v>
      </c>
      <c r="AE3" s="120" t="str">
        <f>'77'!L41</f>
        <v>L1.5</v>
      </c>
      <c r="AF3" s="120" t="str">
        <f>'77'!M41</f>
        <v>L2</v>
      </c>
      <c r="AG3" s="120" t="str">
        <f>'77'!N41</f>
        <v>L2.5</v>
      </c>
      <c r="AH3" s="120" t="str">
        <f>'77'!O41</f>
        <v>L3</v>
      </c>
      <c r="AI3" s="120" t="str">
        <f>'77'!P41</f>
        <v>L3.5</v>
      </c>
      <c r="AJ3" s="120" t="str">
        <f>'77'!Q41</f>
        <v>L4</v>
      </c>
      <c r="AK3" s="120" t="str">
        <f>'77'!R41</f>
        <v>L4.5</v>
      </c>
      <c r="AL3" s="120" t="str">
        <f>'77'!S41</f>
        <v>L5</v>
      </c>
      <c r="AM3" s="120" t="str">
        <f>'77'!T41</f>
        <v>L5.5</v>
      </c>
      <c r="AN3" s="120" t="str">
        <f>'77'!U41</f>
        <v>L6</v>
      </c>
      <c r="AO3" s="120" t="str">
        <f>'77'!V41</f>
        <v>L6.5</v>
      </c>
      <c r="AP3" s="120" t="str">
        <f>'77'!W41</f>
        <v>L7</v>
      </c>
      <c r="AQ3" s="120" t="str">
        <f>'77'!X41</f>
        <v>L7.5</v>
      </c>
      <c r="AR3" s="120" t="str">
        <f>'77'!Y41</f>
        <v>L8</v>
      </c>
      <c r="AS3" s="120" t="str">
        <f>'77'!Z41</f>
        <v>L8.5</v>
      </c>
      <c r="AT3" s="120" t="str">
        <f>'77'!AA41</f>
        <v>L9</v>
      </c>
      <c r="AU3" s="120" t="str">
        <f>'77'!AB41</f>
        <v>L9.5</v>
      </c>
      <c r="AV3" s="120" t="str">
        <f>'77'!AC41</f>
        <v>L10</v>
      </c>
      <c r="AW3" s="120" t="str">
        <f>'77'!AD41</f>
        <v>L10.5</v>
      </c>
      <c r="AX3" s="120" t="str">
        <f>'77'!AE41</f>
        <v>L11</v>
      </c>
      <c r="AY3" s="120" t="str">
        <f>'77'!AF41</f>
        <v>L11.5</v>
      </c>
      <c r="AZ3" s="120" t="str">
        <f>'77'!AG41</f>
        <v>L12</v>
      </c>
      <c r="BA3" s="120" t="str">
        <f>'77'!AH41</f>
        <v>L12.5</v>
      </c>
      <c r="BB3" s="120" t="str">
        <f>'77'!AI41</f>
        <v>L13</v>
      </c>
      <c r="BC3" s="120" t="str">
        <f>'77'!AJ41</f>
        <v>L13.5</v>
      </c>
      <c r="BD3" s="120" t="str">
        <f>'77'!AK41</f>
        <v>L14</v>
      </c>
      <c r="BE3" s="120" t="str">
        <f>'77'!AL41</f>
        <v>L14.5</v>
      </c>
      <c r="BF3" s="120" t="str">
        <f>'77'!AM41</f>
        <v>L15</v>
      </c>
      <c r="BG3" s="120" t="str">
        <f>'77'!AN41</f>
        <v>L15.5</v>
      </c>
      <c r="BH3" s="120" t="str">
        <f>'77'!AO41</f>
        <v>L16</v>
      </c>
      <c r="BI3" s="120" t="str">
        <f>'77'!AP41</f>
        <v>L16.5</v>
      </c>
      <c r="BJ3" s="120" t="str">
        <f>'77'!AQ41</f>
        <v>L17</v>
      </c>
      <c r="BK3" s="120" t="str">
        <f>'77'!AR41</f>
        <v>L17.5</v>
      </c>
      <c r="BL3" s="120" t="str">
        <f>'77'!AS41</f>
        <v>L18</v>
      </c>
      <c r="BM3" s="120" t="str">
        <f>'77'!AT41</f>
        <v>L18.5</v>
      </c>
      <c r="BN3" s="120" t="str">
        <f>'77'!AU41</f>
        <v>L19</v>
      </c>
      <c r="BO3" s="120" t="str">
        <f>'77'!AV41</f>
        <v>L19.5</v>
      </c>
      <c r="BP3" s="120">
        <f>'77'!AW41</f>
        <v>20</v>
      </c>
      <c r="BQ3" s="120" t="str">
        <f>'77'!AX41</f>
        <v>R19.5</v>
      </c>
      <c r="BR3" s="120" t="str">
        <f>'77'!AY41</f>
        <v>R19</v>
      </c>
      <c r="BS3" s="120" t="str">
        <f>'77'!AZ41</f>
        <v>R18.5</v>
      </c>
      <c r="BT3" s="120" t="str">
        <f>'77'!BA41</f>
        <v>R18</v>
      </c>
      <c r="BU3" s="120" t="str">
        <f>'77'!BB41</f>
        <v>R17.5</v>
      </c>
      <c r="BV3" s="120" t="str">
        <f>'77'!BC41</f>
        <v>R17</v>
      </c>
      <c r="BW3" s="120" t="str">
        <f>'77'!BD41</f>
        <v>R16.5</v>
      </c>
      <c r="BX3" s="120" t="str">
        <f>'77'!BE41</f>
        <v>R16</v>
      </c>
      <c r="BY3" s="120" t="str">
        <f>'77'!BF41</f>
        <v>R15.5</v>
      </c>
      <c r="BZ3" s="120" t="str">
        <f>'77'!BG41</f>
        <v>R15</v>
      </c>
      <c r="CA3" s="120" t="str">
        <f>'77'!BH41</f>
        <v>R14.5</v>
      </c>
      <c r="CB3" s="120" t="str">
        <f>'77'!BI41</f>
        <v>R14</v>
      </c>
      <c r="CC3" s="120" t="str">
        <f>'77'!BJ41</f>
        <v>R13.5</v>
      </c>
      <c r="CD3" s="120" t="str">
        <f>'77'!BK41</f>
        <v>R13</v>
      </c>
      <c r="CE3" s="120" t="str">
        <f>'77'!BL41</f>
        <v>R12.5</v>
      </c>
      <c r="CF3" s="120" t="str">
        <f>'77'!BM41</f>
        <v>R12</v>
      </c>
      <c r="CG3" s="120" t="str">
        <f>'77'!BN41</f>
        <v>R11.5</v>
      </c>
      <c r="CH3" s="120" t="str">
        <f>'77'!BO41</f>
        <v>R11</v>
      </c>
      <c r="CI3" s="120" t="str">
        <f>'77'!BP41</f>
        <v>R10.5</v>
      </c>
      <c r="CJ3" s="120" t="str">
        <f>'77'!BQ41</f>
        <v>R10</v>
      </c>
      <c r="CK3" s="120" t="str">
        <f>'77'!BR41</f>
        <v>R9.5</v>
      </c>
      <c r="CL3" s="120" t="str">
        <f>'77'!BS41</f>
        <v>R9</v>
      </c>
      <c r="CM3" s="120" t="str">
        <f>'77'!BT41</f>
        <v>R8.5</v>
      </c>
      <c r="CN3" s="120" t="str">
        <f>'77'!BU41</f>
        <v>R8</v>
      </c>
      <c r="CO3" s="120" t="str">
        <f>'77'!BV41</f>
        <v>R7.5</v>
      </c>
      <c r="CP3" s="120" t="str">
        <f>'77'!BW41</f>
        <v>R7</v>
      </c>
      <c r="CQ3" s="120" t="str">
        <f>'77'!BX41</f>
        <v>R6.5</v>
      </c>
      <c r="CR3" s="120" t="str">
        <f>'77'!BY41</f>
        <v>R6</v>
      </c>
      <c r="CS3" s="120" t="str">
        <f>'77'!BZ41</f>
        <v>R5.5</v>
      </c>
      <c r="CT3" s="120" t="str">
        <f>'77'!CA41</f>
        <v>R5</v>
      </c>
      <c r="CU3" s="120" t="str">
        <f>'77'!CB41</f>
        <v>R4.5</v>
      </c>
      <c r="CV3" s="120" t="str">
        <f>'77'!CC41</f>
        <v>R4</v>
      </c>
      <c r="CW3" s="120" t="str">
        <f>'77'!CD41</f>
        <v>R3.5</v>
      </c>
      <c r="CX3" s="120" t="str">
        <f>'77'!CE41</f>
        <v>R3</v>
      </c>
      <c r="CY3" s="120" t="str">
        <f>'77'!CF41</f>
        <v>R2.5</v>
      </c>
      <c r="CZ3" s="120" t="str">
        <f>'77'!CG41</f>
        <v>R2</v>
      </c>
      <c r="DA3" s="120" t="str">
        <f>'77'!CH41</f>
        <v>R1.5</v>
      </c>
      <c r="DB3" s="120" t="str">
        <f>'77'!CI41</f>
        <v>R1</v>
      </c>
      <c r="DC3" s="120" t="s">
        <v>3</v>
      </c>
    </row>
    <row r="4" spans="1:107">
      <c r="B4" s="111" t="s">
        <v>127</v>
      </c>
      <c r="F4" s="113" t="s">
        <v>128</v>
      </c>
      <c r="N4" s="111" t="s">
        <v>129</v>
      </c>
      <c r="T4" s="114"/>
      <c r="U4" s="114"/>
      <c r="X4" s="118">
        <f>'77'!D42</f>
        <v>59</v>
      </c>
      <c r="Y4" s="74">
        <f>'77'!E42</f>
        <v>0</v>
      </c>
      <c r="Z4" s="74">
        <f>'77'!F42</f>
        <v>0</v>
      </c>
      <c r="AA4" s="74">
        <f>'77'!G42</f>
        <v>0</v>
      </c>
      <c r="AB4" s="74">
        <f>'77'!H42</f>
        <v>0</v>
      </c>
      <c r="AC4" s="74">
        <f>'77'!I42</f>
        <v>0</v>
      </c>
      <c r="AD4" s="74">
        <f>'77'!K42</f>
        <v>3.8461538461538464E-2</v>
      </c>
      <c r="AE4" s="74">
        <f>'77'!L42</f>
        <v>1.0384615384615385</v>
      </c>
      <c r="AF4" s="74">
        <f>'77'!M42</f>
        <v>-3.9615384615384617</v>
      </c>
      <c r="AG4" s="74">
        <f>'77'!N42</f>
        <v>3.8461538461538325E-2</v>
      </c>
      <c r="AH4" s="74">
        <f>'77'!O42</f>
        <v>1.0384615384615383</v>
      </c>
      <c r="AI4" s="74">
        <f>'77'!P42</f>
        <v>3.8461538461538325E-2</v>
      </c>
      <c r="AJ4" s="74">
        <f>'77'!Q42</f>
        <v>3.8461538461538325E-2</v>
      </c>
      <c r="AK4" s="74">
        <f>'77'!R42</f>
        <v>-0.96153846153846168</v>
      </c>
      <c r="AL4" s="74">
        <f>'77'!S42</f>
        <v>3.8461538461538325E-2</v>
      </c>
      <c r="AM4" s="74">
        <f>'77'!T42</f>
        <v>-0.96153846153846168</v>
      </c>
      <c r="AN4" s="74">
        <f>'77'!U42</f>
        <v>3.8461538461538325E-2</v>
      </c>
      <c r="AO4" s="74">
        <f>'77'!V42</f>
        <v>3.8461538461538325E-2</v>
      </c>
      <c r="AP4" s="74">
        <f>'77'!W42</f>
        <v>3.8461538461538325E-2</v>
      </c>
      <c r="AQ4" s="74">
        <f>'77'!X42</f>
        <v>-0.96153846153846168</v>
      </c>
      <c r="AR4" s="74">
        <f>'77'!Y42</f>
        <v>3.8461538461538325E-2</v>
      </c>
      <c r="AS4" s="74">
        <f>'77'!Z42</f>
        <v>-0.96153846153846168</v>
      </c>
      <c r="AT4" s="74">
        <f>'77'!AA42</f>
        <v>3.8461538461538325E-2</v>
      </c>
      <c r="AU4" s="74">
        <f>'77'!AB42</f>
        <v>1.0384615384615383</v>
      </c>
      <c r="AV4" s="74">
        <f>'77'!AC42</f>
        <v>1.0384615384615383</v>
      </c>
      <c r="AW4" s="74">
        <f>'77'!AD42</f>
        <v>3.8461538461538325E-2</v>
      </c>
      <c r="AX4" s="74">
        <f>'77'!AE42</f>
        <v>3.8461538461538325E-2</v>
      </c>
      <c r="AY4" s="74">
        <f>'77'!AF42</f>
        <v>3.8461538461538325E-2</v>
      </c>
      <c r="AZ4" s="74">
        <f>'77'!AG42</f>
        <v>1.0384615384615383</v>
      </c>
      <c r="BA4" s="74">
        <f>'77'!AH42</f>
        <v>1.0384615384615383</v>
      </c>
      <c r="BB4" s="74">
        <f>'77'!AI42</f>
        <v>1.0384615384615383</v>
      </c>
      <c r="BC4" s="74">
        <f>'77'!AJ42</f>
        <v>3.8461538461538547E-2</v>
      </c>
      <c r="BD4" s="74">
        <f>'77'!AK42</f>
        <v>1.0384615384615385</v>
      </c>
      <c r="BE4" s="74">
        <f>'77'!AL42</f>
        <v>1.0384615384615385</v>
      </c>
      <c r="BF4" s="74">
        <f>'77'!AM42</f>
        <v>1.0384615384615383</v>
      </c>
      <c r="BG4" s="74">
        <f>'77'!AN42</f>
        <v>3.8461538461538547E-2</v>
      </c>
      <c r="BH4" s="74">
        <f>'77'!AO42</f>
        <v>1.0384615384615385</v>
      </c>
      <c r="BI4" s="74">
        <f>'77'!AP42</f>
        <v>3.8461538461538325E-2</v>
      </c>
      <c r="BJ4" s="74">
        <f>'77'!AQ42</f>
        <v>1.0384615384615383</v>
      </c>
      <c r="BK4" s="74">
        <f>'77'!AR42</f>
        <v>3.8461538461538325E-2</v>
      </c>
      <c r="BL4" s="74">
        <f>'77'!AS42</f>
        <v>3.8461538461538325E-2</v>
      </c>
      <c r="BM4" s="74">
        <f>'77'!AT42</f>
        <v>1.0384615384615383</v>
      </c>
      <c r="BN4" s="74">
        <f>'77'!AU42</f>
        <v>1.0384615384615383</v>
      </c>
      <c r="BO4" s="74">
        <f>'77'!AV42</f>
        <v>3.8461538461538325E-2</v>
      </c>
      <c r="BP4" s="74">
        <f>'77'!AW42</f>
        <v>3.8461538461538325E-2</v>
      </c>
      <c r="BQ4" s="74">
        <f>'77'!AX42</f>
        <v>3.8461538461538325E-2</v>
      </c>
      <c r="BR4" s="74">
        <f>'77'!AY42</f>
        <v>3.8461538461538325E-2</v>
      </c>
      <c r="BS4" s="74">
        <f>'77'!AZ42</f>
        <v>1.0384615384615383</v>
      </c>
      <c r="BT4" s="74">
        <f>'77'!BA42</f>
        <v>1.0384615384615383</v>
      </c>
      <c r="BU4" s="74">
        <f>'77'!BB42</f>
        <v>3.8461538461538325E-2</v>
      </c>
      <c r="BV4" s="74">
        <f>'77'!BC42</f>
        <v>3.8461538461538325E-2</v>
      </c>
      <c r="BW4" s="74">
        <f>'77'!BD42</f>
        <v>3.8461538461538325E-2</v>
      </c>
      <c r="BX4" s="74">
        <f>'77'!BE42</f>
        <v>3.8461538461538325E-2</v>
      </c>
      <c r="BY4" s="74">
        <f>'77'!BF42</f>
        <v>3.8461538461538325E-2</v>
      </c>
      <c r="BZ4" s="74">
        <f>'77'!BG42</f>
        <v>3.8461538461538325E-2</v>
      </c>
      <c r="CA4" s="74">
        <f>'77'!BH42</f>
        <v>-0.96153846153846168</v>
      </c>
      <c r="CB4" s="74">
        <f>'77'!BI42</f>
        <v>3.8461538461538325E-2</v>
      </c>
      <c r="CC4" s="74">
        <f>'77'!BJ42</f>
        <v>3.8461538461538325E-2</v>
      </c>
      <c r="CD4" s="74">
        <f>'77'!BK42</f>
        <v>3.8461538461538325E-2</v>
      </c>
      <c r="CE4" s="74">
        <f>'77'!BL42</f>
        <v>-0.96153846153846168</v>
      </c>
      <c r="CF4" s="74">
        <f>'77'!BM42</f>
        <v>3.8461538461538325E-2</v>
      </c>
      <c r="CG4" s="74">
        <f>'77'!BN42</f>
        <v>3.8461538461538325E-2</v>
      </c>
      <c r="CH4" s="74">
        <f>'77'!BO42</f>
        <v>3.8461538461538325E-2</v>
      </c>
      <c r="CI4" s="74">
        <f>'77'!BP42</f>
        <v>-0.96153846153846168</v>
      </c>
      <c r="CJ4" s="74">
        <f>'77'!BQ42</f>
        <v>3.8461538461538325E-2</v>
      </c>
      <c r="CK4" s="74">
        <f>'77'!BR42</f>
        <v>-0.96153846153846168</v>
      </c>
      <c r="CL4" s="74">
        <f>'77'!BS42</f>
        <v>-0.96153846153846168</v>
      </c>
      <c r="CM4" s="74">
        <f>'77'!BT42</f>
        <v>3.8461538461538325E-2</v>
      </c>
      <c r="CN4" s="74">
        <f>'77'!BU42</f>
        <v>-0.96153846153846168</v>
      </c>
      <c r="CO4" s="74">
        <f>'77'!BV42</f>
        <v>3.8461538461538547E-2</v>
      </c>
      <c r="CP4" s="74">
        <f>'77'!BW42</f>
        <v>3.8461538461538547E-2</v>
      </c>
      <c r="CQ4" s="74">
        <f>'77'!BX42</f>
        <v>-0.96153846153846145</v>
      </c>
      <c r="CR4" s="74">
        <f>'77'!BY42</f>
        <v>3.8461538461538436E-2</v>
      </c>
      <c r="CS4" s="74">
        <f>'77'!BZ42</f>
        <v>3.8461538461538436E-2</v>
      </c>
      <c r="CT4" s="74">
        <f>'77'!CA42</f>
        <v>3.8461538461538436E-2</v>
      </c>
      <c r="CU4" s="74">
        <f>'77'!CB42</f>
        <v>3.8461538461538436E-2</v>
      </c>
      <c r="CV4" s="74">
        <f>'77'!CC42</f>
        <v>3.8461538461538436E-2</v>
      </c>
      <c r="CW4" s="74">
        <f>'77'!CD42</f>
        <v>3.8461538461538436E-2</v>
      </c>
      <c r="CX4" s="74">
        <f>'77'!CE42</f>
        <v>3.8461538461538436E-2</v>
      </c>
      <c r="CY4" s="74">
        <f>'77'!CF42</f>
        <v>3.8461538461538436E-2</v>
      </c>
      <c r="CZ4" s="74">
        <f>'77'!CG42</f>
        <v>3.8461538461538436E-2</v>
      </c>
      <c r="DA4" s="74">
        <f>'77'!CH42</f>
        <v>-0.96153846153846156</v>
      </c>
      <c r="DB4" s="74">
        <f>'77'!CI42</f>
        <v>3.8461538461538464E-2</v>
      </c>
      <c r="DC4" s="118">
        <v>58.5</v>
      </c>
    </row>
    <row r="5" spans="1:107">
      <c r="A5" s="112" t="s">
        <v>126</v>
      </c>
      <c r="B5" s="114">
        <v>0</v>
      </c>
      <c r="C5" s="74">
        <f t="shared" ref="C5" si="0">SUM(0.25*(F5-B5),B5)</f>
        <v>3.75</v>
      </c>
      <c r="D5" s="74">
        <f t="shared" ref="D5" si="1">SUM(0.5*(F5-B5)+B5)</f>
        <v>7.5</v>
      </c>
      <c r="E5" s="74">
        <f t="shared" ref="E5" si="2">SUM(0.75*(F5-B5),B5)</f>
        <v>11.25</v>
      </c>
      <c r="F5" s="114">
        <v>15</v>
      </c>
      <c r="G5" s="74">
        <f t="shared" ref="G5" si="3">SUM(0.25*(J5-F5),F5)</f>
        <v>18.75</v>
      </c>
      <c r="H5" s="74">
        <f t="shared" ref="H5" si="4">SUM(0.5*(J5-F5)+F5)</f>
        <v>22.5</v>
      </c>
      <c r="I5" s="74">
        <f t="shared" ref="I5" si="5">SUM(0.75*(J5-F5),F5)</f>
        <v>26.25</v>
      </c>
      <c r="J5" s="114">
        <v>30</v>
      </c>
      <c r="K5" s="74">
        <f t="shared" ref="K5" si="6">SUM(0.25*(N5-J5),J5)</f>
        <v>33.75</v>
      </c>
      <c r="L5" s="74">
        <f t="shared" ref="L5" si="7">SUM(0.5*(N5-J5)+J5)</f>
        <v>37.5</v>
      </c>
      <c r="M5" s="74">
        <f t="shared" ref="M5" si="8">SUM(0.75*(N5-J5),J5)</f>
        <v>41.25</v>
      </c>
      <c r="N5" s="114">
        <v>45</v>
      </c>
      <c r="O5" s="74">
        <f>SUM(0.25*(R5-N5),N5)</f>
        <v>48.75</v>
      </c>
      <c r="P5" s="74">
        <f>SUM(0.5*(R5-N5)+N5)</f>
        <v>52.5</v>
      </c>
      <c r="Q5" s="74">
        <f>SUM(0.75*(R5-N5),N5)</f>
        <v>56.25</v>
      </c>
      <c r="R5" s="114">
        <v>60</v>
      </c>
      <c r="S5" s="129"/>
      <c r="T5" s="114" t="s">
        <v>174</v>
      </c>
      <c r="U5" s="114"/>
      <c r="X5" s="118">
        <f>'77'!D44</f>
        <v>55</v>
      </c>
      <c r="Y5" s="74">
        <f>'77'!E44</f>
        <v>0</v>
      </c>
      <c r="Z5" s="74">
        <f>'77'!F44</f>
        <v>0</v>
      </c>
      <c r="AA5" s="74">
        <f>'77'!G44</f>
        <v>0</v>
      </c>
      <c r="AB5" s="74">
        <f>'77'!H44</f>
        <v>0</v>
      </c>
      <c r="AC5" s="74">
        <f>'77'!I44</f>
        <v>0</v>
      </c>
      <c r="AD5" s="74">
        <f>'77'!K44</f>
        <v>-0.29487179487179488</v>
      </c>
      <c r="AE5" s="74">
        <f>'77'!L44</f>
        <v>-0.29487179487179488</v>
      </c>
      <c r="AF5" s="74">
        <f>'77'!M44</f>
        <v>-1.2948717948717949</v>
      </c>
      <c r="AG5" s="74">
        <f>'77'!N44</f>
        <v>-1.2948717948717949</v>
      </c>
      <c r="AH5" s="74">
        <f>'77'!O44</f>
        <v>-0.29487179487179493</v>
      </c>
      <c r="AI5" s="74">
        <f>'77'!P44</f>
        <v>-0.29487179487179493</v>
      </c>
      <c r="AJ5" s="74">
        <f>'77'!Q44</f>
        <v>-1.2948717948717949</v>
      </c>
      <c r="AK5" s="74">
        <f>'77'!R44</f>
        <v>-1.2948717948717947</v>
      </c>
      <c r="AL5" s="74">
        <f>'77'!S44</f>
        <v>-1.2948717948717947</v>
      </c>
      <c r="AM5" s="74">
        <f>'77'!T44</f>
        <v>-1.2948717948717947</v>
      </c>
      <c r="AN5" s="74">
        <f>'77'!U44</f>
        <v>-1.2948717948717947</v>
      </c>
      <c r="AO5" s="74">
        <f>'77'!V44</f>
        <v>-0.29487179487179471</v>
      </c>
      <c r="AP5" s="74">
        <f>'77'!W44</f>
        <v>-0.29487179487179471</v>
      </c>
      <c r="AQ5" s="74">
        <f>'77'!X44</f>
        <v>-1.2948717948717947</v>
      </c>
      <c r="AR5" s="74">
        <f>'77'!Y44</f>
        <v>-1.2948717948717947</v>
      </c>
      <c r="AS5" s="74">
        <f>'77'!Z44</f>
        <v>-1.2948717948717956</v>
      </c>
      <c r="AT5" s="74">
        <f>'77'!AA44</f>
        <v>-0.2948717948717956</v>
      </c>
      <c r="AU5" s="74">
        <f>'77'!AB44</f>
        <v>-0.2948717948717956</v>
      </c>
      <c r="AV5" s="74">
        <f>'77'!AC44</f>
        <v>0.7051282051282044</v>
      </c>
      <c r="AW5" s="74">
        <f>'77'!AD44</f>
        <v>-0.2948717948717956</v>
      </c>
      <c r="AX5" s="74">
        <f>'77'!AE44</f>
        <v>-0.2948717948717956</v>
      </c>
      <c r="AY5" s="74">
        <f>'77'!AF44</f>
        <v>0.7051282051282044</v>
      </c>
      <c r="AZ5" s="74">
        <f>'77'!AG44</f>
        <v>-0.29487179487179471</v>
      </c>
      <c r="BA5" s="74">
        <f>'77'!AH44</f>
        <v>0.70512820512820529</v>
      </c>
      <c r="BB5" s="74">
        <f>'77'!AI44</f>
        <v>-0.29487179487179471</v>
      </c>
      <c r="BC5" s="74">
        <f>'77'!AJ44</f>
        <v>0.70512820512820529</v>
      </c>
      <c r="BD5" s="74">
        <f>'77'!AK44</f>
        <v>-0.29487179487179471</v>
      </c>
      <c r="BE5" s="74">
        <f>'77'!AL44</f>
        <v>0.70512820512820529</v>
      </c>
      <c r="BF5" s="74">
        <f>'77'!AM44</f>
        <v>0.70512820512820529</v>
      </c>
      <c r="BG5" s="74">
        <f>'77'!AN44</f>
        <v>-0.29487179487179471</v>
      </c>
      <c r="BH5" s="74">
        <f>'77'!AO44</f>
        <v>0.70512820512820529</v>
      </c>
      <c r="BI5" s="74">
        <f>'77'!AP44</f>
        <v>-0.29487179487179471</v>
      </c>
      <c r="BJ5" s="74">
        <f>'77'!AQ44</f>
        <v>-0.29487179487179471</v>
      </c>
      <c r="BK5" s="74">
        <f>'77'!AR44</f>
        <v>-0.29487179487179471</v>
      </c>
      <c r="BL5" s="74">
        <f>'77'!AS44</f>
        <v>-0.29487179487179471</v>
      </c>
      <c r="BM5" s="74">
        <f>'77'!AT44</f>
        <v>0.70512820512820529</v>
      </c>
      <c r="BN5" s="74">
        <f>'77'!AU44</f>
        <v>-0.29487179487179493</v>
      </c>
      <c r="BO5" s="74">
        <f>'77'!AV44</f>
        <v>-0.29487179487179493</v>
      </c>
      <c r="BP5" s="74">
        <f>'77'!AW44</f>
        <v>-0.29487179487179493</v>
      </c>
      <c r="BQ5" s="74">
        <f>'77'!AX44</f>
        <v>-0.29487179487179493</v>
      </c>
      <c r="BR5" s="74">
        <f>'77'!AY44</f>
        <v>-0.29487179487179493</v>
      </c>
      <c r="BS5" s="74">
        <f>'77'!AZ44</f>
        <v>0.70512820512820507</v>
      </c>
      <c r="BT5" s="74">
        <f>'77'!BA44</f>
        <v>-0.29487179487179493</v>
      </c>
      <c r="BU5" s="74">
        <f>'77'!BB44</f>
        <v>-0.29487179487179493</v>
      </c>
      <c r="BV5" s="74">
        <f>'77'!BC44</f>
        <v>-0.29487179487179493</v>
      </c>
      <c r="BW5" s="74">
        <f>'77'!BD44</f>
        <v>-0.29487179487179493</v>
      </c>
      <c r="BX5" s="74">
        <f>'77'!BE44</f>
        <v>-0.29487179487179493</v>
      </c>
      <c r="BY5" s="74">
        <f>'77'!BF44</f>
        <v>-1.2948717948717949</v>
      </c>
      <c r="BZ5" s="74">
        <f>'77'!BG44</f>
        <v>-0.29487179487179493</v>
      </c>
      <c r="CA5" s="74">
        <f>'77'!BH44</f>
        <v>-0.29487179487179493</v>
      </c>
      <c r="CB5" s="74">
        <f>'77'!BI44</f>
        <v>-0.29487179487179493</v>
      </c>
      <c r="CC5" s="74">
        <f>'77'!BJ44</f>
        <v>-0.29487179487179493</v>
      </c>
      <c r="CD5" s="74">
        <f>'77'!BK44</f>
        <v>-0.29487179487179493</v>
      </c>
      <c r="CE5" s="74">
        <f>'77'!BL44</f>
        <v>-1.2948717948717949</v>
      </c>
      <c r="CF5" s="74">
        <f>'77'!BM44</f>
        <v>-0.29487179487179471</v>
      </c>
      <c r="CG5" s="74">
        <f>'77'!BN44</f>
        <v>-0.29487179487179471</v>
      </c>
      <c r="CH5" s="74">
        <f>'77'!BO44</f>
        <v>-0.29487179487179471</v>
      </c>
      <c r="CI5" s="74">
        <f>'77'!BP44</f>
        <v>-0.29487179487179471</v>
      </c>
      <c r="CJ5" s="74">
        <f>'77'!BQ44</f>
        <v>0.70512820512820529</v>
      </c>
      <c r="CK5" s="74">
        <f>'77'!BR44</f>
        <v>-0.29487179487179493</v>
      </c>
      <c r="CL5" s="74">
        <f>'77'!BS44</f>
        <v>-1.2948717948717949</v>
      </c>
      <c r="CM5" s="74">
        <f>'77'!BT44</f>
        <v>-0.29487179487179471</v>
      </c>
      <c r="CN5" s="74">
        <f>'77'!BU44</f>
        <v>-1.2948717948717947</v>
      </c>
      <c r="CO5" s="74">
        <f>'77'!BV44</f>
        <v>0.70512820512820529</v>
      </c>
      <c r="CP5" s="74">
        <f>'77'!BW44</f>
        <v>-0.29487179487179471</v>
      </c>
      <c r="CQ5" s="74">
        <f>'77'!BX44</f>
        <v>0.70512820512820529</v>
      </c>
      <c r="CR5" s="74">
        <f>'77'!BY44</f>
        <v>-0.29487179487179493</v>
      </c>
      <c r="CS5" s="74">
        <f>'77'!BZ44</f>
        <v>-0.29487179487179493</v>
      </c>
      <c r="CT5" s="74">
        <f>'77'!CA44</f>
        <v>-0.29487179487179493</v>
      </c>
      <c r="CU5" s="74">
        <f>'77'!CB44</f>
        <v>0.70512820512820507</v>
      </c>
      <c r="CV5" s="74">
        <f>'77'!CC44</f>
        <v>0.70512820512820507</v>
      </c>
      <c r="CW5" s="74">
        <f>'77'!CD44</f>
        <v>-0.29487179487179488</v>
      </c>
      <c r="CX5" s="74">
        <f>'77'!CE44</f>
        <v>-0.29487179487179488</v>
      </c>
      <c r="CY5" s="74">
        <f>'77'!CF44</f>
        <v>-0.29487179487179488</v>
      </c>
      <c r="CZ5" s="74">
        <f>'77'!CG44</f>
        <v>0.70512820512820507</v>
      </c>
      <c r="DA5" s="74">
        <f>'77'!CH44</f>
        <v>-1.2948717948717949</v>
      </c>
      <c r="DB5" s="74">
        <f>'77'!CI44</f>
        <v>-0.29487179487179488</v>
      </c>
      <c r="DC5" s="118">
        <v>56</v>
      </c>
    </row>
    <row r="6" spans="1:107">
      <c r="B6" s="114"/>
      <c r="C6" s="74"/>
      <c r="D6" s="74"/>
      <c r="E6" s="74"/>
      <c r="F6" s="114"/>
      <c r="G6" s="74"/>
      <c r="H6" s="74"/>
      <c r="I6" s="74"/>
      <c r="J6" s="114"/>
      <c r="K6" s="74"/>
      <c r="L6" s="74"/>
      <c r="M6" s="74"/>
      <c r="N6" s="114"/>
      <c r="O6" s="74"/>
      <c r="P6" s="74"/>
      <c r="Q6" s="74"/>
      <c r="R6" s="114"/>
      <c r="S6" s="129"/>
      <c r="T6" s="114"/>
      <c r="U6" s="114"/>
      <c r="X6" s="118">
        <f>'77'!D45</f>
        <v>53</v>
      </c>
      <c r="Y6" s="74">
        <f>'77'!E45</f>
        <v>0</v>
      </c>
      <c r="Z6" s="74">
        <f>'77'!F45</f>
        <v>0</v>
      </c>
      <c r="AA6" s="74">
        <f>'77'!G45</f>
        <v>0</v>
      </c>
      <c r="AB6" s="74">
        <f>'77'!H45</f>
        <v>0</v>
      </c>
      <c r="AC6" s="74">
        <f>'77'!I45</f>
        <v>0</v>
      </c>
      <c r="AD6" s="74">
        <f>'77'!K45</f>
        <v>0.38461538461538458</v>
      </c>
      <c r="AE6" s="74">
        <f>'77'!L45</f>
        <v>1.3846153846153846</v>
      </c>
      <c r="AF6" s="74">
        <f>'77'!M45</f>
        <v>-2.6153846153846154</v>
      </c>
      <c r="AG6" s="74">
        <f>'77'!N45</f>
        <v>-0.61538461538461542</v>
      </c>
      <c r="AH6" s="74">
        <f>'77'!O45</f>
        <v>0.38461538461538458</v>
      </c>
      <c r="AI6" s="74">
        <f>'77'!P45</f>
        <v>-0.61538461538461542</v>
      </c>
      <c r="AJ6" s="74">
        <f>'77'!Q45</f>
        <v>-0.61538461538461497</v>
      </c>
      <c r="AK6" s="74">
        <f>'77'!R45</f>
        <v>-0.61538461538461497</v>
      </c>
      <c r="AL6" s="74">
        <f>'77'!S45</f>
        <v>-0.61538461538461497</v>
      </c>
      <c r="AM6" s="74">
        <f>'77'!T45</f>
        <v>-0.61538461538461497</v>
      </c>
      <c r="AN6" s="74">
        <f>'77'!U45</f>
        <v>-1.615384615384615</v>
      </c>
      <c r="AO6" s="74">
        <f>'77'!V45</f>
        <v>0.38461538461538503</v>
      </c>
      <c r="AP6" s="74">
        <f>'77'!W45</f>
        <v>-0.61538461538461497</v>
      </c>
      <c r="AQ6" s="74">
        <f>'77'!X45</f>
        <v>-0.61538461538461497</v>
      </c>
      <c r="AR6" s="74">
        <f>'77'!Y45</f>
        <v>-0.61538461538461497</v>
      </c>
      <c r="AS6" s="74">
        <f>'77'!Z45</f>
        <v>-0.61538461538461497</v>
      </c>
      <c r="AT6" s="74">
        <f>'77'!AA45</f>
        <v>-0.61538461538461497</v>
      </c>
      <c r="AU6" s="74">
        <f>'77'!AB45</f>
        <v>0.38461538461538503</v>
      </c>
      <c r="AV6" s="74">
        <f>'77'!AC45</f>
        <v>0.38461538461538503</v>
      </c>
      <c r="AW6" s="74">
        <f>'77'!AD45</f>
        <v>-1.615384615384615</v>
      </c>
      <c r="AX6" s="74">
        <f>'77'!AE45</f>
        <v>-0.61538461538461675</v>
      </c>
      <c r="AY6" s="74">
        <f>'77'!AF45</f>
        <v>-0.61538461538461675</v>
      </c>
      <c r="AZ6" s="74">
        <f>'77'!AG45</f>
        <v>-0.61538461538461675</v>
      </c>
      <c r="BA6" s="74">
        <f>'77'!AH45</f>
        <v>-0.61538461538461675</v>
      </c>
      <c r="BB6" s="74">
        <f>'77'!AI45</f>
        <v>-0.61538461538461675</v>
      </c>
      <c r="BC6" s="74">
        <f>'77'!AJ45</f>
        <v>-0.61538461538461675</v>
      </c>
      <c r="BD6" s="74">
        <f>'77'!AK45</f>
        <v>-0.61538461538461675</v>
      </c>
      <c r="BE6" s="74">
        <f>'77'!AL45</f>
        <v>-0.61538461538461675</v>
      </c>
      <c r="BF6" s="74">
        <f>'77'!AM45</f>
        <v>-0.61538461538461675</v>
      </c>
      <c r="BG6" s="74">
        <f>'77'!AN45</f>
        <v>-0.61538461538461675</v>
      </c>
      <c r="BH6" s="74">
        <f>'77'!AO45</f>
        <v>-0.61538461538461675</v>
      </c>
      <c r="BI6" s="74">
        <f>'77'!AP45</f>
        <v>-0.61538461538461675</v>
      </c>
      <c r="BJ6" s="74">
        <f>'77'!AQ45</f>
        <v>-0.61538461538461675</v>
      </c>
      <c r="BK6" s="74">
        <f>'77'!AR45</f>
        <v>-1.6153846153846168</v>
      </c>
      <c r="BL6" s="74">
        <f>'77'!AS45</f>
        <v>-1.6153846153846132</v>
      </c>
      <c r="BM6" s="74">
        <f>'77'!AT45</f>
        <v>-1.6153846153846132</v>
      </c>
      <c r="BN6" s="74">
        <f>'77'!AU45</f>
        <v>-1.6153846153846132</v>
      </c>
      <c r="BO6" s="74">
        <f>'77'!AV45</f>
        <v>-1.6153846153846132</v>
      </c>
      <c r="BP6" s="74">
        <f>'77'!AW45</f>
        <v>-1.6153846153846132</v>
      </c>
      <c r="BQ6" s="74">
        <f>'77'!AX45</f>
        <v>2.3846153846153868</v>
      </c>
      <c r="BR6" s="74">
        <f>'77'!AY45</f>
        <v>2.3846153846153868</v>
      </c>
      <c r="BS6" s="74">
        <f>'77'!AZ45</f>
        <v>2.3846153846153868</v>
      </c>
      <c r="BT6" s="74">
        <f>'77'!BA45</f>
        <v>1.3846153846153868</v>
      </c>
      <c r="BU6" s="74">
        <f>'77'!BB45</f>
        <v>1.3846153846153868</v>
      </c>
      <c r="BV6" s="74">
        <f>'77'!BC45</f>
        <v>2.3846153846153868</v>
      </c>
      <c r="BW6" s="74">
        <f>'77'!BD45</f>
        <v>2.3846153846153868</v>
      </c>
      <c r="BX6" s="74">
        <f>'77'!BE45</f>
        <v>1.3846153846153832</v>
      </c>
      <c r="BY6" s="74">
        <f>'77'!BF45</f>
        <v>2.3846153846153832</v>
      </c>
      <c r="BZ6" s="74">
        <f>'77'!BG45</f>
        <v>2.3846153846153832</v>
      </c>
      <c r="CA6" s="74">
        <f>'77'!BH45</f>
        <v>3.3846153846153832</v>
      </c>
      <c r="CB6" s="74">
        <f>'77'!BI45</f>
        <v>1.3846153846153832</v>
      </c>
      <c r="CC6" s="74">
        <f>'77'!BJ45</f>
        <v>1.3846153846153832</v>
      </c>
      <c r="CD6" s="74">
        <f>'77'!BK45</f>
        <v>1.3846153846153832</v>
      </c>
      <c r="CE6" s="74">
        <f>'77'!BL45</f>
        <v>2.3846153846153832</v>
      </c>
      <c r="CF6" s="74">
        <f>'77'!BM45</f>
        <v>2.3846153846153832</v>
      </c>
      <c r="CG6" s="74">
        <f>'77'!BN45</f>
        <v>1.384615384615385</v>
      </c>
      <c r="CH6" s="74">
        <f>'77'!BO45</f>
        <v>2.384615384615385</v>
      </c>
      <c r="CI6" s="74">
        <f>'77'!BP45</f>
        <v>1.384615384615385</v>
      </c>
      <c r="CJ6" s="74">
        <f>'77'!BQ45</f>
        <v>0.38461538461538503</v>
      </c>
      <c r="CK6" s="74">
        <f>'77'!BR45</f>
        <v>0.38461538461538503</v>
      </c>
      <c r="CL6" s="74">
        <f>'77'!BS45</f>
        <v>0.38461538461538503</v>
      </c>
      <c r="CM6" s="74">
        <f>'77'!BT45</f>
        <v>0.38461538461538503</v>
      </c>
      <c r="CN6" s="74">
        <f>'77'!BU45</f>
        <v>0.38461538461538503</v>
      </c>
      <c r="CO6" s="74">
        <f>'77'!BV45</f>
        <v>1.384615384615385</v>
      </c>
      <c r="CP6" s="74">
        <f>'77'!BW45</f>
        <v>1.384615384615385</v>
      </c>
      <c r="CQ6" s="74">
        <f>'77'!BX45</f>
        <v>0.38461538461538503</v>
      </c>
      <c r="CR6" s="74">
        <f>'77'!BY45</f>
        <v>0.38461538461538503</v>
      </c>
      <c r="CS6" s="74">
        <f>'77'!BZ45</f>
        <v>1.384615384615385</v>
      </c>
      <c r="CT6" s="74">
        <f>'77'!CA45</f>
        <v>2.384615384615385</v>
      </c>
      <c r="CU6" s="74">
        <f>'77'!CB45</f>
        <v>1.384615384615385</v>
      </c>
      <c r="CV6" s="74">
        <f>'77'!CC45</f>
        <v>1.384615384615385</v>
      </c>
      <c r="CW6" s="74">
        <f>'77'!CD45</f>
        <v>2.384615384615385</v>
      </c>
      <c r="CX6" s="74">
        <f>'77'!CE45</f>
        <v>1.3846153846153846</v>
      </c>
      <c r="CY6" s="74">
        <f>'77'!CF45</f>
        <v>1.3846153846153846</v>
      </c>
      <c r="CZ6" s="74">
        <f>'77'!CG45</f>
        <v>0.38461538461538458</v>
      </c>
      <c r="DA6" s="74">
        <f>'77'!CH45</f>
        <v>0.38461538461538458</v>
      </c>
      <c r="DB6" s="74">
        <f>'77'!CI45</f>
        <v>0.38461538461538458</v>
      </c>
      <c r="DC6" s="118">
        <v>52.5</v>
      </c>
    </row>
    <row r="7" spans="1:107">
      <c r="A7" s="112" t="s">
        <v>125</v>
      </c>
      <c r="B7" s="114">
        <v>3.5</v>
      </c>
      <c r="C7" s="74">
        <v>7</v>
      </c>
      <c r="D7" s="74">
        <v>10.5</v>
      </c>
      <c r="E7" s="74">
        <v>14</v>
      </c>
      <c r="F7" s="114">
        <v>17.5</v>
      </c>
      <c r="G7" s="74">
        <v>21</v>
      </c>
      <c r="H7" s="74">
        <v>24.5</v>
      </c>
      <c r="I7" s="74">
        <v>28</v>
      </c>
      <c r="J7" s="114">
        <v>31.5</v>
      </c>
      <c r="K7" s="74">
        <v>35</v>
      </c>
      <c r="L7" s="74">
        <v>38.5</v>
      </c>
      <c r="M7" s="74">
        <v>42</v>
      </c>
      <c r="N7" s="114">
        <v>45.5</v>
      </c>
      <c r="O7" s="74">
        <v>49</v>
      </c>
      <c r="P7" s="74">
        <v>52.5</v>
      </c>
      <c r="Q7" s="74">
        <v>56</v>
      </c>
      <c r="R7" s="114">
        <v>58.5</v>
      </c>
      <c r="S7" s="129"/>
      <c r="T7" s="114"/>
      <c r="U7" s="114"/>
      <c r="X7" s="118">
        <f>'77'!D47</f>
        <v>49</v>
      </c>
      <c r="Y7" s="74">
        <f>'77'!E47</f>
        <v>0</v>
      </c>
      <c r="Z7" s="74">
        <f>'77'!F47</f>
        <v>0</v>
      </c>
      <c r="AA7" s="74">
        <f>'77'!G47</f>
        <v>0</v>
      </c>
      <c r="AB7" s="74">
        <f>'77'!H47</f>
        <v>0</v>
      </c>
      <c r="AC7" s="74">
        <f>'77'!I47</f>
        <v>0</v>
      </c>
      <c r="AD7" s="74">
        <f>'77'!K47</f>
        <v>-2.564102564102564E-2</v>
      </c>
      <c r="AE7" s="74">
        <f>'77'!L47</f>
        <v>-2.564102564102564E-2</v>
      </c>
      <c r="AF7" s="74">
        <f>'77'!M47</f>
        <v>-2.0256410256410255</v>
      </c>
      <c r="AG7" s="74">
        <f>'77'!N47</f>
        <v>-2.564102564102555E-2</v>
      </c>
      <c r="AH7" s="74">
        <f>'77'!O47</f>
        <v>-2.564102564102555E-2</v>
      </c>
      <c r="AI7" s="74">
        <f>'77'!P47</f>
        <v>-1.0256410256410255</v>
      </c>
      <c r="AJ7" s="74">
        <f>'77'!Q47</f>
        <v>-1.0256410256410255</v>
      </c>
      <c r="AK7" s="74">
        <f>'77'!R47</f>
        <v>-2.564102564102555E-2</v>
      </c>
      <c r="AL7" s="74">
        <f>'77'!S47</f>
        <v>-2.564102564102555E-2</v>
      </c>
      <c r="AM7" s="74">
        <f>'77'!T47</f>
        <v>-1.0256410256410255</v>
      </c>
      <c r="AN7" s="74">
        <f>'77'!U47</f>
        <v>-1.0256410256410255</v>
      </c>
      <c r="AO7" s="74">
        <f>'77'!V47</f>
        <v>-2.564102564102555E-2</v>
      </c>
      <c r="AP7" s="74">
        <f>'77'!W47</f>
        <v>-2.564102564102555E-2</v>
      </c>
      <c r="AQ7" s="74">
        <f>'77'!X47</f>
        <v>-1.0256410256410255</v>
      </c>
      <c r="AR7" s="74">
        <f>'77'!Y47</f>
        <v>-2.564102564102555E-2</v>
      </c>
      <c r="AS7" s="74">
        <f>'77'!Z47</f>
        <v>-1.0256410256410255</v>
      </c>
      <c r="AT7" s="74">
        <f>'77'!AA47</f>
        <v>-2.564102564102555E-2</v>
      </c>
      <c r="AU7" s="74">
        <f>'77'!AB47</f>
        <v>-2.564102564102555E-2</v>
      </c>
      <c r="AV7" s="74">
        <f>'77'!AC47</f>
        <v>0.97435897435897445</v>
      </c>
      <c r="AW7" s="74">
        <f>'77'!AD47</f>
        <v>-2.564102564102555E-2</v>
      </c>
      <c r="AX7" s="74">
        <f>'77'!AE47</f>
        <v>-1.0256410256410255</v>
      </c>
      <c r="AY7" s="74">
        <f>'77'!AF47</f>
        <v>-2.564102564102555E-2</v>
      </c>
      <c r="AZ7" s="74">
        <f>'77'!AG47</f>
        <v>-2.564102564102555E-2</v>
      </c>
      <c r="BA7" s="74">
        <f>'77'!AH47</f>
        <v>-2.564102564102555E-2</v>
      </c>
      <c r="BB7" s="74">
        <f>'77'!AI47</f>
        <v>-2.564102564102555E-2</v>
      </c>
      <c r="BC7" s="74">
        <f>'77'!AJ47</f>
        <v>-2.564102564102555E-2</v>
      </c>
      <c r="BD7" s="74">
        <f>'77'!AK47</f>
        <v>-2.564102564102555E-2</v>
      </c>
      <c r="BE7" s="74">
        <f>'77'!AL47</f>
        <v>0.97435897435897445</v>
      </c>
      <c r="BF7" s="74">
        <f>'77'!AM47</f>
        <v>-2.564102564102555E-2</v>
      </c>
      <c r="BG7" s="74">
        <f>'77'!AN47</f>
        <v>-2.564102564102555E-2</v>
      </c>
      <c r="BH7" s="74">
        <f>'77'!AO47</f>
        <v>0.97435897435897445</v>
      </c>
      <c r="BI7" s="74">
        <f>'77'!AP47</f>
        <v>-1.0256410256410255</v>
      </c>
      <c r="BJ7" s="74">
        <f>'77'!AQ47</f>
        <v>-2.564102564102555E-2</v>
      </c>
      <c r="BK7" s="74">
        <f>'77'!AR47</f>
        <v>0.97435897435897445</v>
      </c>
      <c r="BL7" s="74">
        <f>'77'!AS47</f>
        <v>-2.564102564102555E-2</v>
      </c>
      <c r="BM7" s="74">
        <f>'77'!AT47</f>
        <v>-2.564102564102555E-2</v>
      </c>
      <c r="BN7" s="74">
        <f>'77'!AU47</f>
        <v>0.97435897435897445</v>
      </c>
      <c r="BO7" s="74">
        <f>'77'!AV47</f>
        <v>-2.564102564102555E-2</v>
      </c>
      <c r="BP7" s="74">
        <f>'77'!AW47</f>
        <v>-1.0256410256410255</v>
      </c>
      <c r="BQ7" s="74">
        <f>'77'!AX47</f>
        <v>-2.564102564102555E-2</v>
      </c>
      <c r="BR7" s="74">
        <f>'77'!AY47</f>
        <v>-2.564102564102555E-2</v>
      </c>
      <c r="BS7" s="74">
        <f>'77'!AZ47</f>
        <v>0.97435897435897445</v>
      </c>
      <c r="BT7" s="74">
        <f>'77'!BA47</f>
        <v>-2.564102564102555E-2</v>
      </c>
      <c r="BU7" s="74">
        <f>'77'!BB47</f>
        <v>-2.564102564102555E-2</v>
      </c>
      <c r="BV7" s="74">
        <f>'77'!BC47</f>
        <v>-1.0256410256410255</v>
      </c>
      <c r="BW7" s="74">
        <f>'77'!BD47</f>
        <v>-2.564102564102555E-2</v>
      </c>
      <c r="BX7" s="74">
        <f>'77'!BE47</f>
        <v>-2.564102564102555E-2</v>
      </c>
      <c r="BY7" s="74">
        <f>'77'!BF47</f>
        <v>-2.564102564102555E-2</v>
      </c>
      <c r="BZ7" s="74">
        <f>'77'!BG47</f>
        <v>-2.564102564102555E-2</v>
      </c>
      <c r="CA7" s="74">
        <f>'77'!BH47</f>
        <v>-1.0256410256410255</v>
      </c>
      <c r="CB7" s="74">
        <f>'77'!BI47</f>
        <v>-2.564102564102555E-2</v>
      </c>
      <c r="CC7" s="74">
        <f>'77'!BJ47</f>
        <v>-2.564102564102555E-2</v>
      </c>
      <c r="CD7" s="74">
        <f>'77'!BK47</f>
        <v>-2.564102564102555E-2</v>
      </c>
      <c r="CE7" s="74">
        <f>'77'!BL47</f>
        <v>-1.0256410256410255</v>
      </c>
      <c r="CF7" s="74">
        <f>'77'!BM47</f>
        <v>-2.564102564102555E-2</v>
      </c>
      <c r="CG7" s="74">
        <f>'77'!BN47</f>
        <v>-2.564102564102555E-2</v>
      </c>
      <c r="CH7" s="74">
        <f>'77'!BO47</f>
        <v>-2.564102564102555E-2</v>
      </c>
      <c r="CI7" s="74">
        <f>'77'!BP47</f>
        <v>-2.564102564102555E-2</v>
      </c>
      <c r="CJ7" s="74">
        <f>'77'!BQ47</f>
        <v>0.97435897435897445</v>
      </c>
      <c r="CK7" s="74">
        <f>'77'!BR47</f>
        <v>-2.564102564102555E-2</v>
      </c>
      <c r="CL7" s="74">
        <f>'77'!BS47</f>
        <v>-1.0256410256410255</v>
      </c>
      <c r="CM7" s="74">
        <f>'77'!BT47</f>
        <v>-2.564102564102555E-2</v>
      </c>
      <c r="CN7" s="74">
        <f>'77'!BU47</f>
        <v>0.97435897435897445</v>
      </c>
      <c r="CO7" s="74">
        <f>'77'!BV47</f>
        <v>0.97435897435897445</v>
      </c>
      <c r="CP7" s="74">
        <f>'77'!BW47</f>
        <v>-2.564102564102555E-2</v>
      </c>
      <c r="CQ7" s="74">
        <f>'77'!BX47</f>
        <v>-2.564102564102555E-2</v>
      </c>
      <c r="CR7" s="74">
        <f>'77'!BY47</f>
        <v>-2.564102564102555E-2</v>
      </c>
      <c r="CS7" s="74">
        <f>'77'!BZ47</f>
        <v>0.97435897435897445</v>
      </c>
      <c r="CT7" s="74">
        <f>'77'!CA47</f>
        <v>0.97435897435897445</v>
      </c>
      <c r="CU7" s="74">
        <f>'77'!CB47</f>
        <v>0.97435897435897445</v>
      </c>
      <c r="CV7" s="74">
        <f>'77'!CC47</f>
        <v>0.97435897435897445</v>
      </c>
      <c r="CW7" s="74">
        <f>'77'!CD47</f>
        <v>0.97435897435897445</v>
      </c>
      <c r="CX7" s="74">
        <f>'77'!CE47</f>
        <v>-2.5641025641025661E-2</v>
      </c>
      <c r="CY7" s="74">
        <f>'77'!CF47</f>
        <v>0.97435897435897434</v>
      </c>
      <c r="CZ7" s="74">
        <f>'77'!CG47</f>
        <v>-2.564102564102564E-2</v>
      </c>
      <c r="DA7" s="74">
        <f>'77'!CH47</f>
        <v>-2.564102564102564E-2</v>
      </c>
      <c r="DB7" s="74">
        <f>'77'!CI47</f>
        <v>-2.564102564102564E-2</v>
      </c>
      <c r="DC7" s="118">
        <v>49</v>
      </c>
    </row>
    <row r="8" spans="1:107">
      <c r="A8" s="112"/>
      <c r="B8" s="114"/>
      <c r="C8" s="74"/>
      <c r="D8" s="74"/>
      <c r="E8" s="74"/>
      <c r="F8" s="114"/>
      <c r="G8" s="74"/>
      <c r="H8" s="74"/>
      <c r="I8" s="74"/>
      <c r="J8" s="114"/>
      <c r="K8" s="74"/>
      <c r="L8" s="74"/>
      <c r="M8" s="74"/>
      <c r="N8" s="114"/>
      <c r="O8" s="74"/>
      <c r="P8" s="74"/>
      <c r="Q8" s="74"/>
      <c r="R8" s="114"/>
      <c r="S8" s="129"/>
      <c r="T8" s="114"/>
      <c r="U8" s="114"/>
      <c r="X8" s="118">
        <f>'77'!D49</f>
        <v>45</v>
      </c>
      <c r="Y8" s="74">
        <f>'77'!E49</f>
        <v>0</v>
      </c>
      <c r="Z8" s="74">
        <f>'77'!F49</f>
        <v>0</v>
      </c>
      <c r="AA8" s="74">
        <f>'77'!G49</f>
        <v>0</v>
      </c>
      <c r="AB8" s="74">
        <f>'77'!H49</f>
        <v>0</v>
      </c>
      <c r="AC8" s="74">
        <f>'77'!I49</f>
        <v>0</v>
      </c>
      <c r="AD8" s="74">
        <f>'77'!K49</f>
        <v>7.6923076923076927E-2</v>
      </c>
      <c r="AE8" s="74">
        <f>'77'!L49</f>
        <v>1.0769230769230769</v>
      </c>
      <c r="AF8" s="74">
        <f>'77'!M49</f>
        <v>-1.9230769230769231</v>
      </c>
      <c r="AG8" s="74">
        <f>'77'!N49</f>
        <v>7.6923076923076872E-2</v>
      </c>
      <c r="AH8" s="74">
        <f>'77'!O49</f>
        <v>-0.92307692307692313</v>
      </c>
      <c r="AI8" s="74">
        <f>'77'!P49</f>
        <v>-0.92307692307692291</v>
      </c>
      <c r="AJ8" s="74">
        <f>'77'!Q49</f>
        <v>-0.92307692307692291</v>
      </c>
      <c r="AK8" s="74">
        <f>'77'!R49</f>
        <v>-0.92307692307692335</v>
      </c>
      <c r="AL8" s="74">
        <f>'77'!S49</f>
        <v>-0.92307692307692335</v>
      </c>
      <c r="AM8" s="74">
        <f>'77'!T49</f>
        <v>-0.92307692307692335</v>
      </c>
      <c r="AN8" s="74">
        <f>'77'!U49</f>
        <v>-0.92307692307692335</v>
      </c>
      <c r="AO8" s="74">
        <f>'77'!V49</f>
        <v>7.692307692307665E-2</v>
      </c>
      <c r="AP8" s="74">
        <f>'77'!W49</f>
        <v>7.692307692307665E-2</v>
      </c>
      <c r="AQ8" s="74">
        <f>'77'!X49</f>
        <v>7.692307692307665E-2</v>
      </c>
      <c r="AR8" s="74">
        <f>'77'!Y49</f>
        <v>-0.92307692307692335</v>
      </c>
      <c r="AS8" s="74">
        <f>'77'!Z49</f>
        <v>-0.92307692307692335</v>
      </c>
      <c r="AT8" s="74">
        <f>'77'!AA49</f>
        <v>7.692307692307665E-2</v>
      </c>
      <c r="AU8" s="74">
        <f>'77'!AB49</f>
        <v>1.0769230769230766</v>
      </c>
      <c r="AV8" s="74">
        <f>'77'!AC49</f>
        <v>7.692307692307665E-2</v>
      </c>
      <c r="AW8" s="74">
        <f>'77'!AD49</f>
        <v>7.692307692307665E-2</v>
      </c>
      <c r="AX8" s="74">
        <f>'77'!AE49</f>
        <v>7.692307692307665E-2</v>
      </c>
      <c r="AY8" s="74">
        <f>'77'!AF49</f>
        <v>7.692307692307665E-2</v>
      </c>
      <c r="AZ8" s="74">
        <f>'77'!AG49</f>
        <v>1.0769230769230766</v>
      </c>
      <c r="BA8" s="74">
        <f>'77'!AH49</f>
        <v>7.692307692307665E-2</v>
      </c>
      <c r="BB8" s="74">
        <f>'77'!AI49</f>
        <v>7.692307692307665E-2</v>
      </c>
      <c r="BC8" s="74">
        <f>'77'!AJ49</f>
        <v>7.692307692307665E-2</v>
      </c>
      <c r="BD8" s="74">
        <f>'77'!AK49</f>
        <v>1.0769230769230766</v>
      </c>
      <c r="BE8" s="74">
        <f>'77'!AL49</f>
        <v>7.692307692307665E-2</v>
      </c>
      <c r="BF8" s="74">
        <f>'77'!AM49</f>
        <v>7.692307692307665E-2</v>
      </c>
      <c r="BG8" s="74">
        <f>'77'!AN49</f>
        <v>1.0769230769230766</v>
      </c>
      <c r="BH8" s="74">
        <f>'77'!AO49</f>
        <v>7.692307692307665E-2</v>
      </c>
      <c r="BI8" s="74">
        <f>'77'!AP49</f>
        <v>7.692307692307665E-2</v>
      </c>
      <c r="BJ8" s="74">
        <f>'77'!AQ49</f>
        <v>7.692307692307665E-2</v>
      </c>
      <c r="BK8" s="74">
        <f>'77'!AR49</f>
        <v>7.692307692307665E-2</v>
      </c>
      <c r="BL8" s="74">
        <f>'77'!AS49</f>
        <v>7.692307692307665E-2</v>
      </c>
      <c r="BM8" s="74">
        <f>'77'!AT49</f>
        <v>7.692307692307665E-2</v>
      </c>
      <c r="BN8" s="74">
        <f>'77'!AU49</f>
        <v>1.0769230769230766</v>
      </c>
      <c r="BO8" s="74">
        <f>'77'!AV49</f>
        <v>7.692307692307665E-2</v>
      </c>
      <c r="BP8" s="74">
        <f>'77'!AW49</f>
        <v>-0.92307692307692335</v>
      </c>
      <c r="BQ8" s="74">
        <f>'77'!AX49</f>
        <v>1.0769230769230766</v>
      </c>
      <c r="BR8" s="74">
        <f>'77'!AY49</f>
        <v>7.692307692307665E-2</v>
      </c>
      <c r="BS8" s="74">
        <f>'77'!AZ49</f>
        <v>7.692307692307665E-2</v>
      </c>
      <c r="BT8" s="74">
        <f>'77'!BA49</f>
        <v>7.692307692307665E-2</v>
      </c>
      <c r="BU8" s="74">
        <f>'77'!BB49</f>
        <v>7.692307692307665E-2</v>
      </c>
      <c r="BV8" s="74">
        <f>'77'!BC49</f>
        <v>7.692307692307665E-2</v>
      </c>
      <c r="BW8" s="74">
        <f>'77'!BD49</f>
        <v>7.692307692307665E-2</v>
      </c>
      <c r="BX8" s="74">
        <f>'77'!BE49</f>
        <v>7.692307692307665E-2</v>
      </c>
      <c r="BY8" s="74">
        <f>'77'!BF49</f>
        <v>7.692307692307665E-2</v>
      </c>
      <c r="BZ8" s="74">
        <f>'77'!BG49</f>
        <v>7.692307692307665E-2</v>
      </c>
      <c r="CA8" s="74">
        <f>'77'!BH49</f>
        <v>7.692307692307665E-2</v>
      </c>
      <c r="CB8" s="74">
        <f>'77'!BI49</f>
        <v>7.692307692307665E-2</v>
      </c>
      <c r="CC8" s="74">
        <f>'77'!BJ49</f>
        <v>7.692307692307665E-2</v>
      </c>
      <c r="CD8" s="74">
        <f>'77'!BK49</f>
        <v>7.692307692307665E-2</v>
      </c>
      <c r="CE8" s="74">
        <f>'77'!BL49</f>
        <v>7.692307692307665E-2</v>
      </c>
      <c r="CF8" s="74">
        <f>'77'!BM49</f>
        <v>7.692307692307665E-2</v>
      </c>
      <c r="CG8" s="74">
        <f>'77'!BN49</f>
        <v>7.692307692307665E-2</v>
      </c>
      <c r="CH8" s="74">
        <f>'77'!BO49</f>
        <v>7.692307692307665E-2</v>
      </c>
      <c r="CI8" s="74">
        <f>'77'!BP49</f>
        <v>7.692307692307665E-2</v>
      </c>
      <c r="CJ8" s="74">
        <f>'77'!BQ49</f>
        <v>1.0769230769230766</v>
      </c>
      <c r="CK8" s="74">
        <f>'77'!BR49</f>
        <v>7.692307692307665E-2</v>
      </c>
      <c r="CL8" s="74">
        <f>'77'!BS49</f>
        <v>-0.92307692307692335</v>
      </c>
      <c r="CM8" s="74">
        <f>'77'!BT49</f>
        <v>7.692307692307665E-2</v>
      </c>
      <c r="CN8" s="74">
        <f>'77'!BU49</f>
        <v>7.692307692307665E-2</v>
      </c>
      <c r="CO8" s="74">
        <f>'77'!BV49</f>
        <v>1.0769230769230766</v>
      </c>
      <c r="CP8" s="74">
        <f>'77'!BW49</f>
        <v>1.0769230769230766</v>
      </c>
      <c r="CQ8" s="74">
        <f>'77'!BX49</f>
        <v>7.6923076923077094E-2</v>
      </c>
      <c r="CR8" s="74">
        <f>'77'!BY49</f>
        <v>7.6923076923077094E-2</v>
      </c>
      <c r="CS8" s="74">
        <f>'77'!BZ49</f>
        <v>1.0769230769230771</v>
      </c>
      <c r="CT8" s="74">
        <f>'77'!CA49</f>
        <v>7.6923076923077094E-2</v>
      </c>
      <c r="CU8" s="74">
        <f>'77'!CB49</f>
        <v>7.6923076923077094E-2</v>
      </c>
      <c r="CV8" s="74">
        <f>'77'!CC49</f>
        <v>1.0769230769230771</v>
      </c>
      <c r="CW8" s="74">
        <f>'77'!CD49</f>
        <v>7.6923076923076872E-2</v>
      </c>
      <c r="CX8" s="74">
        <f>'77'!CE49</f>
        <v>1.0769230769230769</v>
      </c>
      <c r="CY8" s="74">
        <f>'77'!CF49</f>
        <v>7.6923076923076927E-2</v>
      </c>
      <c r="CZ8" s="74">
        <f>'77'!CG49</f>
        <v>1.0769230769230769</v>
      </c>
      <c r="DA8" s="74">
        <f>'77'!CH49</f>
        <v>7.6923076923076872E-2</v>
      </c>
      <c r="DB8" s="74">
        <f>'77'!CI49</f>
        <v>-0.92307692307692313</v>
      </c>
      <c r="DC8" s="118">
        <v>45.5</v>
      </c>
    </row>
    <row r="9" spans="1:107">
      <c r="A9" s="112"/>
      <c r="B9" s="114"/>
      <c r="C9" s="74"/>
      <c r="D9" s="74"/>
      <c r="E9" s="74"/>
      <c r="F9" s="114"/>
      <c r="G9" s="74"/>
      <c r="H9" s="74"/>
      <c r="I9" s="74"/>
      <c r="J9" s="114"/>
      <c r="K9" s="74"/>
      <c r="L9" s="74"/>
      <c r="M9" s="74"/>
      <c r="N9" s="114"/>
      <c r="O9" s="74"/>
      <c r="P9" s="74"/>
      <c r="Q9" s="74"/>
      <c r="R9" s="114"/>
      <c r="S9" s="129"/>
      <c r="T9" s="124" t="s">
        <v>169</v>
      </c>
      <c r="U9" s="124" t="s">
        <v>171</v>
      </c>
      <c r="V9" s="130"/>
      <c r="W9" s="127"/>
      <c r="X9" s="118">
        <f>'77'!D51</f>
        <v>41</v>
      </c>
      <c r="Y9" s="74">
        <f>'77'!E51</f>
        <v>0</v>
      </c>
      <c r="Z9" s="74">
        <f>'77'!F51</f>
        <v>0</v>
      </c>
      <c r="AA9" s="74">
        <f>'77'!G51</f>
        <v>0</v>
      </c>
      <c r="AB9" s="74">
        <f>'77'!H51</f>
        <v>0</v>
      </c>
      <c r="AC9" s="74">
        <f>'77'!I51</f>
        <v>0</v>
      </c>
      <c r="AD9" s="74">
        <f>'77'!K51</f>
        <v>2.564102564102564E-2</v>
      </c>
      <c r="AE9" s="74">
        <f>'77'!L51</f>
        <v>1.0256410256410255</v>
      </c>
      <c r="AF9" s="74">
        <f>'77'!M51</f>
        <v>-2.9743589743589745</v>
      </c>
      <c r="AG9" s="74">
        <f>'77'!N51</f>
        <v>2.564102564102555E-2</v>
      </c>
      <c r="AH9" s="74">
        <f>'77'!O51</f>
        <v>2.564102564102555E-2</v>
      </c>
      <c r="AI9" s="74">
        <f>'77'!P51</f>
        <v>-0.97435897435897445</v>
      </c>
      <c r="AJ9" s="74">
        <f>'77'!Q51</f>
        <v>-0.97435897435897445</v>
      </c>
      <c r="AK9" s="74">
        <f>'77'!R51</f>
        <v>-0.97435897435897445</v>
      </c>
      <c r="AL9" s="74">
        <f>'77'!S51</f>
        <v>-0.97435897435897445</v>
      </c>
      <c r="AM9" s="74">
        <f>'77'!T51</f>
        <v>-0.97435897435897445</v>
      </c>
      <c r="AN9" s="74">
        <f>'77'!U51</f>
        <v>-0.97435897435897445</v>
      </c>
      <c r="AO9" s="74">
        <f>'77'!V51</f>
        <v>2.564102564102555E-2</v>
      </c>
      <c r="AP9" s="74">
        <f>'77'!W51</f>
        <v>1.0256410256410255</v>
      </c>
      <c r="AQ9" s="74">
        <f>'77'!X51</f>
        <v>-0.97435897435897445</v>
      </c>
      <c r="AR9" s="74">
        <f>'77'!Y51</f>
        <v>2.564102564102555E-2</v>
      </c>
      <c r="AS9" s="74">
        <f>'77'!Z51</f>
        <v>2.564102564102555E-2</v>
      </c>
      <c r="AT9" s="74">
        <f>'77'!AA51</f>
        <v>2.564102564102555E-2</v>
      </c>
      <c r="AU9" s="74">
        <f>'77'!AB51</f>
        <v>1.0256410256410255</v>
      </c>
      <c r="AV9" s="74">
        <f>'77'!AC51</f>
        <v>1.0256410256410255</v>
      </c>
      <c r="AW9" s="74">
        <f>'77'!AD51</f>
        <v>1.0256410256410255</v>
      </c>
      <c r="AX9" s="74">
        <f>'77'!AE51</f>
        <v>2.564102564102555E-2</v>
      </c>
      <c r="AY9" s="74">
        <f>'77'!AF51</f>
        <v>2.564102564102555E-2</v>
      </c>
      <c r="AZ9" s="74">
        <f>'77'!AG51</f>
        <v>1.0256410256410255</v>
      </c>
      <c r="BA9" s="74">
        <f>'77'!AH51</f>
        <v>2.564102564102555E-2</v>
      </c>
      <c r="BB9" s="74">
        <f>'77'!AI51</f>
        <v>1.0256410256410255</v>
      </c>
      <c r="BC9" s="74">
        <f>'77'!AJ51</f>
        <v>2.564102564102555E-2</v>
      </c>
      <c r="BD9" s="74">
        <f>'77'!AK51</f>
        <v>2.564102564102555E-2</v>
      </c>
      <c r="BE9" s="74">
        <f>'77'!AL51</f>
        <v>2.564102564102555E-2</v>
      </c>
      <c r="BF9" s="74">
        <f>'77'!AM51</f>
        <v>2.564102564102555E-2</v>
      </c>
      <c r="BG9" s="74">
        <f>'77'!AN51</f>
        <v>2.564102564102555E-2</v>
      </c>
      <c r="BH9" s="74">
        <f>'77'!AO51</f>
        <v>2.564102564102555E-2</v>
      </c>
      <c r="BI9" s="74">
        <f>'77'!AP51</f>
        <v>2.564102564102555E-2</v>
      </c>
      <c r="BJ9" s="74">
        <f>'77'!AQ51</f>
        <v>2.564102564102555E-2</v>
      </c>
      <c r="BK9" s="74">
        <f>'77'!AR51</f>
        <v>2.564102564102555E-2</v>
      </c>
      <c r="BL9" s="74">
        <f>'77'!AS51</f>
        <v>2.564102564102555E-2</v>
      </c>
      <c r="BM9" s="74">
        <f>'77'!AT51</f>
        <v>2.564102564102555E-2</v>
      </c>
      <c r="BN9" s="74">
        <f>'77'!AU51</f>
        <v>2.564102564102555E-2</v>
      </c>
      <c r="BO9" s="74">
        <f>'77'!AV51</f>
        <v>2.564102564102555E-2</v>
      </c>
      <c r="BP9" s="74">
        <f>'77'!AW51</f>
        <v>2.564102564102555E-2</v>
      </c>
      <c r="BQ9" s="74">
        <f>'77'!AX51</f>
        <v>2.564102564102555E-2</v>
      </c>
      <c r="BR9" s="74">
        <f>'77'!AY51</f>
        <v>2.564102564102555E-2</v>
      </c>
      <c r="BS9" s="74">
        <f>'77'!AZ51</f>
        <v>2.564102564102555E-2</v>
      </c>
      <c r="BT9" s="74">
        <f>'77'!BA51</f>
        <v>1.0256410256410255</v>
      </c>
      <c r="BU9" s="74">
        <f>'77'!BB51</f>
        <v>2.564102564102555E-2</v>
      </c>
      <c r="BV9" s="74">
        <f>'77'!BC51</f>
        <v>1.0256410256410255</v>
      </c>
      <c r="BW9" s="74">
        <f>'77'!BD51</f>
        <v>2.564102564102555E-2</v>
      </c>
      <c r="BX9" s="74">
        <f>'77'!BE51</f>
        <v>2.564102564102555E-2</v>
      </c>
      <c r="BY9" s="74">
        <f>'77'!BF51</f>
        <v>2.564102564102555E-2</v>
      </c>
      <c r="BZ9" s="74">
        <f>'77'!BG51</f>
        <v>2.564102564102555E-2</v>
      </c>
      <c r="CA9" s="74">
        <f>'77'!BH51</f>
        <v>2.564102564102555E-2</v>
      </c>
      <c r="CB9" s="74">
        <f>'77'!BI51</f>
        <v>1.0256410256410255</v>
      </c>
      <c r="CC9" s="74">
        <f>'77'!BJ51</f>
        <v>2.564102564102564E-2</v>
      </c>
      <c r="CD9" s="74">
        <f>'77'!BK51</f>
        <v>2.564102564102564E-2</v>
      </c>
      <c r="CE9" s="74">
        <f>'77'!BL51</f>
        <v>-0.97435897435897434</v>
      </c>
      <c r="CF9" s="74">
        <f>'77'!BM51</f>
        <v>2.564102564102555E-2</v>
      </c>
      <c r="CG9" s="74">
        <f>'77'!BN51</f>
        <v>2.564102564102555E-2</v>
      </c>
      <c r="CH9" s="74">
        <f>'77'!BO51</f>
        <v>2.564102564102555E-2</v>
      </c>
      <c r="CI9" s="74">
        <f>'77'!BP51</f>
        <v>2.564102564102555E-2</v>
      </c>
      <c r="CJ9" s="74">
        <f>'77'!BQ51</f>
        <v>1.0256410256410255</v>
      </c>
      <c r="CK9" s="74">
        <f>'77'!BR51</f>
        <v>-0.97435897435897434</v>
      </c>
      <c r="CL9" s="74">
        <f>'77'!BS51</f>
        <v>2.564102564102555E-2</v>
      </c>
      <c r="CM9" s="74">
        <f>'77'!BT51</f>
        <v>2.564102564102555E-2</v>
      </c>
      <c r="CN9" s="74">
        <f>'77'!BU51</f>
        <v>2.564102564102555E-2</v>
      </c>
      <c r="CO9" s="74">
        <f>'77'!BV51</f>
        <v>2.564102564102555E-2</v>
      </c>
      <c r="CP9" s="74">
        <f>'77'!BW51</f>
        <v>1.0256410256410255</v>
      </c>
      <c r="CQ9" s="74">
        <f>'77'!BX51</f>
        <v>2.564102564102564E-2</v>
      </c>
      <c r="CR9" s="74">
        <f>'77'!BY51</f>
        <v>2.564102564102564E-2</v>
      </c>
      <c r="CS9" s="74">
        <f>'77'!BZ51</f>
        <v>2.564102564102564E-2</v>
      </c>
      <c r="CT9" s="74">
        <f>'77'!CA51</f>
        <v>1.0256410256410255</v>
      </c>
      <c r="CU9" s="74">
        <f>'77'!CB51</f>
        <v>2.5641025641025661E-2</v>
      </c>
      <c r="CV9" s="74">
        <f>'77'!CC51</f>
        <v>1.0256410256410255</v>
      </c>
      <c r="CW9" s="74">
        <f>'77'!CD51</f>
        <v>2.564102564102555E-2</v>
      </c>
      <c r="CX9" s="74">
        <f>'77'!CE51</f>
        <v>2.564102564102555E-2</v>
      </c>
      <c r="CY9" s="74">
        <f>'77'!CF51</f>
        <v>-0.97435897435897445</v>
      </c>
      <c r="CZ9" s="74">
        <f>'77'!CG51</f>
        <v>1.0256410256410255</v>
      </c>
      <c r="DA9" s="74">
        <f>'77'!CH51</f>
        <v>-0.97435897435897445</v>
      </c>
      <c r="DB9" s="74">
        <f>'77'!CI51</f>
        <v>-0.97435897435897434</v>
      </c>
      <c r="DC9" s="118">
        <v>42</v>
      </c>
    </row>
    <row r="10" spans="1:107">
      <c r="B10" s="114"/>
      <c r="C10" s="74"/>
      <c r="D10" s="74"/>
      <c r="E10" s="74"/>
      <c r="F10" s="114"/>
      <c r="G10" s="74"/>
      <c r="H10" s="74"/>
      <c r="I10" s="74"/>
      <c r="J10" s="114"/>
      <c r="K10" s="74"/>
      <c r="L10" s="74"/>
      <c r="M10" s="74"/>
      <c r="N10" s="114"/>
      <c r="O10" s="74"/>
      <c r="P10" s="74"/>
      <c r="Q10" s="74"/>
      <c r="R10" s="114"/>
      <c r="S10" s="129"/>
      <c r="T10" s="123" t="s">
        <v>170</v>
      </c>
      <c r="U10" s="123" t="s">
        <v>170</v>
      </c>
      <c r="V10" s="130"/>
      <c r="W10" s="127"/>
      <c r="X10" s="118">
        <f>'77'!D52</f>
        <v>39</v>
      </c>
      <c r="Y10" s="74">
        <f>'77'!E52</f>
        <v>0</v>
      </c>
      <c r="Z10" s="74">
        <f>'77'!F52</f>
        <v>0</v>
      </c>
      <c r="AA10" s="74">
        <f>'77'!G52</f>
        <v>0</v>
      </c>
      <c r="AB10" s="74">
        <f>'77'!H52</f>
        <v>0</v>
      </c>
      <c r="AC10" s="74">
        <f>'77'!I52</f>
        <v>0</v>
      </c>
      <c r="AD10" s="119">
        <f>'77'!K52</f>
        <v>-1.282051282051282E-2</v>
      </c>
      <c r="AE10" s="119">
        <f>'77'!L52</f>
        <v>-1.282051282051282E-2</v>
      </c>
      <c r="AF10" s="119">
        <f>'77'!M52</f>
        <v>-2.0128205128205128</v>
      </c>
      <c r="AG10" s="119">
        <f>'77'!N52</f>
        <v>-1.0128205128205128</v>
      </c>
      <c r="AH10" s="119">
        <f>'77'!O52</f>
        <v>-1.2820512820512775E-2</v>
      </c>
      <c r="AI10" s="119">
        <f>'77'!P52</f>
        <v>-1.2820512820512775E-2</v>
      </c>
      <c r="AJ10" s="119">
        <f>'77'!Q52</f>
        <v>-1.2820512820512775E-2</v>
      </c>
      <c r="AK10" s="119">
        <f>'77'!R52</f>
        <v>-1.2820512820512775E-2</v>
      </c>
      <c r="AL10" s="119">
        <f>'77'!S52</f>
        <v>-1.2820512820512775E-2</v>
      </c>
      <c r="AM10" s="119">
        <f>'77'!T52</f>
        <v>-1.0128205128205128</v>
      </c>
      <c r="AN10" s="119">
        <f>'77'!U52</f>
        <v>-1.0128205128205128</v>
      </c>
      <c r="AO10" s="119">
        <f>'77'!V52</f>
        <v>-1.2820512820512775E-2</v>
      </c>
      <c r="AP10" s="119">
        <f>'77'!W52</f>
        <v>-1.2820512820512775E-2</v>
      </c>
      <c r="AQ10" s="119">
        <f>'77'!X52</f>
        <v>-1.2820512820512775E-2</v>
      </c>
      <c r="AR10" s="119">
        <f>'77'!Y52</f>
        <v>-1.2820512820512775E-2</v>
      </c>
      <c r="AS10" s="119">
        <f>'77'!Z52</f>
        <v>-1.2820512820512775E-2</v>
      </c>
      <c r="AT10" s="119">
        <f>'77'!AA52</f>
        <v>-1.0128205128205128</v>
      </c>
      <c r="AU10" s="119">
        <f>'77'!AB52</f>
        <v>1.9871794871794872</v>
      </c>
      <c r="AV10" s="119">
        <f>'77'!AC52</f>
        <v>0.98717948717948723</v>
      </c>
      <c r="AW10" s="119">
        <f>'77'!AD52</f>
        <v>0.98717948717948723</v>
      </c>
      <c r="AX10" s="119">
        <f>'77'!AE52</f>
        <v>0.98717948717948723</v>
      </c>
      <c r="AY10" s="119">
        <f>'77'!AF52</f>
        <v>-1.2820512820512775E-2</v>
      </c>
      <c r="AZ10" s="119">
        <f>'77'!AG52</f>
        <v>-1.2820512820512775E-2</v>
      </c>
      <c r="BA10" s="119">
        <f>'77'!AH52</f>
        <v>-1.2820512820512775E-2</v>
      </c>
      <c r="BB10" s="119">
        <f>'77'!AI52</f>
        <v>-1.2820512820512775E-2</v>
      </c>
      <c r="BC10" s="119">
        <f>'77'!AJ52</f>
        <v>-1.2820512820512775E-2</v>
      </c>
      <c r="BD10" s="119">
        <f>'77'!AK52</f>
        <v>0.98717948717948723</v>
      </c>
      <c r="BE10" s="119">
        <f>'77'!AL52</f>
        <v>-1.282051282051282E-2</v>
      </c>
      <c r="BF10" s="119">
        <f>'77'!AM52</f>
        <v>-1.0128205128205128</v>
      </c>
      <c r="BG10" s="119">
        <f>'77'!AN52</f>
        <v>-1.0128205128205128</v>
      </c>
      <c r="BH10" s="119">
        <f>'77'!AO52</f>
        <v>-1.0128205128205128</v>
      </c>
      <c r="BI10" s="119">
        <f>'77'!AP52</f>
        <v>-1.0128205128205128</v>
      </c>
      <c r="BJ10" s="119">
        <f>'77'!AQ52</f>
        <v>-1.0128205128205128</v>
      </c>
      <c r="BK10" s="119">
        <f>'77'!AR52</f>
        <v>-1.2820512820512775E-2</v>
      </c>
      <c r="BL10" s="119">
        <f>'77'!AS52</f>
        <v>-1.0128205128205128</v>
      </c>
      <c r="BM10" s="119">
        <f>'77'!AT52</f>
        <v>-1.2820512820512775E-2</v>
      </c>
      <c r="BN10" s="119">
        <f>'77'!AU52</f>
        <v>-1.2820512820512775E-2</v>
      </c>
      <c r="BO10" s="119">
        <f>'77'!AV52</f>
        <v>-1.2820512820512775E-2</v>
      </c>
      <c r="BP10" s="119">
        <f>'77'!AW52</f>
        <v>-1.0128205128205128</v>
      </c>
      <c r="BQ10" s="119">
        <f>'77'!AX52</f>
        <v>0.98717948717948723</v>
      </c>
      <c r="BR10" s="119">
        <f>'77'!AY52</f>
        <v>-1.2820512820512775E-2</v>
      </c>
      <c r="BS10" s="119">
        <f>'77'!AZ52</f>
        <v>0.98717948717948723</v>
      </c>
      <c r="BT10" s="119">
        <f>'77'!BA52</f>
        <v>-1.2820512820512775E-2</v>
      </c>
      <c r="BU10" s="119">
        <f>'77'!BB52</f>
        <v>0.98717948717948723</v>
      </c>
      <c r="BV10" s="119">
        <f>'77'!BC52</f>
        <v>-1.2820512820512775E-2</v>
      </c>
      <c r="BW10" s="119">
        <f>'77'!BD52</f>
        <v>0.98717948717948723</v>
      </c>
      <c r="BX10" s="119">
        <f>'77'!BE52</f>
        <v>-1.2820512820512775E-2</v>
      </c>
      <c r="BY10" s="119">
        <f>'77'!BF52</f>
        <v>-1.2820512820512775E-2</v>
      </c>
      <c r="BZ10" s="119">
        <f>'77'!BG52</f>
        <v>-1.2820512820512775E-2</v>
      </c>
      <c r="CA10" s="119">
        <f>'77'!BH52</f>
        <v>-1.2820512820512775E-2</v>
      </c>
      <c r="CB10" s="119">
        <f>'77'!BI52</f>
        <v>-1.2820512820512775E-2</v>
      </c>
      <c r="CC10" s="119">
        <f>'77'!BJ52</f>
        <v>-1.0128205128205128</v>
      </c>
      <c r="CD10" s="119">
        <f>'77'!BK52</f>
        <v>-1.2820512820512775E-2</v>
      </c>
      <c r="CE10" s="119">
        <f>'77'!BL52</f>
        <v>0.98717948717948723</v>
      </c>
      <c r="CF10" s="119">
        <f>'77'!BM52</f>
        <v>-1.2820512820512775E-2</v>
      </c>
      <c r="CG10" s="119">
        <f>'77'!BN52</f>
        <v>-1.0128205128205128</v>
      </c>
      <c r="CH10" s="119">
        <f>'77'!BO52</f>
        <v>-1.0128205128205128</v>
      </c>
      <c r="CI10" s="119">
        <f>'77'!BP52</f>
        <v>-1.2820512820512775E-2</v>
      </c>
      <c r="CJ10" s="119">
        <f>'77'!BQ52</f>
        <v>0.98717948717948723</v>
      </c>
      <c r="CK10" s="119">
        <f>'77'!BR52</f>
        <v>-1.2820512820512775E-2</v>
      </c>
      <c r="CL10" s="119">
        <f>'77'!BS52</f>
        <v>-1.0128205128205128</v>
      </c>
      <c r="CM10" s="119">
        <f>'77'!BT52</f>
        <v>-1.2820512820512775E-2</v>
      </c>
      <c r="CN10" s="119">
        <f>'77'!BU52</f>
        <v>-1.0128205128205128</v>
      </c>
      <c r="CO10" s="119">
        <f>'77'!BV52</f>
        <v>-1.2820512820512775E-2</v>
      </c>
      <c r="CP10" s="119">
        <f>'77'!BW52</f>
        <v>0.98717948717948723</v>
      </c>
      <c r="CQ10" s="119">
        <f>'77'!BX52</f>
        <v>-1.2820512820512775E-2</v>
      </c>
      <c r="CR10" s="119">
        <f>'77'!BY52</f>
        <v>-1.2820512820512775E-2</v>
      </c>
      <c r="CS10" s="119">
        <f>'77'!BZ52</f>
        <v>0.98717948717948723</v>
      </c>
      <c r="CT10" s="119">
        <f>'77'!CA52</f>
        <v>0.98717948717948723</v>
      </c>
      <c r="CU10" s="119">
        <f>'77'!CB52</f>
        <v>0.98717948717948723</v>
      </c>
      <c r="CV10" s="119">
        <f>'77'!CC52</f>
        <v>-1.2820512820512775E-2</v>
      </c>
      <c r="CW10" s="119">
        <f>'77'!CD52</f>
        <v>0.98717948717948723</v>
      </c>
      <c r="CX10" s="119">
        <f>'77'!CE52</f>
        <v>-1.2820512820512775E-2</v>
      </c>
      <c r="CY10" s="119">
        <f>'77'!CF52</f>
        <v>0.98717948717948723</v>
      </c>
      <c r="CZ10" s="119">
        <f>'77'!CG52</f>
        <v>-1.282051282051282E-2</v>
      </c>
      <c r="DA10" s="119">
        <f>'77'!CH52</f>
        <v>-1.282051282051282E-2</v>
      </c>
      <c r="DB10" s="119">
        <f>'77'!CI52</f>
        <v>-1.282051282051282E-2</v>
      </c>
      <c r="DC10" s="118">
        <v>38.5</v>
      </c>
    </row>
    <row r="11" spans="1:107">
      <c r="B11" s="114">
        <v>1</v>
      </c>
      <c r="C11" s="74">
        <f t="shared" ref="C11:C59" si="9">SUM(0.25*(F11-B11),B11)</f>
        <v>1</v>
      </c>
      <c r="D11" s="74">
        <f t="shared" ref="D11:D59" si="10">SUM(0.5*(F11-B11)+B11)</f>
        <v>1</v>
      </c>
      <c r="E11" s="74">
        <f t="shared" ref="E11:E59" si="11">SUM(0.75*(F11-B11),B11)</f>
        <v>1</v>
      </c>
      <c r="F11" s="114">
        <v>1</v>
      </c>
      <c r="G11" s="74">
        <f t="shared" ref="G11:G59" si="12">SUM(0.25*(J11-F11),F11)</f>
        <v>1</v>
      </c>
      <c r="H11" s="74">
        <f t="shared" ref="H11:H59" si="13">SUM(0.5*(J11-F11),F11)</f>
        <v>1</v>
      </c>
      <c r="I11" s="74">
        <f t="shared" ref="I11:I59" si="14">SUM(0.75*(J11-F11),F11)</f>
        <v>1</v>
      </c>
      <c r="J11" s="114">
        <f t="shared" ref="J11:J59" si="15">SUM(F11,-B11,F11)</f>
        <v>1</v>
      </c>
      <c r="K11" s="74">
        <f t="shared" ref="K11:K59" si="16">SUM(0.25*(N11-J11),J11)</f>
        <v>1.8</v>
      </c>
      <c r="L11" s="74">
        <f t="shared" ref="L11:L59" si="17">SUM(0.5*(N11-J11),J11)</f>
        <v>2.6</v>
      </c>
      <c r="M11" s="74">
        <f t="shared" ref="M11:M59" si="18">SUM(0.75*(N11-J11),J11)</f>
        <v>3.4000000000000004</v>
      </c>
      <c r="N11" s="114">
        <f>SUM(F11,-B11,J11,0.25*ABS(J11-F11),0.2*(17-F11))</f>
        <v>4.2</v>
      </c>
      <c r="O11" s="74">
        <f>SUM(0.25*(R11-N11),N11)</f>
        <v>7.4</v>
      </c>
      <c r="P11" s="74">
        <f>SUM(0.5*(R11-N11),N11)</f>
        <v>10.600000000000001</v>
      </c>
      <c r="Q11" s="74">
        <f>SUM(0.75*(R11-N11),N11)</f>
        <v>13.8</v>
      </c>
      <c r="R11" s="114">
        <v>17</v>
      </c>
      <c r="S11" s="129"/>
      <c r="T11" s="117">
        <f>SUM((DB20+DB19+DB18+DB17+DB16+DB15+DB14+DB13+DB12+DA11+CZ10)*-0.132,(CY9+CX9+CW8+CV8)*-0.132/2,(CU7+CT7+CS7+CR7+CQ7+CP7+CO7+CN6+CM6+CL6+CK6+CJ6+CI6+CH6)*-0.132/7,(CG5+CF5+CE5+CD5+CC5+CB5+CA4+BZ4+BY4+BX4+BW4+BV4)*-0.132/6,17)</f>
        <v>18.768461538461537</v>
      </c>
      <c r="U11" s="117">
        <f>Lefty!T11</f>
        <v>16.843824175824174</v>
      </c>
      <c r="X11" s="118">
        <f>'77'!D54</f>
        <v>35</v>
      </c>
      <c r="Y11" s="74">
        <f>'77'!E54</f>
        <v>0</v>
      </c>
      <c r="Z11" s="74">
        <f>'77'!F54</f>
        <v>0</v>
      </c>
      <c r="AA11" s="74">
        <f>'77'!G54</f>
        <v>0</v>
      </c>
      <c r="AB11" s="74">
        <f>'77'!H54</f>
        <v>0</v>
      </c>
      <c r="AC11" s="74">
        <f>'77'!I54</f>
        <v>0</v>
      </c>
      <c r="AD11" s="74">
        <f>'77'!K54</f>
        <v>0.37179487179487181</v>
      </c>
      <c r="AE11" s="74">
        <f>'77'!L54</f>
        <v>1.3717948717948718</v>
      </c>
      <c r="AF11" s="74">
        <f>'77'!M54</f>
        <v>-1.6282051282051282</v>
      </c>
      <c r="AG11" s="74">
        <f>'77'!N54</f>
        <v>0.37179487179487181</v>
      </c>
      <c r="AH11" s="74">
        <f>'77'!O54</f>
        <v>0.37179487179487181</v>
      </c>
      <c r="AI11" s="74">
        <f>'77'!P54</f>
        <v>0.37179487179487181</v>
      </c>
      <c r="AJ11" s="74">
        <f>'77'!Q54</f>
        <v>0.37179487179487181</v>
      </c>
      <c r="AK11" s="74">
        <f>'77'!R54</f>
        <v>0.37179487179487181</v>
      </c>
      <c r="AL11" s="74">
        <f>'77'!S54</f>
        <v>0.37179487179487181</v>
      </c>
      <c r="AM11" s="74">
        <f>'77'!T54</f>
        <v>-0.62820512820512819</v>
      </c>
      <c r="AN11" s="74">
        <f>'77'!U54</f>
        <v>-0.62820512820512819</v>
      </c>
      <c r="AO11" s="74">
        <f>'77'!V54</f>
        <v>1.3717948717948718</v>
      </c>
      <c r="AP11" s="74">
        <f>'77'!W54</f>
        <v>0.37179487179487181</v>
      </c>
      <c r="AQ11" s="74">
        <f>'77'!X54</f>
        <v>-0.62820512820512819</v>
      </c>
      <c r="AR11" s="74">
        <f>'77'!Y54</f>
        <v>-0.62820512820512819</v>
      </c>
      <c r="AS11" s="74">
        <f>'77'!Z54</f>
        <v>0.37179487179487225</v>
      </c>
      <c r="AT11" s="74">
        <f>'77'!AA54</f>
        <v>-0.62820512820512775</v>
      </c>
      <c r="AU11" s="74">
        <f>'77'!AB54</f>
        <v>0.37179487179487225</v>
      </c>
      <c r="AV11" s="74">
        <f>'77'!AC54</f>
        <v>1.3717948717948723</v>
      </c>
      <c r="AW11" s="74">
        <f>'77'!AD54</f>
        <v>-0.62820512820512775</v>
      </c>
      <c r="AX11" s="74">
        <f>'77'!AE54</f>
        <v>0.37179487179487225</v>
      </c>
      <c r="AY11" s="74">
        <f>'77'!AF54</f>
        <v>0.37179487179487225</v>
      </c>
      <c r="AZ11" s="74">
        <f>'77'!AG54</f>
        <v>1.3717948717948723</v>
      </c>
      <c r="BA11" s="74">
        <f>'77'!AH54</f>
        <v>0.37179487179487225</v>
      </c>
      <c r="BB11" s="74">
        <f>'77'!AI54</f>
        <v>0.37179487179487225</v>
      </c>
      <c r="BC11" s="74">
        <f>'77'!AJ54</f>
        <v>1.3717948717948723</v>
      </c>
      <c r="BD11" s="74">
        <f>'77'!AK54</f>
        <v>0.37179487179487181</v>
      </c>
      <c r="BE11" s="74">
        <f>'77'!AL54</f>
        <v>0.37179487179487181</v>
      </c>
      <c r="BF11" s="74">
        <f>'77'!AM54</f>
        <v>0.37179487179487181</v>
      </c>
      <c r="BG11" s="74">
        <f>'77'!AN54</f>
        <v>0.37179487179487181</v>
      </c>
      <c r="BH11" s="74">
        <f>'77'!AO54</f>
        <v>1.3717948717948718</v>
      </c>
      <c r="BI11" s="74">
        <f>'77'!AP54</f>
        <v>0.37179487179487181</v>
      </c>
      <c r="BJ11" s="74">
        <f>'77'!AQ54</f>
        <v>0.37179487179487181</v>
      </c>
      <c r="BK11" s="74">
        <f>'77'!AR54</f>
        <v>0.37179487179487181</v>
      </c>
      <c r="BL11" s="74">
        <f>'77'!AS54</f>
        <v>1.3717948717948718</v>
      </c>
      <c r="BM11" s="74">
        <f>'77'!AT54</f>
        <v>0.37179487179487181</v>
      </c>
      <c r="BN11" s="74">
        <f>'77'!AU54</f>
        <v>0.37179487179487181</v>
      </c>
      <c r="BO11" s="74">
        <f>'77'!AV54</f>
        <v>0.37179487179487181</v>
      </c>
      <c r="BP11" s="74">
        <f>'77'!AW54</f>
        <v>0.37179487179487181</v>
      </c>
      <c r="BQ11" s="74">
        <f>'77'!AX54</f>
        <v>0.37179487179487181</v>
      </c>
      <c r="BR11" s="74">
        <f>'77'!AY54</f>
        <v>0.37179487179487181</v>
      </c>
      <c r="BS11" s="74">
        <f>'77'!AZ54</f>
        <v>0.37179487179487181</v>
      </c>
      <c r="BT11" s="74">
        <f>'77'!BA54</f>
        <v>1.3717948717948718</v>
      </c>
      <c r="BU11" s="74">
        <f>'77'!BB54</f>
        <v>0.37179487179487181</v>
      </c>
      <c r="BV11" s="74">
        <f>'77'!BC54</f>
        <v>0.37179487179487181</v>
      </c>
      <c r="BW11" s="74">
        <f>'77'!BD54</f>
        <v>0.37179487179487181</v>
      </c>
      <c r="BX11" s="74">
        <f>'77'!BE54</f>
        <v>1.3717948717948718</v>
      </c>
      <c r="BY11" s="74">
        <f>'77'!BF54</f>
        <v>0.37179487179487181</v>
      </c>
      <c r="BZ11" s="74">
        <f>'77'!BG54</f>
        <v>0.37179487179487181</v>
      </c>
      <c r="CA11" s="74">
        <f>'77'!BH54</f>
        <v>-0.62820512820512819</v>
      </c>
      <c r="CB11" s="74">
        <f>'77'!BI54</f>
        <v>0.37179487179487181</v>
      </c>
      <c r="CC11" s="74">
        <f>'77'!BJ54</f>
        <v>0.37179487179487181</v>
      </c>
      <c r="CD11" s="74">
        <f>'77'!BK54</f>
        <v>0.37179487179487181</v>
      </c>
      <c r="CE11" s="74">
        <f>'77'!BL54</f>
        <v>0.37179487179487181</v>
      </c>
      <c r="CF11" s="74">
        <f>'77'!BM54</f>
        <v>0.37179487179487181</v>
      </c>
      <c r="CG11" s="74">
        <f>'77'!BN54</f>
        <v>0.37179487179487181</v>
      </c>
      <c r="CH11" s="74">
        <f>'77'!BO54</f>
        <v>0.37179487179487181</v>
      </c>
      <c r="CI11" s="74">
        <f>'77'!BP54</f>
        <v>0.37179487179487181</v>
      </c>
      <c r="CJ11" s="74">
        <f>'77'!BQ54</f>
        <v>0.37179487179487181</v>
      </c>
      <c r="CK11" s="74">
        <f>'77'!BR54</f>
        <v>0.37179487179487181</v>
      </c>
      <c r="CL11" s="74">
        <f>'77'!BS54</f>
        <v>-0.62820512820512819</v>
      </c>
      <c r="CM11" s="74">
        <f>'77'!BT54</f>
        <v>0.37179487179487181</v>
      </c>
      <c r="CN11" s="74">
        <f>'77'!BU54</f>
        <v>0.37179487179487181</v>
      </c>
      <c r="CO11" s="74">
        <f>'77'!BV54</f>
        <v>0.37179487179487181</v>
      </c>
      <c r="CP11" s="74">
        <f>'77'!BW54</f>
        <v>1.3717948717948718</v>
      </c>
      <c r="CQ11" s="74">
        <f>'77'!BX54</f>
        <v>-0.62820512820512819</v>
      </c>
      <c r="CR11" s="74">
        <f>'77'!BY54</f>
        <v>0.37179487179487181</v>
      </c>
      <c r="CS11" s="74">
        <f>'77'!BZ54</f>
        <v>1.3717948717948718</v>
      </c>
      <c r="CT11" s="74">
        <f>'77'!CA54</f>
        <v>0.37179487179487181</v>
      </c>
      <c r="CU11" s="74">
        <f>'77'!CB54</f>
        <v>0.37179487179487181</v>
      </c>
      <c r="CV11" s="74">
        <f>'77'!CC54</f>
        <v>0.37179487179487181</v>
      </c>
      <c r="CW11" s="74">
        <f>'77'!CD54</f>
        <v>0.37179487179487181</v>
      </c>
      <c r="CX11" s="74">
        <f>'77'!CE54</f>
        <v>0.37179487179487181</v>
      </c>
      <c r="CY11" s="74">
        <f>'77'!CF54</f>
        <v>0.37179487179487181</v>
      </c>
      <c r="CZ11" s="74">
        <f>'77'!CG54</f>
        <v>1.3717948717948718</v>
      </c>
      <c r="DA11" s="74">
        <f>'77'!CH54</f>
        <v>0.37179487179487181</v>
      </c>
      <c r="DB11" s="74">
        <f>'77'!CI54</f>
        <v>-0.62820512820512819</v>
      </c>
      <c r="DC11" s="118">
        <v>35</v>
      </c>
    </row>
    <row r="12" spans="1:107">
      <c r="B12" s="114"/>
      <c r="C12" s="74"/>
      <c r="D12" s="74"/>
      <c r="E12" s="74"/>
      <c r="F12" s="114"/>
      <c r="G12" s="74"/>
      <c r="H12" s="74"/>
      <c r="I12" s="74"/>
      <c r="J12" s="114"/>
      <c r="K12" s="74"/>
      <c r="L12" s="74"/>
      <c r="M12" s="74"/>
      <c r="N12" s="114"/>
      <c r="O12" s="74"/>
      <c r="P12" s="74"/>
      <c r="Q12" s="74"/>
      <c r="R12" s="114"/>
      <c r="S12" s="129"/>
      <c r="X12" s="118">
        <f>'77'!D56</f>
        <v>31</v>
      </c>
      <c r="Y12" s="74">
        <f>'77'!E56</f>
        <v>0</v>
      </c>
      <c r="Z12" s="74">
        <f>'77'!F56</f>
        <v>0</v>
      </c>
      <c r="AA12" s="74">
        <f>'77'!G56</f>
        <v>0</v>
      </c>
      <c r="AB12" s="74">
        <f>'77'!H56</f>
        <v>0</v>
      </c>
      <c r="AC12" s="74">
        <f>'77'!I56</f>
        <v>0</v>
      </c>
      <c r="AD12" s="119">
        <f>'77'!K56</f>
        <v>8.9743589743589744E-2</v>
      </c>
      <c r="AE12" s="119">
        <f>'77'!L56</f>
        <v>1.0897435897435896</v>
      </c>
      <c r="AF12" s="119">
        <f>'77'!M56</f>
        <v>-1.9102564102564101</v>
      </c>
      <c r="AG12" s="119">
        <f>'77'!N56</f>
        <v>-1.9102564102564104</v>
      </c>
      <c r="AH12" s="119">
        <f>'77'!O56</f>
        <v>8.9743589743589869E-2</v>
      </c>
      <c r="AI12" s="119">
        <f>'77'!P56</f>
        <v>8.9743589743589869E-2</v>
      </c>
      <c r="AJ12" s="119">
        <f>'77'!Q56</f>
        <v>8.9743589743589869E-2</v>
      </c>
      <c r="AK12" s="119">
        <f>'77'!R56</f>
        <v>-0.91025641025641013</v>
      </c>
      <c r="AL12" s="119">
        <f>'77'!S56</f>
        <v>8.9743589743589425E-2</v>
      </c>
      <c r="AM12" s="119">
        <f>'77'!T56</f>
        <v>-0.91025641025641058</v>
      </c>
      <c r="AN12" s="119">
        <f>'77'!U56</f>
        <v>-0.91025641025641058</v>
      </c>
      <c r="AO12" s="119">
        <f>'77'!V56</f>
        <v>8.9743589743589425E-2</v>
      </c>
      <c r="AP12" s="119">
        <f>'77'!W56</f>
        <v>1.0897435897435894</v>
      </c>
      <c r="AQ12" s="119">
        <f>'77'!X56</f>
        <v>8.9743589743589425E-2</v>
      </c>
      <c r="AR12" s="119">
        <f>'77'!Y56</f>
        <v>8.9743589743589425E-2</v>
      </c>
      <c r="AS12" s="119">
        <f>'77'!Z56</f>
        <v>8.9743589743589425E-2</v>
      </c>
      <c r="AT12" s="119">
        <f>'77'!AA56</f>
        <v>8.9743589743589425E-2</v>
      </c>
      <c r="AU12" s="119">
        <f>'77'!AB56</f>
        <v>1.0897435897435894</v>
      </c>
      <c r="AV12" s="119">
        <f>'77'!AC56</f>
        <v>1.0897435897435894</v>
      </c>
      <c r="AW12" s="119">
        <f>'77'!AD56</f>
        <v>8.9743589743589869E-2</v>
      </c>
      <c r="AX12" s="119">
        <f>'77'!AE56</f>
        <v>1.0897435897435899</v>
      </c>
      <c r="AY12" s="119">
        <f>'77'!AF56</f>
        <v>1.0897435897435899</v>
      </c>
      <c r="AZ12" s="119">
        <f>'77'!AG56</f>
        <v>1.0897435897435896</v>
      </c>
      <c r="BA12" s="119">
        <f>'77'!AH56</f>
        <v>1.0897435897435896</v>
      </c>
      <c r="BB12" s="119">
        <f>'77'!AI56</f>
        <v>1.0897435897435899</v>
      </c>
      <c r="BC12" s="119">
        <f>'77'!AJ56</f>
        <v>8.9743589743589647E-2</v>
      </c>
      <c r="BD12" s="119">
        <f>'77'!AK56</f>
        <v>1.0897435897435896</v>
      </c>
      <c r="BE12" s="119">
        <f>'77'!AL56</f>
        <v>1.0897435897435899</v>
      </c>
      <c r="BF12" s="119">
        <f>'77'!AM56</f>
        <v>1.0897435897435899</v>
      </c>
      <c r="BG12" s="119">
        <f>'77'!AN56</f>
        <v>8.9743589743589425E-2</v>
      </c>
      <c r="BH12" s="119">
        <f>'77'!AO56</f>
        <v>1.0897435897435894</v>
      </c>
      <c r="BI12" s="119">
        <f>'77'!AP56</f>
        <v>8.9743589743589425E-2</v>
      </c>
      <c r="BJ12" s="119">
        <f>'77'!AQ56</f>
        <v>8.9743589743589425E-2</v>
      </c>
      <c r="BK12" s="119">
        <f>'77'!AR56</f>
        <v>8.9743589743589425E-2</v>
      </c>
      <c r="BL12" s="119">
        <f>'77'!AS56</f>
        <v>8.9743589743589425E-2</v>
      </c>
      <c r="BM12" s="119">
        <f>'77'!AT56</f>
        <v>8.9743589743589425E-2</v>
      </c>
      <c r="BN12" s="119">
        <f>'77'!AU56</f>
        <v>8.9743589743589425E-2</v>
      </c>
      <c r="BO12" s="119">
        <f>'77'!AV56</f>
        <v>-0.91025641025641058</v>
      </c>
      <c r="BP12" s="119">
        <f>'77'!AW56</f>
        <v>8.9743589743589425E-2</v>
      </c>
      <c r="BQ12" s="119">
        <f>'77'!AX56</f>
        <v>8.9743589743589425E-2</v>
      </c>
      <c r="BR12" s="119">
        <f>'77'!AY56</f>
        <v>8.9743589743589425E-2</v>
      </c>
      <c r="BS12" s="119">
        <f>'77'!AZ56</f>
        <v>8.9743589743589425E-2</v>
      </c>
      <c r="BT12" s="119">
        <f>'77'!BA56</f>
        <v>8.9743589743589425E-2</v>
      </c>
      <c r="BU12" s="119">
        <f>'77'!BB56</f>
        <v>8.9743589743589425E-2</v>
      </c>
      <c r="BV12" s="119">
        <f>'77'!BC56</f>
        <v>8.9743589743589425E-2</v>
      </c>
      <c r="BW12" s="119">
        <f>'77'!BD56</f>
        <v>8.9743589743589425E-2</v>
      </c>
      <c r="BX12" s="119">
        <f>'77'!BE56</f>
        <v>8.9743589743589425E-2</v>
      </c>
      <c r="BY12" s="119">
        <f>'77'!BF56</f>
        <v>8.9743589743589425E-2</v>
      </c>
      <c r="BZ12" s="119">
        <f>'77'!BG56</f>
        <v>8.9743589743589425E-2</v>
      </c>
      <c r="CA12" s="119">
        <f>'77'!BH56</f>
        <v>-0.91025641025641058</v>
      </c>
      <c r="CB12" s="119">
        <f>'77'!BI56</f>
        <v>8.9743589743589869E-2</v>
      </c>
      <c r="CC12" s="119">
        <f>'77'!BJ56</f>
        <v>-0.91025641025641013</v>
      </c>
      <c r="CD12" s="119">
        <f>'77'!BK56</f>
        <v>8.9743589743589869E-2</v>
      </c>
      <c r="CE12" s="119">
        <f>'77'!BL56</f>
        <v>8.9743589743589869E-2</v>
      </c>
      <c r="CF12" s="119">
        <f>'77'!BM56</f>
        <v>8.9743589743589869E-2</v>
      </c>
      <c r="CG12" s="119">
        <f>'77'!BN56</f>
        <v>-0.91025641025641013</v>
      </c>
      <c r="CH12" s="119">
        <f>'77'!BO56</f>
        <v>-0.91025641025641035</v>
      </c>
      <c r="CI12" s="119">
        <f>'77'!BP56</f>
        <v>8.9743589743589758E-2</v>
      </c>
      <c r="CJ12" s="119">
        <f>'77'!BQ56</f>
        <v>8.9743589743589758E-2</v>
      </c>
      <c r="CK12" s="119">
        <f>'77'!BR56</f>
        <v>-0.91025641025641024</v>
      </c>
      <c r="CL12" s="119">
        <f>'77'!BS56</f>
        <v>-1.9102564102564104</v>
      </c>
      <c r="CM12" s="119">
        <f>'77'!BT56</f>
        <v>-0.91025641025641013</v>
      </c>
      <c r="CN12" s="119">
        <f>'77'!BU56</f>
        <v>-0.91025641025641013</v>
      </c>
      <c r="CO12" s="119">
        <f>'77'!BV56</f>
        <v>1.0897435897435894</v>
      </c>
      <c r="CP12" s="119">
        <f>'77'!BW56</f>
        <v>1.0897435897435899</v>
      </c>
      <c r="CQ12" s="119">
        <f>'77'!BX56</f>
        <v>8.9743589743589869E-2</v>
      </c>
      <c r="CR12" s="119">
        <f>'77'!BY56</f>
        <v>-0.91025641025641013</v>
      </c>
      <c r="CS12" s="119">
        <f>'77'!BZ56</f>
        <v>1.0897435897435899</v>
      </c>
      <c r="CT12" s="119">
        <f>'77'!CA56</f>
        <v>8.9743589743589869E-2</v>
      </c>
      <c r="CU12" s="119">
        <f>'77'!CB56</f>
        <v>1.0897435897435899</v>
      </c>
      <c r="CV12" s="119">
        <f>'77'!CC56</f>
        <v>1.0897435897435896</v>
      </c>
      <c r="CW12" s="119">
        <f>'77'!CD56</f>
        <v>8.9743589743589744E-2</v>
      </c>
      <c r="CX12" s="119">
        <f>'77'!CE56</f>
        <v>8.9743589743589744E-2</v>
      </c>
      <c r="CY12" s="119">
        <f>'77'!CF56</f>
        <v>8.9743589743589744E-2</v>
      </c>
      <c r="CZ12" s="119">
        <f>'77'!CG56</f>
        <v>1.0897435897435896</v>
      </c>
      <c r="DA12" s="119">
        <f>'77'!CH56</f>
        <v>8.9743589743589758E-2</v>
      </c>
      <c r="DB12" s="119">
        <f>'77'!CI56</f>
        <v>-0.91025641025641024</v>
      </c>
      <c r="DC12" s="118">
        <v>31.5</v>
      </c>
    </row>
    <row r="13" spans="1:107">
      <c r="B13" s="114">
        <v>1</v>
      </c>
      <c r="C13" s="74">
        <f t="shared" si="9"/>
        <v>1.25</v>
      </c>
      <c r="D13" s="74">
        <f t="shared" si="10"/>
        <v>1.5</v>
      </c>
      <c r="E13" s="74">
        <f t="shared" si="11"/>
        <v>1.75</v>
      </c>
      <c r="F13" s="114">
        <v>2</v>
      </c>
      <c r="G13" s="74">
        <f t="shared" si="12"/>
        <v>2.25</v>
      </c>
      <c r="H13" s="74">
        <f t="shared" si="13"/>
        <v>2.5</v>
      </c>
      <c r="I13" s="74">
        <f t="shared" si="14"/>
        <v>2.75</v>
      </c>
      <c r="J13" s="114">
        <f t="shared" si="15"/>
        <v>3</v>
      </c>
      <c r="K13" s="74">
        <f t="shared" si="16"/>
        <v>3.3125</v>
      </c>
      <c r="L13" s="74">
        <f t="shared" si="17"/>
        <v>3.625</v>
      </c>
      <c r="M13" s="74">
        <f t="shared" si="18"/>
        <v>3.9375</v>
      </c>
      <c r="N13" s="114">
        <f>SUM(F13,-B13,J13,0.25*ABS(J13-F13))</f>
        <v>4.25</v>
      </c>
      <c r="O13" s="74">
        <f>SUM(0.25*(R13-N13),N13)</f>
        <v>7.4375</v>
      </c>
      <c r="P13" s="74">
        <f>SUM(0.5*(R13-N13),N13)</f>
        <v>10.625</v>
      </c>
      <c r="Q13" s="74">
        <f>SUM(0.75*(R13-N13),N13)</f>
        <v>13.8125</v>
      </c>
      <c r="R13" s="114">
        <v>17</v>
      </c>
      <c r="S13" s="129"/>
      <c r="T13" s="117">
        <f>SUM((DB20+DA19+DA18+CZ17+CZ16+CY15+CY14+CX13+CX12+CW11+CW10+CV9+CU8)*-0.132,(CT7+CS7+CR7+CQ7+CP7+CO7+CN7)*-0.132/7,(CM6+CL6+CK6+CJ6+CI6+CH6+CG5+CF5+CE5+CD5+CC5+CB5+CA4+BZ4+BY4+BX4+BW4+BV4)*-0.132/6,17)</f>
        <v>18.099032967032969</v>
      </c>
      <c r="U13" s="117">
        <f>Lefty!T13</f>
        <v>16.714967032967031</v>
      </c>
      <c r="X13" s="118">
        <f>'77'!D57</f>
        <v>29</v>
      </c>
      <c r="Y13" s="74">
        <f>'77'!E57</f>
        <v>0</v>
      </c>
      <c r="Z13" s="74">
        <f>'77'!F57</f>
        <v>0</v>
      </c>
      <c r="AA13" s="74">
        <f>'77'!G57</f>
        <v>0</v>
      </c>
      <c r="AB13" s="74">
        <f>'77'!H57</f>
        <v>0</v>
      </c>
      <c r="AC13" s="74">
        <f>'77'!I57</f>
        <v>0</v>
      </c>
      <c r="AD13" s="74">
        <f>'77'!K57</f>
        <v>-0.17948717948717949</v>
      </c>
      <c r="AE13" s="74">
        <f>'77'!L57</f>
        <v>0.82051282051282048</v>
      </c>
      <c r="AF13" s="74">
        <f>'77'!M57</f>
        <v>-2.1794871794871797</v>
      </c>
      <c r="AG13" s="74">
        <f>'77'!N57</f>
        <v>-0.17948717948717952</v>
      </c>
      <c r="AH13" s="74">
        <f>'77'!O57</f>
        <v>-0.17948717948717952</v>
      </c>
      <c r="AI13" s="74">
        <f>'77'!P57</f>
        <v>-0.17948717948717952</v>
      </c>
      <c r="AJ13" s="74">
        <f>'77'!Q57</f>
        <v>0.82051282051282048</v>
      </c>
      <c r="AK13" s="74">
        <f>'77'!R57</f>
        <v>-0.17948717948717949</v>
      </c>
      <c r="AL13" s="74">
        <f>'77'!S57</f>
        <v>0.82051282051282048</v>
      </c>
      <c r="AM13" s="74">
        <f>'77'!T57</f>
        <v>0.82051282051282048</v>
      </c>
      <c r="AN13" s="74">
        <f>'77'!U57</f>
        <v>-0.17948717948717929</v>
      </c>
      <c r="AO13" s="74">
        <f>'77'!V57</f>
        <v>0.82051282051282071</v>
      </c>
      <c r="AP13" s="74">
        <f>'77'!W57</f>
        <v>0.82051282051282071</v>
      </c>
      <c r="AQ13" s="74">
        <f>'77'!X57</f>
        <v>0.82051282051282026</v>
      </c>
      <c r="AR13" s="74">
        <f>'77'!Y57</f>
        <v>-0.17948717948717974</v>
      </c>
      <c r="AS13" s="74">
        <f>'77'!Z57</f>
        <v>1.8205128205128203</v>
      </c>
      <c r="AT13" s="74">
        <f>'77'!AA57</f>
        <v>0.82051282051282026</v>
      </c>
      <c r="AU13" s="74">
        <f>'77'!AB57</f>
        <v>1.8205128205128212</v>
      </c>
      <c r="AV13" s="74">
        <f>'77'!AC57</f>
        <v>2.8205128205128212</v>
      </c>
      <c r="AW13" s="74">
        <f>'77'!AD57</f>
        <v>1.8205128205128212</v>
      </c>
      <c r="AX13" s="74">
        <f>'77'!AE57</f>
        <v>1.8205128205128212</v>
      </c>
      <c r="AY13" s="74">
        <f>'77'!AF57</f>
        <v>0.82051282051282115</v>
      </c>
      <c r="AZ13" s="74">
        <f>'77'!AG57</f>
        <v>0.82051282051282115</v>
      </c>
      <c r="BA13" s="74">
        <f>'77'!AH57</f>
        <v>-0.17948717948717885</v>
      </c>
      <c r="BB13" s="74">
        <f>'77'!AI57</f>
        <v>0.82051282051282115</v>
      </c>
      <c r="BC13" s="74">
        <f>'77'!AJ57</f>
        <v>0.82051282051282115</v>
      </c>
      <c r="BD13" s="74">
        <f>'77'!AK57</f>
        <v>0.82051282051282115</v>
      </c>
      <c r="BE13" s="74">
        <f>'77'!AL57</f>
        <v>-0.17948717948717885</v>
      </c>
      <c r="BF13" s="74">
        <f>'77'!AM57</f>
        <v>-1.1794871794871788</v>
      </c>
      <c r="BG13" s="74">
        <f>'77'!AN57</f>
        <v>-1.1794871794871788</v>
      </c>
      <c r="BH13" s="74">
        <f>'77'!AO57</f>
        <v>-0.17948717948717885</v>
      </c>
      <c r="BI13" s="74">
        <f>'77'!AP57</f>
        <v>-0.17948717948717885</v>
      </c>
      <c r="BJ13" s="74">
        <f>'77'!AQ57</f>
        <v>-1.1794871794871788</v>
      </c>
      <c r="BK13" s="74">
        <f>'77'!AR57</f>
        <v>-0.17948717948717885</v>
      </c>
      <c r="BL13" s="74">
        <f>'77'!AS57</f>
        <v>-0.17948717948717885</v>
      </c>
      <c r="BM13" s="74">
        <f>'77'!AT57</f>
        <v>-1.1794871794871788</v>
      </c>
      <c r="BN13" s="74">
        <f>'77'!AU57</f>
        <v>-0.17948717948717885</v>
      </c>
      <c r="BO13" s="74">
        <f>'77'!AV57</f>
        <v>-1.1794871794871788</v>
      </c>
      <c r="BP13" s="74">
        <f>'77'!AW57</f>
        <v>-0.17948717948717885</v>
      </c>
      <c r="BQ13" s="74">
        <f>'77'!AX57</f>
        <v>-0.17948717948717885</v>
      </c>
      <c r="BR13" s="74">
        <f>'77'!AY57</f>
        <v>-1.1794871794871788</v>
      </c>
      <c r="BS13" s="74">
        <f>'77'!AZ57</f>
        <v>-0.17948717948717885</v>
      </c>
      <c r="BT13" s="74">
        <f>'77'!BA57</f>
        <v>-0.17948717948717885</v>
      </c>
      <c r="BU13" s="74">
        <f>'77'!BB57</f>
        <v>-1.1794871794871788</v>
      </c>
      <c r="BV13" s="74">
        <f>'77'!BC57</f>
        <v>-0.17948717948717885</v>
      </c>
      <c r="BW13" s="74">
        <f>'77'!BD57</f>
        <v>-0.17948717948717885</v>
      </c>
      <c r="BX13" s="74">
        <f>'77'!BE57</f>
        <v>-0.17948717948717885</v>
      </c>
      <c r="BY13" s="74">
        <f>'77'!BF57</f>
        <v>-0.17948717948717885</v>
      </c>
      <c r="BZ13" s="74">
        <f>'77'!BG57</f>
        <v>-0.17948717948717885</v>
      </c>
      <c r="CA13" s="74">
        <f>'77'!BH57</f>
        <v>0.82051282051282115</v>
      </c>
      <c r="CB13" s="74">
        <f>'77'!BI57</f>
        <v>-0.17948717948717885</v>
      </c>
      <c r="CC13" s="74">
        <f>'77'!BJ57</f>
        <v>0.82051282051282115</v>
      </c>
      <c r="CD13" s="74">
        <f>'77'!BK57</f>
        <v>-0.17948717948717885</v>
      </c>
      <c r="CE13" s="74">
        <f>'77'!BL57</f>
        <v>-2.1794871794871788</v>
      </c>
      <c r="CF13" s="74">
        <f>'77'!BM57</f>
        <v>-1.1794871794871788</v>
      </c>
      <c r="CG13" s="74">
        <f>'77'!BN57</f>
        <v>-1.1794871794871788</v>
      </c>
      <c r="CH13" s="74">
        <f>'77'!BO57</f>
        <v>-0.17948717948717885</v>
      </c>
      <c r="CI13" s="74">
        <f>'77'!BP57</f>
        <v>-1.1794871794871788</v>
      </c>
      <c r="CJ13" s="74">
        <f>'77'!BQ57</f>
        <v>-0.17948717948717885</v>
      </c>
      <c r="CK13" s="74">
        <f>'77'!BR57</f>
        <v>-3.1794871794871788</v>
      </c>
      <c r="CL13" s="74">
        <f>'77'!BS57</f>
        <v>-1.1794871794871788</v>
      </c>
      <c r="CM13" s="74">
        <f>'77'!BT57</f>
        <v>-2.1794871794871788</v>
      </c>
      <c r="CN13" s="74">
        <f>'77'!BU57</f>
        <v>-2.1794871794871797</v>
      </c>
      <c r="CO13" s="74">
        <f>'77'!BV57</f>
        <v>-1.1794871794871797</v>
      </c>
      <c r="CP13" s="74">
        <f>'77'!BW57</f>
        <v>-1.1794871794871793</v>
      </c>
      <c r="CQ13" s="74">
        <f>'77'!BX57</f>
        <v>-1.1794871794871793</v>
      </c>
      <c r="CR13" s="74">
        <f>'77'!BY57</f>
        <v>-1.1794871794871795</v>
      </c>
      <c r="CS13" s="74">
        <f>'77'!BZ57</f>
        <v>-0.17948717948717949</v>
      </c>
      <c r="CT13" s="74">
        <f>'77'!CA57</f>
        <v>-0.17948717948717949</v>
      </c>
      <c r="CU13" s="74">
        <f>'77'!CB57</f>
        <v>-0.17948717948717949</v>
      </c>
      <c r="CV13" s="74">
        <f>'77'!CC57</f>
        <v>-0.17948717948717949</v>
      </c>
      <c r="CW13" s="74">
        <f>'77'!CD57</f>
        <v>-0.17948717948717949</v>
      </c>
      <c r="CX13" s="74">
        <f>'77'!CE57</f>
        <v>-0.17948717948717949</v>
      </c>
      <c r="CY13" s="74">
        <f>'77'!CF57</f>
        <v>-0.17948717948717949</v>
      </c>
      <c r="CZ13" s="74">
        <f>'77'!CG57</f>
        <v>-0.17948717948717949</v>
      </c>
      <c r="DA13" s="74">
        <f>'77'!CH57</f>
        <v>-0.17948717948717949</v>
      </c>
      <c r="DB13" s="74">
        <f>'77'!CI57</f>
        <v>-0.17948717948717949</v>
      </c>
      <c r="DC13" s="118">
        <v>28</v>
      </c>
    </row>
    <row r="14" spans="1:107">
      <c r="B14" s="114">
        <v>2</v>
      </c>
      <c r="C14" s="74">
        <f t="shared" si="9"/>
        <v>2</v>
      </c>
      <c r="D14" s="74">
        <f t="shared" si="10"/>
        <v>2</v>
      </c>
      <c r="E14" s="74">
        <f t="shared" si="11"/>
        <v>2</v>
      </c>
      <c r="F14" s="114">
        <v>2</v>
      </c>
      <c r="G14" s="74">
        <f t="shared" si="12"/>
        <v>2</v>
      </c>
      <c r="H14" s="74">
        <f t="shared" si="13"/>
        <v>2</v>
      </c>
      <c r="I14" s="74">
        <f t="shared" si="14"/>
        <v>2</v>
      </c>
      <c r="J14" s="114">
        <f t="shared" si="15"/>
        <v>2</v>
      </c>
      <c r="K14" s="74">
        <f t="shared" si="16"/>
        <v>2.75</v>
      </c>
      <c r="L14" s="74">
        <f t="shared" si="17"/>
        <v>3.5</v>
      </c>
      <c r="M14" s="74">
        <f t="shared" si="18"/>
        <v>4.25</v>
      </c>
      <c r="N14" s="114">
        <f>SUM(F14,-B14,J14,0.2*ABS(J14-F14),0.2*(17-F14))</f>
        <v>5</v>
      </c>
      <c r="O14" s="74">
        <f>SUM(0.25*(R14-N14),N14)</f>
        <v>8</v>
      </c>
      <c r="P14" s="74">
        <f>SUM(0.5*(R14-N14),N14)</f>
        <v>11</v>
      </c>
      <c r="Q14" s="74">
        <f>SUM(0.75*(R14-N14),N14)</f>
        <v>14</v>
      </c>
      <c r="R14" s="114">
        <v>17</v>
      </c>
      <c r="S14" s="129"/>
      <c r="T14" s="117">
        <f>SUM((CZ20+CZ19+CZ18+CZ17+CZ16+CZ15+CZ14+CZ13+CZ12+CY11+CX10)*-0.132,(CW9+CV9+CU8+CT8)*-0.132/2,(CS7+CR7+CQ7+CP7+CO7+CN7+CM6+CL6+CK6+CJ6+CI6+CH6+CG5+CF5+CE5+CD5+CC5+CB5+CA4+BZ4+BY4+BX4+BW4+BV4)*-0.132/6,17)</f>
        <v>17.646461538461537</v>
      </c>
      <c r="U14" s="117">
        <f>Lefty!T14</f>
        <v>15.517538461538461</v>
      </c>
      <c r="X14" s="118">
        <f>'77'!D59</f>
        <v>25</v>
      </c>
      <c r="Y14" s="74">
        <f>'77'!E59</f>
        <v>0</v>
      </c>
      <c r="Z14" s="74">
        <f>'77'!F59</f>
        <v>0</v>
      </c>
      <c r="AA14" s="74">
        <f>'77'!G59</f>
        <v>0</v>
      </c>
      <c r="AB14" s="74">
        <f>'77'!H59</f>
        <v>0</v>
      </c>
      <c r="AC14" s="74">
        <f>'77'!I59</f>
        <v>0</v>
      </c>
      <c r="AD14" s="74">
        <f>'77'!K59</f>
        <v>0.42307692307692307</v>
      </c>
      <c r="AE14" s="74">
        <f>'77'!L59</f>
        <v>1.4230769230769231</v>
      </c>
      <c r="AF14" s="74">
        <f>'77'!M59</f>
        <v>-1.5769230769230769</v>
      </c>
      <c r="AG14" s="74">
        <f>'77'!N59</f>
        <v>0.42307692307692313</v>
      </c>
      <c r="AH14" s="74">
        <f>'77'!O59</f>
        <v>0.42307692307692313</v>
      </c>
      <c r="AI14" s="74">
        <f>'77'!P59</f>
        <v>0.42307692307692313</v>
      </c>
      <c r="AJ14" s="74">
        <f>'77'!Q59</f>
        <v>1.4230769230769231</v>
      </c>
      <c r="AK14" s="74">
        <f>'77'!R59</f>
        <v>0.42307692307692307</v>
      </c>
      <c r="AL14" s="74">
        <f>'77'!S59</f>
        <v>1.4230769230769231</v>
      </c>
      <c r="AM14" s="74">
        <f>'77'!T59</f>
        <v>1.4230769230769231</v>
      </c>
      <c r="AN14" s="74">
        <f>'77'!U59</f>
        <v>0.42307692307692313</v>
      </c>
      <c r="AO14" s="74">
        <f>'77'!V59</f>
        <v>1.4230769230769231</v>
      </c>
      <c r="AP14" s="74">
        <f>'77'!W59</f>
        <v>1.4230769230769229</v>
      </c>
      <c r="AQ14" s="74">
        <f>'77'!X59</f>
        <v>1.4230769230769229</v>
      </c>
      <c r="AR14" s="74">
        <f>'77'!Y59</f>
        <v>0.42307692307692335</v>
      </c>
      <c r="AS14" s="74">
        <f>'77'!Z59</f>
        <v>2.4230769230769234</v>
      </c>
      <c r="AT14" s="74">
        <f>'77'!AA59</f>
        <v>1.4230769230769234</v>
      </c>
      <c r="AU14" s="74">
        <f>'77'!AB59</f>
        <v>2.4230769230769234</v>
      </c>
      <c r="AV14" s="74">
        <f>'77'!AC59</f>
        <v>3.4230769230769234</v>
      </c>
      <c r="AW14" s="74">
        <f>'77'!AD59</f>
        <v>2.4230769230769234</v>
      </c>
      <c r="AX14" s="74">
        <f>'77'!AE59</f>
        <v>2.4230769230769234</v>
      </c>
      <c r="AY14" s="74">
        <f>'77'!AF59</f>
        <v>1.4230769230769234</v>
      </c>
      <c r="AZ14" s="74">
        <f>'77'!AG59</f>
        <v>1.4230769230769234</v>
      </c>
      <c r="BA14" s="74">
        <f>'77'!AH59</f>
        <v>0.42307692307692335</v>
      </c>
      <c r="BB14" s="74">
        <f>'77'!AI59</f>
        <v>1.4230769230769234</v>
      </c>
      <c r="BC14" s="74">
        <f>'77'!AJ59</f>
        <v>1.4230769230769234</v>
      </c>
      <c r="BD14" s="74">
        <f>'77'!AK59</f>
        <v>1.4230769230769234</v>
      </c>
      <c r="BE14" s="74">
        <f>'77'!AL59</f>
        <v>0.42307692307692335</v>
      </c>
      <c r="BF14" s="74">
        <f>'77'!AM59</f>
        <v>-0.57692307692307665</v>
      </c>
      <c r="BG14" s="74">
        <f>'77'!AN59</f>
        <v>-0.57692307692307665</v>
      </c>
      <c r="BH14" s="74">
        <f>'77'!AO59</f>
        <v>0.42307692307692335</v>
      </c>
      <c r="BI14" s="74">
        <f>'77'!AP59</f>
        <v>0.42307692307692335</v>
      </c>
      <c r="BJ14" s="74">
        <f>'77'!AQ59</f>
        <v>-0.57692307692307665</v>
      </c>
      <c r="BK14" s="74">
        <f>'77'!AR59</f>
        <v>0.42307692307692335</v>
      </c>
      <c r="BL14" s="74">
        <f>'77'!AS59</f>
        <v>0.42307692307692335</v>
      </c>
      <c r="BM14" s="74">
        <f>'77'!AT59</f>
        <v>-0.57692307692307665</v>
      </c>
      <c r="BN14" s="74">
        <f>'77'!AU59</f>
        <v>0.42307692307692335</v>
      </c>
      <c r="BO14" s="74">
        <f>'77'!AV59</f>
        <v>-0.57692307692307665</v>
      </c>
      <c r="BP14" s="74">
        <f>'77'!AW59</f>
        <v>0.42307692307692335</v>
      </c>
      <c r="BQ14" s="74">
        <f>'77'!AX59</f>
        <v>0.42307692307692335</v>
      </c>
      <c r="BR14" s="74">
        <f>'77'!AY59</f>
        <v>-0.57692307692307665</v>
      </c>
      <c r="BS14" s="74">
        <f>'77'!AZ59</f>
        <v>0.42307692307692335</v>
      </c>
      <c r="BT14" s="74">
        <f>'77'!BA59</f>
        <v>0.42307692307692335</v>
      </c>
      <c r="BU14" s="74">
        <f>'77'!BB59</f>
        <v>-0.57692307692307665</v>
      </c>
      <c r="BV14" s="74">
        <f>'77'!BC59</f>
        <v>0.42307692307692335</v>
      </c>
      <c r="BW14" s="74">
        <f>'77'!BD59</f>
        <v>0.42307692307692335</v>
      </c>
      <c r="BX14" s="74">
        <f>'77'!BE59</f>
        <v>0.42307692307692335</v>
      </c>
      <c r="BY14" s="74">
        <f>'77'!BF59</f>
        <v>0.42307692307692335</v>
      </c>
      <c r="BZ14" s="74">
        <f>'77'!BG59</f>
        <v>0.42307692307692335</v>
      </c>
      <c r="CA14" s="74">
        <f>'77'!BH59</f>
        <v>1.4230769230769234</v>
      </c>
      <c r="CB14" s="74">
        <f>'77'!BI59</f>
        <v>0.42307692307692335</v>
      </c>
      <c r="CC14" s="74">
        <f>'77'!BJ59</f>
        <v>1.4230769230769234</v>
      </c>
      <c r="CD14" s="74">
        <f>'77'!BK59</f>
        <v>0.42307692307692335</v>
      </c>
      <c r="CE14" s="74">
        <f>'77'!BL59</f>
        <v>-1.5769230769230766</v>
      </c>
      <c r="CF14" s="74">
        <f>'77'!BM59</f>
        <v>-0.57692307692307665</v>
      </c>
      <c r="CG14" s="74">
        <f>'77'!BN59</f>
        <v>-0.57692307692307665</v>
      </c>
      <c r="CH14" s="74">
        <f>'77'!BO59</f>
        <v>0.42307692307692335</v>
      </c>
      <c r="CI14" s="74">
        <f>'77'!BP59</f>
        <v>-0.57692307692307665</v>
      </c>
      <c r="CJ14" s="74">
        <f>'77'!BQ59</f>
        <v>0.42307692307692335</v>
      </c>
      <c r="CK14" s="74">
        <f>'77'!BR59</f>
        <v>-2.5769230769230766</v>
      </c>
      <c r="CL14" s="74">
        <f>'77'!BS59</f>
        <v>-0.57692307692307665</v>
      </c>
      <c r="CM14" s="74">
        <f>'77'!BT59</f>
        <v>-1.5769230769230766</v>
      </c>
      <c r="CN14" s="74">
        <f>'77'!BU59</f>
        <v>-1.5769230769230766</v>
      </c>
      <c r="CO14" s="74">
        <f>'77'!BV59</f>
        <v>-0.57692307692307709</v>
      </c>
      <c r="CP14" s="74">
        <f>'77'!BW59</f>
        <v>-0.57692307692307709</v>
      </c>
      <c r="CQ14" s="74">
        <f>'77'!BX59</f>
        <v>-0.57692307692307687</v>
      </c>
      <c r="CR14" s="74">
        <f>'77'!BY59</f>
        <v>-0.57692307692307687</v>
      </c>
      <c r="CS14" s="74">
        <f>'77'!BZ59</f>
        <v>0.42307692307692307</v>
      </c>
      <c r="CT14" s="74">
        <f>'77'!CA59</f>
        <v>0.42307692307692307</v>
      </c>
      <c r="CU14" s="74">
        <f>'77'!CB59</f>
        <v>0.42307692307692307</v>
      </c>
      <c r="CV14" s="74">
        <f>'77'!CC59</f>
        <v>0.42307692307692307</v>
      </c>
      <c r="CW14" s="74">
        <f>'77'!CD59</f>
        <v>0.42307692307692307</v>
      </c>
      <c r="CX14" s="74">
        <f>'77'!CE59</f>
        <v>0.42307692307692307</v>
      </c>
      <c r="CY14" s="74">
        <f>'77'!CF59</f>
        <v>0.42307692307692307</v>
      </c>
      <c r="CZ14" s="74">
        <f>'77'!CG59</f>
        <v>0.42307692307692307</v>
      </c>
      <c r="DA14" s="74">
        <f>'77'!CH59</f>
        <v>0.42307692307692307</v>
      </c>
      <c r="DB14" s="74">
        <f>'77'!CI59</f>
        <v>0.42307692307692307</v>
      </c>
      <c r="DC14" s="118">
        <v>24.5</v>
      </c>
    </row>
    <row r="15" spans="1:107">
      <c r="B15" s="114"/>
      <c r="C15" s="74"/>
      <c r="D15" s="74"/>
      <c r="E15" s="74"/>
      <c r="F15" s="114"/>
      <c r="G15" s="74"/>
      <c r="H15" s="74"/>
      <c r="I15" s="74"/>
      <c r="J15" s="114"/>
      <c r="K15" s="74"/>
      <c r="L15" s="74"/>
      <c r="M15" s="74"/>
      <c r="N15" s="114"/>
      <c r="O15" s="74"/>
      <c r="P15" s="74"/>
      <c r="Q15" s="74"/>
      <c r="R15" s="114"/>
      <c r="S15" s="129"/>
      <c r="X15" s="118">
        <f>'77'!D61</f>
        <v>21</v>
      </c>
      <c r="Y15" s="74">
        <f>'77'!E61</f>
        <v>0</v>
      </c>
      <c r="Z15" s="74">
        <f>'77'!F61</f>
        <v>0</v>
      </c>
      <c r="AA15" s="74">
        <f>'77'!G61</f>
        <v>0</v>
      </c>
      <c r="AB15" s="74">
        <f>'77'!H61</f>
        <v>0</v>
      </c>
      <c r="AC15" s="74">
        <f>'77'!I61</f>
        <v>0</v>
      </c>
      <c r="AD15" s="74">
        <f>'77'!K61</f>
        <v>0.74358974358974361</v>
      </c>
      <c r="AE15" s="74">
        <f>'77'!L61</f>
        <v>1.7435897435897436</v>
      </c>
      <c r="AF15" s="74">
        <f>'77'!M61</f>
        <v>-1.2564102564102564</v>
      </c>
      <c r="AG15" s="74">
        <f>'77'!N61</f>
        <v>0.74358974358974361</v>
      </c>
      <c r="AH15" s="74">
        <f>'77'!O61</f>
        <v>0.74358974358974361</v>
      </c>
      <c r="AI15" s="74">
        <f>'77'!P61</f>
        <v>0.74358974358974361</v>
      </c>
      <c r="AJ15" s="74">
        <f>'77'!Q61</f>
        <v>1.7435897435897436</v>
      </c>
      <c r="AK15" s="74">
        <f>'77'!R61</f>
        <v>0.74358974358974361</v>
      </c>
      <c r="AL15" s="74">
        <f>'77'!S61</f>
        <v>1.7435897435897436</v>
      </c>
      <c r="AM15" s="74">
        <f>'77'!T61</f>
        <v>1.7435897435897436</v>
      </c>
      <c r="AN15" s="74">
        <f>'77'!U61</f>
        <v>0.74358974358974361</v>
      </c>
      <c r="AO15" s="74">
        <f>'77'!V61</f>
        <v>1.7435897435897436</v>
      </c>
      <c r="AP15" s="74">
        <f>'77'!W61</f>
        <v>1.7435897435897436</v>
      </c>
      <c r="AQ15" s="74">
        <f>'77'!X61</f>
        <v>1.7435897435897436</v>
      </c>
      <c r="AR15" s="74">
        <f>'77'!Y61</f>
        <v>0.74358974358974361</v>
      </c>
      <c r="AS15" s="74">
        <f>'77'!Z61</f>
        <v>2.7435897435897436</v>
      </c>
      <c r="AT15" s="74">
        <f>'77'!AA61</f>
        <v>1.7435897435897436</v>
      </c>
      <c r="AU15" s="74">
        <f>'77'!AB61</f>
        <v>2.7435897435897436</v>
      </c>
      <c r="AV15" s="74">
        <f>'77'!AC61</f>
        <v>3.7435897435897445</v>
      </c>
      <c r="AW15" s="74">
        <f>'77'!AD61</f>
        <v>2.7435897435897445</v>
      </c>
      <c r="AX15" s="74">
        <f>'77'!AE61</f>
        <v>2.7435897435897445</v>
      </c>
      <c r="AY15" s="74">
        <f>'77'!AF61</f>
        <v>1.7435897435897445</v>
      </c>
      <c r="AZ15" s="74">
        <f>'77'!AG61</f>
        <v>1.7435897435897445</v>
      </c>
      <c r="BA15" s="74">
        <f>'77'!AH61</f>
        <v>0.7435897435897445</v>
      </c>
      <c r="BB15" s="74">
        <f>'77'!AI61</f>
        <v>1.7435897435897445</v>
      </c>
      <c r="BC15" s="74">
        <f>'77'!AJ61</f>
        <v>1.7435897435897445</v>
      </c>
      <c r="BD15" s="74">
        <f>'77'!AK61</f>
        <v>1.7435897435897445</v>
      </c>
      <c r="BE15" s="74">
        <f>'77'!AL61</f>
        <v>0.7435897435897445</v>
      </c>
      <c r="BF15" s="74">
        <f>'77'!AM61</f>
        <v>-0.2564102564102555</v>
      </c>
      <c r="BG15" s="74">
        <f>'77'!AN61</f>
        <v>-0.2564102564102555</v>
      </c>
      <c r="BH15" s="74">
        <f>'77'!AO61</f>
        <v>0.7435897435897445</v>
      </c>
      <c r="BI15" s="74">
        <f>'77'!AP61</f>
        <v>0.7435897435897445</v>
      </c>
      <c r="BJ15" s="74">
        <f>'77'!AQ61</f>
        <v>-0.2564102564102555</v>
      </c>
      <c r="BK15" s="74">
        <f>'77'!AR61</f>
        <v>0.7435897435897445</v>
      </c>
      <c r="BL15" s="74">
        <f>'77'!AS61</f>
        <v>0.7435897435897445</v>
      </c>
      <c r="BM15" s="74">
        <f>'77'!AT61</f>
        <v>-0.2564102564102555</v>
      </c>
      <c r="BN15" s="74">
        <f>'77'!AU61</f>
        <v>0.7435897435897445</v>
      </c>
      <c r="BO15" s="74">
        <f>'77'!AV61</f>
        <v>-0.2564102564102555</v>
      </c>
      <c r="BP15" s="74">
        <f>'77'!AW61</f>
        <v>0.7435897435897445</v>
      </c>
      <c r="BQ15" s="74">
        <f>'77'!AX61</f>
        <v>0.7435897435897445</v>
      </c>
      <c r="BR15" s="74">
        <f>'77'!AY61</f>
        <v>-0.2564102564102555</v>
      </c>
      <c r="BS15" s="74">
        <f>'77'!AZ61</f>
        <v>0.7435897435897445</v>
      </c>
      <c r="BT15" s="74">
        <f>'77'!BA61</f>
        <v>0.7435897435897445</v>
      </c>
      <c r="BU15" s="74">
        <f>'77'!BB61</f>
        <v>-0.2564102564102555</v>
      </c>
      <c r="BV15" s="74">
        <f>'77'!BC61</f>
        <v>0.7435897435897445</v>
      </c>
      <c r="BW15" s="74">
        <f>'77'!BD61</f>
        <v>0.7435897435897445</v>
      </c>
      <c r="BX15" s="74">
        <f>'77'!BE61</f>
        <v>0.7435897435897445</v>
      </c>
      <c r="BY15" s="74">
        <f>'77'!BF61</f>
        <v>0.7435897435897445</v>
      </c>
      <c r="BZ15" s="74">
        <f>'77'!BG61</f>
        <v>0.7435897435897445</v>
      </c>
      <c r="CA15" s="74">
        <f>'77'!BH61</f>
        <v>1.7435897435897445</v>
      </c>
      <c r="CB15" s="74">
        <f>'77'!BI61</f>
        <v>0.7435897435897445</v>
      </c>
      <c r="CC15" s="74">
        <f>'77'!BJ61</f>
        <v>1.7435897435897445</v>
      </c>
      <c r="CD15" s="74">
        <f>'77'!BK61</f>
        <v>0.7435897435897445</v>
      </c>
      <c r="CE15" s="74">
        <f>'77'!BL61</f>
        <v>-1.2564102564102555</v>
      </c>
      <c r="CF15" s="74">
        <f>'77'!BM61</f>
        <v>-0.2564102564102555</v>
      </c>
      <c r="CG15" s="74">
        <f>'77'!BN61</f>
        <v>-0.2564102564102555</v>
      </c>
      <c r="CH15" s="74">
        <f>'77'!BO61</f>
        <v>0.7435897435897445</v>
      </c>
      <c r="CI15" s="74">
        <f>'77'!BP61</f>
        <v>-0.2564102564102555</v>
      </c>
      <c r="CJ15" s="74">
        <f>'77'!BQ61</f>
        <v>0.7435897435897445</v>
      </c>
      <c r="CK15" s="74">
        <f>'77'!BR61</f>
        <v>-2.2564102564102555</v>
      </c>
      <c r="CL15" s="74">
        <f>'77'!BS61</f>
        <v>-0.2564102564102555</v>
      </c>
      <c r="CM15" s="74">
        <f>'77'!BT61</f>
        <v>-1.2564102564102564</v>
      </c>
      <c r="CN15" s="74">
        <f>'77'!BU61</f>
        <v>-1.2564102564102564</v>
      </c>
      <c r="CO15" s="74">
        <f>'77'!BV61</f>
        <v>-0.25641025641025639</v>
      </c>
      <c r="CP15" s="74">
        <f>'77'!BW61</f>
        <v>-0.25641025641025639</v>
      </c>
      <c r="CQ15" s="74">
        <f>'77'!BX61</f>
        <v>-0.25641025641025639</v>
      </c>
      <c r="CR15" s="74">
        <f>'77'!BY61</f>
        <v>-0.25641025641025639</v>
      </c>
      <c r="CS15" s="74">
        <f>'77'!BZ61</f>
        <v>0.74358974358974361</v>
      </c>
      <c r="CT15" s="74">
        <f>'77'!CA61</f>
        <v>0.74358974358974361</v>
      </c>
      <c r="CU15" s="74">
        <f>'77'!CB61</f>
        <v>0.74358974358974361</v>
      </c>
      <c r="CV15" s="74">
        <f>'77'!CC61</f>
        <v>0.74358974358974361</v>
      </c>
      <c r="CW15" s="74">
        <f>'77'!CD61</f>
        <v>0.74358974358974361</v>
      </c>
      <c r="CX15" s="74">
        <f>'77'!CE61</f>
        <v>0.74358974358974361</v>
      </c>
      <c r="CY15" s="74">
        <f>'77'!CF61</f>
        <v>0.74358974358974361</v>
      </c>
      <c r="CZ15" s="74">
        <f>'77'!CG61</f>
        <v>0.74358974358974361</v>
      </c>
      <c r="DA15" s="74">
        <f>'77'!CH61</f>
        <v>0.74358974358974361</v>
      </c>
      <c r="DB15" s="74">
        <f>'77'!CI61</f>
        <v>0.74358974358974361</v>
      </c>
      <c r="DC15" s="118">
        <v>21</v>
      </c>
    </row>
    <row r="16" spans="1:107">
      <c r="B16" s="114">
        <v>1</v>
      </c>
      <c r="C16" s="74">
        <f t="shared" si="9"/>
        <v>1.5</v>
      </c>
      <c r="D16" s="74">
        <f t="shared" si="10"/>
        <v>2</v>
      </c>
      <c r="E16" s="74">
        <f t="shared" si="11"/>
        <v>2.5</v>
      </c>
      <c r="F16" s="114">
        <v>3</v>
      </c>
      <c r="G16" s="74">
        <f t="shared" si="12"/>
        <v>3.5</v>
      </c>
      <c r="H16" s="74">
        <f t="shared" si="13"/>
        <v>4</v>
      </c>
      <c r="I16" s="74">
        <f t="shared" si="14"/>
        <v>4.5</v>
      </c>
      <c r="J16" s="114">
        <f t="shared" si="15"/>
        <v>5</v>
      </c>
      <c r="K16" s="74">
        <f t="shared" si="16"/>
        <v>5.625</v>
      </c>
      <c r="L16" s="74">
        <f t="shared" si="17"/>
        <v>6.25</v>
      </c>
      <c r="M16" s="74">
        <f t="shared" si="18"/>
        <v>6.875</v>
      </c>
      <c r="N16" s="114">
        <f>SUM(F16,-B16,J16,0.25*ABS(J16-F16))</f>
        <v>7.5</v>
      </c>
      <c r="O16" s="74">
        <f>SUM(0.25*(R16-N16),N16)</f>
        <v>9.875</v>
      </c>
      <c r="P16" s="74">
        <f>SUM(0.5*(R16-N16),N16)</f>
        <v>12.25</v>
      </c>
      <c r="Q16" s="74">
        <f>SUM(0.75*(R16-N16),N16)</f>
        <v>14.625</v>
      </c>
      <c r="R16" s="114">
        <v>17</v>
      </c>
      <c r="S16" s="129"/>
      <c r="T16" s="117">
        <f>SUM((DB20+DA19+CZ18+CY17+CX16+CW15+CV14+CU13+CT12+CS11+CR10)*-0.132,(CQ9+CP9)*-0.132/2,(CO8+CN8)*-0.132/2,(CM7+CL7+CK7+CJ7+CI7)*-0.132/5,(CH6+CG6+CF6+CE6+CD6)*-0.132/5,(CC5+CB5+CA5+BZ5)*-0.132/4,(BY4+BX4+BW4+BV4)*-0.132/4,17)</f>
        <v>17.72126153846154</v>
      </c>
      <c r="U16" s="117">
        <f>Lefty!T16</f>
        <v>17.15653846153846</v>
      </c>
      <c r="X16" s="118">
        <f>'77'!D63</f>
        <v>17</v>
      </c>
      <c r="Y16" s="74">
        <f>'77'!E63</f>
        <v>0</v>
      </c>
      <c r="Z16" s="74">
        <f>'77'!F63</f>
        <v>0</v>
      </c>
      <c r="AA16" s="74">
        <f>'77'!G63</f>
        <v>0</v>
      </c>
      <c r="AB16" s="74">
        <f>'77'!H63</f>
        <v>0</v>
      </c>
      <c r="AC16" s="74">
        <f>'77'!I63</f>
        <v>0</v>
      </c>
      <c r="AD16" s="119">
        <f>'77'!K63</f>
        <v>-0.12820512820512819</v>
      </c>
      <c r="AE16" s="119">
        <f>'77'!L63</f>
        <v>0.87179487179487181</v>
      </c>
      <c r="AF16" s="119">
        <f>'77'!M63</f>
        <v>-0.12820512820512819</v>
      </c>
      <c r="AG16" s="119">
        <f>'77'!N63</f>
        <v>0.87179487179487181</v>
      </c>
      <c r="AH16" s="119">
        <f>'77'!O63</f>
        <v>1.8717948717948718</v>
      </c>
      <c r="AI16" s="119">
        <f>'77'!P63</f>
        <v>-0.12820512820512775</v>
      </c>
      <c r="AJ16" s="119">
        <f>'77'!Q63</f>
        <v>2.8717948717948723</v>
      </c>
      <c r="AK16" s="119">
        <f>'77'!R63</f>
        <v>2.8717948717948723</v>
      </c>
      <c r="AL16" s="119">
        <f>'77'!S63</f>
        <v>2.8717948717948723</v>
      </c>
      <c r="AM16" s="119">
        <f>'77'!T63</f>
        <v>0.87179487179487225</v>
      </c>
      <c r="AN16" s="119">
        <f>'77'!U63</f>
        <v>2.8717948717948723</v>
      </c>
      <c r="AO16" s="119">
        <f>'77'!V63</f>
        <v>2.8717948717948723</v>
      </c>
      <c r="AP16" s="119">
        <f>'77'!W63</f>
        <v>1.8717948717948723</v>
      </c>
      <c r="AQ16" s="119">
        <f>'77'!X63</f>
        <v>2.8717948717948723</v>
      </c>
      <c r="AR16" s="119">
        <f>'77'!Y63</f>
        <v>1.8717948717948723</v>
      </c>
      <c r="AS16" s="119">
        <f>'77'!Z63</f>
        <v>1.8717948717948723</v>
      </c>
      <c r="AT16" s="119">
        <f>'77'!AA63</f>
        <v>1.8717948717948723</v>
      </c>
      <c r="AU16" s="119">
        <f>'77'!AB63</f>
        <v>2.8717948717948723</v>
      </c>
      <c r="AV16" s="119">
        <f>'77'!AC63</f>
        <v>2.8717948717948687</v>
      </c>
      <c r="AW16" s="119">
        <f>'77'!AD63</f>
        <v>2.8717948717948687</v>
      </c>
      <c r="AX16" s="119">
        <f>'77'!AE63</f>
        <v>1.8717948717948687</v>
      </c>
      <c r="AY16" s="119">
        <f>'77'!AF63</f>
        <v>1.8717948717948687</v>
      </c>
      <c r="AZ16" s="119">
        <f>'77'!AG63</f>
        <v>1.8717948717948687</v>
      </c>
      <c r="BA16" s="119">
        <f>'77'!AH63</f>
        <v>1.8717948717948687</v>
      </c>
      <c r="BB16" s="119">
        <f>'77'!AI63</f>
        <v>2.8717948717948687</v>
      </c>
      <c r="BC16" s="119">
        <f>'77'!AJ63</f>
        <v>1.8717948717948687</v>
      </c>
      <c r="BD16" s="119">
        <f>'77'!AK63</f>
        <v>1.8717948717948687</v>
      </c>
      <c r="BE16" s="119">
        <f>'77'!AL63</f>
        <v>1.8717948717948687</v>
      </c>
      <c r="BF16" s="119">
        <f>'77'!AM63</f>
        <v>2.8717948717948687</v>
      </c>
      <c r="BG16" s="119">
        <f>'77'!AN63</f>
        <v>2.8717948717948687</v>
      </c>
      <c r="BH16" s="119">
        <f>'77'!AO63</f>
        <v>2.8717948717948687</v>
      </c>
      <c r="BI16" s="119">
        <f>'77'!AP63</f>
        <v>1.8717948717948758</v>
      </c>
      <c r="BJ16" s="119">
        <f>'77'!AQ63</f>
        <v>1.8717948717948758</v>
      </c>
      <c r="BK16" s="119">
        <f>'77'!AR63</f>
        <v>1.8717948717948758</v>
      </c>
      <c r="BL16" s="119">
        <f>'77'!AS63</f>
        <v>1.8717948717948758</v>
      </c>
      <c r="BM16" s="119">
        <f>'77'!AT63</f>
        <v>2.8717948717948758</v>
      </c>
      <c r="BN16" s="119">
        <f>'77'!AU63</f>
        <v>1.8717948717948758</v>
      </c>
      <c r="BO16" s="119">
        <f>'77'!AV63</f>
        <v>0.8717948717948758</v>
      </c>
      <c r="BP16" s="119">
        <f>'77'!AW63</f>
        <v>2.8717948717948758</v>
      </c>
      <c r="BQ16" s="119">
        <f>'77'!AX63</f>
        <v>0.8717948717948758</v>
      </c>
      <c r="BR16" s="119">
        <f>'77'!AY63</f>
        <v>0.8717948717948758</v>
      </c>
      <c r="BS16" s="119">
        <f>'77'!AZ63</f>
        <v>1.8717948717948758</v>
      </c>
      <c r="BT16" s="119">
        <f>'77'!BA63</f>
        <v>1.8717948717948758</v>
      </c>
      <c r="BU16" s="119">
        <f>'77'!BB63</f>
        <v>0.8717948717948758</v>
      </c>
      <c r="BV16" s="119">
        <f>'77'!BC63</f>
        <v>0.8717948717948758</v>
      </c>
      <c r="BW16" s="119">
        <f>'77'!BD63</f>
        <v>-1.1282051282051242</v>
      </c>
      <c r="BX16" s="119">
        <f>'77'!BE63</f>
        <v>-1.1282051282051242</v>
      </c>
      <c r="BY16" s="119">
        <f>'77'!BF63</f>
        <v>-1.1282051282051242</v>
      </c>
      <c r="BZ16" s="119">
        <f>'77'!BG63</f>
        <v>-0.1282051282051242</v>
      </c>
      <c r="CA16" s="119">
        <f>'77'!BH63</f>
        <v>-2.1282051282051242</v>
      </c>
      <c r="CB16" s="119">
        <f>'77'!BI63</f>
        <v>-2.1282051282051242</v>
      </c>
      <c r="CC16" s="119">
        <f>'77'!BJ63</f>
        <v>-2.1282051282051242</v>
      </c>
      <c r="CD16" s="119">
        <f>'77'!BK63</f>
        <v>-2.1282051282051242</v>
      </c>
      <c r="CE16" s="119">
        <f>'77'!BL63</f>
        <v>-3.1282051282051242</v>
      </c>
      <c r="CF16" s="119">
        <f>'77'!BM63</f>
        <v>-3.1282051282051242</v>
      </c>
      <c r="CG16" s="119">
        <f>'77'!BN63</f>
        <v>-4.1282051282051242</v>
      </c>
      <c r="CH16" s="119">
        <f>'77'!BO63</f>
        <v>-3.1282051282051242</v>
      </c>
      <c r="CI16" s="119">
        <f>'77'!BP63</f>
        <v>-4.1282051282051242</v>
      </c>
      <c r="CJ16" s="119">
        <f>'77'!BQ63</f>
        <v>-3.1282051282051313</v>
      </c>
      <c r="CK16" s="119">
        <f>'77'!BR63</f>
        <v>-5.1282051282051313</v>
      </c>
      <c r="CL16" s="119">
        <f>'77'!BS63</f>
        <v>-4.1282051282051313</v>
      </c>
      <c r="CM16" s="119">
        <f>'77'!BT63</f>
        <v>-7.1282051282051313</v>
      </c>
      <c r="CN16" s="119">
        <f>'77'!BU63</f>
        <v>-6.1282051282051313</v>
      </c>
      <c r="CO16" s="119">
        <f>'77'!BV63</f>
        <v>-4.1282051282051313</v>
      </c>
      <c r="CP16" s="119">
        <f>'77'!BW63</f>
        <v>-4.1282051282051313</v>
      </c>
      <c r="CQ16" s="119">
        <f>'77'!BX63</f>
        <v>-4.1282051282051277</v>
      </c>
      <c r="CR16" s="119">
        <f>'77'!BY63</f>
        <v>-4.1282051282051277</v>
      </c>
      <c r="CS16" s="119">
        <f>'77'!BZ63</f>
        <v>-2.1282051282051277</v>
      </c>
      <c r="CT16" s="119">
        <f>'77'!CA63</f>
        <v>-3.1282051282051277</v>
      </c>
      <c r="CU16" s="119">
        <f>'77'!CB63</f>
        <v>-5.1282051282051277</v>
      </c>
      <c r="CV16" s="119">
        <f>'77'!CC63</f>
        <v>-3.1282051282051277</v>
      </c>
      <c r="CW16" s="119">
        <f>'77'!CD63</f>
        <v>-2.1282051282051277</v>
      </c>
      <c r="CX16" s="119">
        <f>'77'!CE63</f>
        <v>-2.1282051282051277</v>
      </c>
      <c r="CY16" s="119">
        <f>'77'!CF63</f>
        <v>-1.1282051282051277</v>
      </c>
      <c r="CZ16" s="119">
        <f>'77'!CG63</f>
        <v>-1.1282051282051277</v>
      </c>
      <c r="DA16" s="119">
        <f>'77'!CH63</f>
        <v>-2.1282051282051282</v>
      </c>
      <c r="DB16" s="119">
        <f>'77'!CI63</f>
        <v>-1.1282051282051282</v>
      </c>
      <c r="DC16" s="118">
        <v>17.5</v>
      </c>
    </row>
    <row r="17" spans="2:107">
      <c r="B17" s="114">
        <v>2</v>
      </c>
      <c r="C17" s="74">
        <f t="shared" si="9"/>
        <v>2.25</v>
      </c>
      <c r="D17" s="74">
        <f t="shared" si="10"/>
        <v>2.5</v>
      </c>
      <c r="E17" s="74">
        <f t="shared" si="11"/>
        <v>2.75</v>
      </c>
      <c r="F17" s="114">
        <v>3</v>
      </c>
      <c r="G17" s="74">
        <f t="shared" si="12"/>
        <v>3.25</v>
      </c>
      <c r="H17" s="74">
        <f t="shared" si="13"/>
        <v>3.5</v>
      </c>
      <c r="I17" s="74">
        <f t="shared" si="14"/>
        <v>3.75</v>
      </c>
      <c r="J17" s="114">
        <f t="shared" si="15"/>
        <v>4</v>
      </c>
      <c r="K17" s="74">
        <f t="shared" si="16"/>
        <v>4.3125</v>
      </c>
      <c r="L17" s="74">
        <f t="shared" si="17"/>
        <v>4.625</v>
      </c>
      <c r="M17" s="74">
        <f t="shared" si="18"/>
        <v>4.9375</v>
      </c>
      <c r="N17" s="114">
        <f>SUM(F17,-B17,J17,0.25*ABS(J17-F17))</f>
        <v>5.25</v>
      </c>
      <c r="O17" s="74">
        <f>SUM(0.25*(R17-N17),N17)</f>
        <v>8.1875</v>
      </c>
      <c r="P17" s="74">
        <f>SUM(0.5*(R17-N17),N17)</f>
        <v>11.125</v>
      </c>
      <c r="Q17" s="74">
        <f>SUM(0.75*(R17-N17),N17)</f>
        <v>14.0625</v>
      </c>
      <c r="R17" s="114">
        <v>17</v>
      </c>
      <c r="S17" s="129"/>
      <c r="T17" s="117">
        <f>SUM((CZ20+CY19+CY18+CX17+CX16+CW15+CW14+CV13+CV12+CU11+CT10+CS9+CR8)*-0.132,(CQ7+CP7+CO7+CN7+CM7+CL7)*-0.132/6,(CK6+CJ6+CI6+CH6+CG6+CF6)*-0.132/6,(CE5+CD5+CC5+CB5+CA5)*-0.132/5,(BZ4+BY4+BX4+BW4+BV4)*-0.132/5,17)</f>
        <v>17.804861538461537</v>
      </c>
      <c r="U17" s="117">
        <f>Lefty!T17</f>
        <v>16.731938461538462</v>
      </c>
      <c r="X17" s="118">
        <f>'77'!D64</f>
        <v>15</v>
      </c>
      <c r="Y17" s="74">
        <f>'77'!E64</f>
        <v>0</v>
      </c>
      <c r="Z17" s="74">
        <f>'77'!F64</f>
        <v>0</v>
      </c>
      <c r="AA17" s="74">
        <f>'77'!G64</f>
        <v>0</v>
      </c>
      <c r="AB17" s="74">
        <f>'77'!H64</f>
        <v>0</v>
      </c>
      <c r="AC17" s="74">
        <f>'77'!I64</f>
        <v>0</v>
      </c>
      <c r="AD17" s="74">
        <f>'77'!K64</f>
        <v>-0.35897435897435898</v>
      </c>
      <c r="AE17" s="74">
        <f>'77'!L64</f>
        <v>-0.35897435897435898</v>
      </c>
      <c r="AF17" s="74">
        <f>'77'!M64</f>
        <v>-1.358974358974359</v>
      </c>
      <c r="AG17" s="74">
        <f>'77'!N64</f>
        <v>-1.358974358974359</v>
      </c>
      <c r="AH17" s="74">
        <f>'77'!O64</f>
        <v>-1.358974358974359</v>
      </c>
      <c r="AI17" s="74">
        <f>'77'!P64</f>
        <v>-0.35897435897435903</v>
      </c>
      <c r="AJ17" s="74">
        <f>'77'!Q64</f>
        <v>-4.3589743589743595</v>
      </c>
      <c r="AK17" s="74">
        <f>'77'!R64</f>
        <v>-2.3589743589743586</v>
      </c>
      <c r="AL17" s="74">
        <f>'77'!S64</f>
        <v>-1.3589743589743595</v>
      </c>
      <c r="AM17" s="74">
        <f>'77'!T64</f>
        <v>-1.3589743589743595</v>
      </c>
      <c r="AN17" s="74">
        <f>'77'!U64</f>
        <v>-1.3589743589743595</v>
      </c>
      <c r="AO17" s="74">
        <f>'77'!V64</f>
        <v>-0.35897435897435948</v>
      </c>
      <c r="AP17" s="74">
        <f>'77'!W64</f>
        <v>0.64102564102564052</v>
      </c>
      <c r="AQ17" s="74">
        <f>'77'!X64</f>
        <v>-0.35897435897435948</v>
      </c>
      <c r="AR17" s="74">
        <f>'77'!Y64</f>
        <v>-0.35897435897435948</v>
      </c>
      <c r="AS17" s="74">
        <f>'77'!Z64</f>
        <v>-0.35897435897435948</v>
      </c>
      <c r="AT17" s="74">
        <f>'77'!AA64</f>
        <v>0.64102564102564052</v>
      </c>
      <c r="AU17" s="74">
        <f>'77'!AB64</f>
        <v>1.6410256410256405</v>
      </c>
      <c r="AV17" s="74">
        <f>'77'!AC64</f>
        <v>1.6410256410256414</v>
      </c>
      <c r="AW17" s="74">
        <f>'77'!AD64</f>
        <v>0.64102564102564141</v>
      </c>
      <c r="AX17" s="74">
        <f>'77'!AE64</f>
        <v>1.6410256410256414</v>
      </c>
      <c r="AY17" s="74">
        <f>'77'!AF64</f>
        <v>0.64102564102564097</v>
      </c>
      <c r="AZ17" s="74">
        <f>'77'!AG64</f>
        <v>0.64102564102564097</v>
      </c>
      <c r="BA17" s="74">
        <f>'77'!AH64</f>
        <v>2.641025641025641</v>
      </c>
      <c r="BB17" s="74">
        <f>'77'!AI64</f>
        <v>2.641025641025641</v>
      </c>
      <c r="BC17" s="74">
        <f>'77'!AJ64</f>
        <v>1.6410256410256414</v>
      </c>
      <c r="BD17" s="74">
        <f>'77'!AK64</f>
        <v>1.6410256410256414</v>
      </c>
      <c r="BE17" s="74">
        <f>'77'!AL64</f>
        <v>2.6410256410256405</v>
      </c>
      <c r="BF17" s="74">
        <f>'77'!AM64</f>
        <v>2.6410256410256405</v>
      </c>
      <c r="BG17" s="74">
        <f>'77'!AN64</f>
        <v>1.6410256410256405</v>
      </c>
      <c r="BH17" s="74">
        <f>'77'!AO64</f>
        <v>2.6410256410256423</v>
      </c>
      <c r="BI17" s="74">
        <f>'77'!AP64</f>
        <v>1.6410256410256423</v>
      </c>
      <c r="BJ17" s="74">
        <f>'77'!AQ64</f>
        <v>1.6410256410256423</v>
      </c>
      <c r="BK17" s="74">
        <f>'77'!AR64</f>
        <v>1.6410256410256423</v>
      </c>
      <c r="BL17" s="74">
        <f>'77'!AS64</f>
        <v>0.6410256410256423</v>
      </c>
      <c r="BM17" s="74">
        <f>'77'!AT64</f>
        <v>2.6410256410256423</v>
      </c>
      <c r="BN17" s="74">
        <f>'77'!AU64</f>
        <v>0.6410256410256423</v>
      </c>
      <c r="BO17" s="74">
        <f>'77'!AV64</f>
        <v>-0.3589743589743577</v>
      </c>
      <c r="BP17" s="74">
        <f>'77'!AW64</f>
        <v>-0.3589743589743577</v>
      </c>
      <c r="BQ17" s="74">
        <f>'77'!AX64</f>
        <v>-0.3589743589743577</v>
      </c>
      <c r="BR17" s="74">
        <f>'77'!AY64</f>
        <v>-0.3589743589743577</v>
      </c>
      <c r="BS17" s="74">
        <f>'77'!AZ64</f>
        <v>-0.3589743589743577</v>
      </c>
      <c r="BT17" s="74">
        <f>'77'!BA64</f>
        <v>-0.3589743589743577</v>
      </c>
      <c r="BU17" s="74">
        <f>'77'!BB64</f>
        <v>-0.3589743589743577</v>
      </c>
      <c r="BV17" s="74">
        <f>'77'!BC64</f>
        <v>-1.3589743589743577</v>
      </c>
      <c r="BW17" s="74">
        <f>'77'!BD64</f>
        <v>-1.3589743589743577</v>
      </c>
      <c r="BX17" s="74">
        <f>'77'!BE64</f>
        <v>-1.3589743589743577</v>
      </c>
      <c r="BY17" s="74">
        <f>'77'!BF64</f>
        <v>-0.3589743589743577</v>
      </c>
      <c r="BZ17" s="74">
        <f>'77'!BG64</f>
        <v>-0.3589743589743577</v>
      </c>
      <c r="CA17" s="74">
        <f>'77'!BH64</f>
        <v>-0.3589743589743577</v>
      </c>
      <c r="CB17" s="74">
        <f>'77'!BI64</f>
        <v>-0.3589743589743577</v>
      </c>
      <c r="CC17" s="74">
        <f>'77'!BJ64</f>
        <v>-1.3589743589743577</v>
      </c>
      <c r="CD17" s="74">
        <f>'77'!BK64</f>
        <v>-0.3589743589743577</v>
      </c>
      <c r="CE17" s="74">
        <f>'77'!BL64</f>
        <v>-0.3589743589743577</v>
      </c>
      <c r="CF17" s="74">
        <f>'77'!BM64</f>
        <v>-0.3589743589743577</v>
      </c>
      <c r="CG17" s="74">
        <f>'77'!BN64</f>
        <v>-1.3589743589743577</v>
      </c>
      <c r="CH17" s="74">
        <f>'77'!BO64</f>
        <v>-1.3589743589743577</v>
      </c>
      <c r="CI17" s="74">
        <f>'77'!BP64</f>
        <v>-0.3589743589743577</v>
      </c>
      <c r="CJ17" s="74">
        <f>'77'!BQ64</f>
        <v>-0.3589743589743577</v>
      </c>
      <c r="CK17" s="74">
        <f>'77'!BR64</f>
        <v>-1.3589743589743577</v>
      </c>
      <c r="CL17" s="74">
        <f>'77'!BS64</f>
        <v>-0.3589743589743577</v>
      </c>
      <c r="CM17" s="74">
        <f>'77'!BT64</f>
        <v>-2.3589743589743577</v>
      </c>
      <c r="CN17" s="74">
        <f>'77'!BU64</f>
        <v>-2.3589743589743577</v>
      </c>
      <c r="CO17" s="74">
        <f>'77'!BV64</f>
        <v>-1.3589743589743577</v>
      </c>
      <c r="CP17" s="74">
        <f>'77'!BW64</f>
        <v>-0.3589743589743577</v>
      </c>
      <c r="CQ17" s="74">
        <f>'77'!BX64</f>
        <v>-1.3589743589743577</v>
      </c>
      <c r="CR17" s="74">
        <f>'77'!BY64</f>
        <v>-1.3589743589743577</v>
      </c>
      <c r="CS17" s="74">
        <f>'77'!BZ64</f>
        <v>-1.3589743589743577</v>
      </c>
      <c r="CT17" s="74">
        <f>'77'!CA64</f>
        <v>-0.3589743589743577</v>
      </c>
      <c r="CU17" s="74">
        <f>'77'!CB64</f>
        <v>-1.3589743589743577</v>
      </c>
      <c r="CV17" s="74">
        <f>'77'!CC64</f>
        <v>-0.35897435897435948</v>
      </c>
      <c r="CW17" s="74">
        <f>'77'!CD64</f>
        <v>-2.3589743589743595</v>
      </c>
      <c r="CX17" s="74">
        <f>'77'!CE64</f>
        <v>-2.3589743589743595</v>
      </c>
      <c r="CY17" s="74">
        <f>'77'!CF64</f>
        <v>-1.3589743589743595</v>
      </c>
      <c r="CZ17" s="74">
        <f>'77'!CG64</f>
        <v>-1.3589743589743595</v>
      </c>
      <c r="DA17" s="74">
        <f>'77'!CH64</f>
        <v>-5.3589743589743595</v>
      </c>
      <c r="DB17" s="74">
        <f>'77'!CI64</f>
        <v>-4.3589743589743586</v>
      </c>
      <c r="DC17" s="118">
        <v>14</v>
      </c>
    </row>
    <row r="18" spans="2:107">
      <c r="B18" s="114">
        <v>3</v>
      </c>
      <c r="C18" s="74">
        <f t="shared" si="9"/>
        <v>3</v>
      </c>
      <c r="D18" s="74">
        <f t="shared" si="10"/>
        <v>3</v>
      </c>
      <c r="E18" s="74">
        <f t="shared" si="11"/>
        <v>3</v>
      </c>
      <c r="F18" s="114">
        <v>3</v>
      </c>
      <c r="G18" s="74">
        <f t="shared" si="12"/>
        <v>3</v>
      </c>
      <c r="H18" s="74">
        <f t="shared" si="13"/>
        <v>3</v>
      </c>
      <c r="I18" s="74">
        <f t="shared" si="14"/>
        <v>3</v>
      </c>
      <c r="J18" s="114">
        <f t="shared" si="15"/>
        <v>3</v>
      </c>
      <c r="K18" s="74">
        <f t="shared" si="16"/>
        <v>3.7</v>
      </c>
      <c r="L18" s="74">
        <f t="shared" si="17"/>
        <v>4.4000000000000004</v>
      </c>
      <c r="M18" s="74">
        <f t="shared" si="18"/>
        <v>5.1000000000000005</v>
      </c>
      <c r="N18" s="114">
        <f>SUM(F18,-B18,J18,0.25*ABS(J18-F18),0.2*(17-F18))</f>
        <v>5.8000000000000007</v>
      </c>
      <c r="O18" s="74">
        <f>SUM(0.25*(R18-N18),N18)</f>
        <v>8.6000000000000014</v>
      </c>
      <c r="P18" s="74">
        <f>SUM(0.5*(R18-N18),N18)</f>
        <v>11.4</v>
      </c>
      <c r="Q18" s="74">
        <f>SUM(0.75*(R18-N18),N18)</f>
        <v>14.2</v>
      </c>
      <c r="R18" s="114">
        <v>17</v>
      </c>
      <c r="S18" s="129"/>
      <c r="T18" s="117">
        <f>SUM((CX20++CX19+CX18+CX17+CX16+CX15+CX14+CX13+CW12+CW11+CV10+CV9+CV8)*-0.132,(CU7+CT7+CS7+CR7+CQ7+CP7+CO7)*-0.132/7,(CN6+CM6+CL6+CK6+CJ6+CI6+CH6)*-0.132/7,(CG5+CF5+CE5+CD5+CC5+CB5)*-0.132/6,(CA4+BZ4+BY4+BX4+BW4+BV4)*-0.132/6,17)</f>
        <v>17.976461538461539</v>
      </c>
      <c r="U18" s="117">
        <f>Lefty!T18</f>
        <v>17.107824175824177</v>
      </c>
      <c r="X18" s="118">
        <f>'77'!D66</f>
        <v>11</v>
      </c>
      <c r="Y18" s="74">
        <f>'77'!E66</f>
        <v>0</v>
      </c>
      <c r="Z18" s="74">
        <f>'77'!F66</f>
        <v>0</v>
      </c>
      <c r="AA18" s="74">
        <f>'77'!G66</f>
        <v>0</v>
      </c>
      <c r="AB18" s="74">
        <f>'77'!H66</f>
        <v>0</v>
      </c>
      <c r="AC18" s="74">
        <f>'77'!I66</f>
        <v>0</v>
      </c>
      <c r="AD18" s="74">
        <f>'77'!K66</f>
        <v>-0.34615384615384615</v>
      </c>
      <c r="AE18" s="74">
        <f>'77'!L66</f>
        <v>-0.34615384615384615</v>
      </c>
      <c r="AF18" s="74">
        <f>'77'!M66</f>
        <v>-0.34615384615384615</v>
      </c>
      <c r="AG18" s="74">
        <f>'77'!N66</f>
        <v>-2.3461538461538463</v>
      </c>
      <c r="AH18" s="74">
        <f>'77'!O66</f>
        <v>-0.34615384615384626</v>
      </c>
      <c r="AI18" s="74">
        <f>'77'!P66</f>
        <v>-0.34615384615384626</v>
      </c>
      <c r="AJ18" s="74">
        <f>'77'!Q66</f>
        <v>-2.3461538461538463</v>
      </c>
      <c r="AK18" s="74">
        <f>'77'!R66</f>
        <v>-0.34615384615384626</v>
      </c>
      <c r="AL18" s="74">
        <f>'77'!S66</f>
        <v>-1.3461538461538463</v>
      </c>
      <c r="AM18" s="74">
        <f>'77'!T66</f>
        <v>-0.34615384615384581</v>
      </c>
      <c r="AN18" s="74">
        <f>'77'!U66</f>
        <v>-0.34615384615384581</v>
      </c>
      <c r="AO18" s="74">
        <f>'77'!V66</f>
        <v>0.65384615384615419</v>
      </c>
      <c r="AP18" s="74">
        <f>'77'!W66</f>
        <v>0.65384615384615374</v>
      </c>
      <c r="AQ18" s="74">
        <f>'77'!X66</f>
        <v>0.65384615384615374</v>
      </c>
      <c r="AR18" s="74">
        <f>'77'!Y66</f>
        <v>0.65384615384615374</v>
      </c>
      <c r="AS18" s="74">
        <f>'77'!Z66</f>
        <v>0.65384615384615385</v>
      </c>
      <c r="AT18" s="74">
        <f>'77'!AA66</f>
        <v>1.6538461538461537</v>
      </c>
      <c r="AU18" s="74">
        <f>'77'!AB66</f>
        <v>1.6538461538461537</v>
      </c>
      <c r="AV18" s="74">
        <f>'77'!AC66</f>
        <v>2.6538461538461542</v>
      </c>
      <c r="AW18" s="74">
        <f>'77'!AD66</f>
        <v>2.6538461538461542</v>
      </c>
      <c r="AX18" s="74">
        <f>'77'!AE66</f>
        <v>3.6538461538461533</v>
      </c>
      <c r="AY18" s="74">
        <f>'77'!AF66</f>
        <v>1.6538461538461533</v>
      </c>
      <c r="AZ18" s="74">
        <f>'77'!AG66</f>
        <v>2.6538461538461533</v>
      </c>
      <c r="BA18" s="74">
        <f>'77'!AH66</f>
        <v>1.6538461538461533</v>
      </c>
      <c r="BB18" s="74">
        <f>'77'!AI66</f>
        <v>1.6538461538461533</v>
      </c>
      <c r="BC18" s="74">
        <f>'77'!AJ66</f>
        <v>1.6538461538461533</v>
      </c>
      <c r="BD18" s="74">
        <f>'77'!AK66</f>
        <v>3.6538461538461533</v>
      </c>
      <c r="BE18" s="74">
        <f>'77'!AL66</f>
        <v>1.6538461538461533</v>
      </c>
      <c r="BF18" s="74">
        <f>'77'!AM66</f>
        <v>2.6538461538461533</v>
      </c>
      <c r="BG18" s="74">
        <f>'77'!AN66</f>
        <v>0.6538461538461533</v>
      </c>
      <c r="BH18" s="74">
        <f>'77'!AO66</f>
        <v>3.6538461538461533</v>
      </c>
      <c r="BI18" s="74">
        <f>'77'!AP66</f>
        <v>-0.3461538461538467</v>
      </c>
      <c r="BJ18" s="74">
        <f>'77'!AQ66</f>
        <v>0.6538461538461533</v>
      </c>
      <c r="BK18" s="74">
        <f>'77'!AR66</f>
        <v>-0.3461538461538467</v>
      </c>
      <c r="BL18" s="74">
        <f>'77'!AS66</f>
        <v>0.6538461538461533</v>
      </c>
      <c r="BM18" s="74">
        <f>'77'!AT66</f>
        <v>0.6538461538461533</v>
      </c>
      <c r="BN18" s="74">
        <f>'77'!AU66</f>
        <v>0.6538461538461533</v>
      </c>
      <c r="BO18" s="74">
        <f>'77'!AV66</f>
        <v>-0.3461538461538467</v>
      </c>
      <c r="BP18" s="74">
        <f>'77'!AW66</f>
        <v>-0.3461538461538467</v>
      </c>
      <c r="BQ18" s="74">
        <f>'77'!AX66</f>
        <v>-0.3461538461538467</v>
      </c>
      <c r="BR18" s="74">
        <f>'77'!AY66</f>
        <v>-0.3461538461538467</v>
      </c>
      <c r="BS18" s="74">
        <f>'77'!AZ66</f>
        <v>-0.3461538461538467</v>
      </c>
      <c r="BT18" s="74">
        <f>'77'!BA66</f>
        <v>-0.3461538461538467</v>
      </c>
      <c r="BU18" s="74">
        <f>'77'!BB66</f>
        <v>-0.3461538461538467</v>
      </c>
      <c r="BV18" s="74">
        <f>'77'!BC66</f>
        <v>-0.3461538461538467</v>
      </c>
      <c r="BW18" s="74">
        <f>'77'!BD66</f>
        <v>-1.3461538461538467</v>
      </c>
      <c r="BX18" s="74">
        <f>'77'!BE66</f>
        <v>-0.3461538461538467</v>
      </c>
      <c r="BY18" s="74">
        <f>'77'!BF66</f>
        <v>-0.3461538461538467</v>
      </c>
      <c r="BZ18" s="74">
        <f>'77'!BG66</f>
        <v>0.6538461538461533</v>
      </c>
      <c r="CA18" s="74">
        <f>'77'!BH66</f>
        <v>0.6538461538461533</v>
      </c>
      <c r="CB18" s="74">
        <f>'77'!BI66</f>
        <v>-0.3461538461538467</v>
      </c>
      <c r="CC18" s="74">
        <f>'77'!BJ66</f>
        <v>0.6538461538461533</v>
      </c>
      <c r="CD18" s="74">
        <f>'77'!BK66</f>
        <v>-0.3461538461538467</v>
      </c>
      <c r="CE18" s="74">
        <f>'77'!BL66</f>
        <v>0.6538461538461533</v>
      </c>
      <c r="CF18" s="74">
        <f>'77'!BM66</f>
        <v>-0.3461538461538467</v>
      </c>
      <c r="CG18" s="74">
        <f>'77'!BN66</f>
        <v>0.6538461538461533</v>
      </c>
      <c r="CH18" s="74">
        <f>'77'!BO66</f>
        <v>0.6538461538461533</v>
      </c>
      <c r="CI18" s="74">
        <f>'77'!BP66</f>
        <v>0.6538461538461533</v>
      </c>
      <c r="CJ18" s="74">
        <f>'77'!BQ66</f>
        <v>0.6538461538461533</v>
      </c>
      <c r="CK18" s="74">
        <f>'77'!BR66</f>
        <v>-0.3461538461538467</v>
      </c>
      <c r="CL18" s="74">
        <f>'77'!BS66</f>
        <v>-1.3461538461538467</v>
      </c>
      <c r="CM18" s="74">
        <f>'77'!BT66</f>
        <v>-1.3461538461538467</v>
      </c>
      <c r="CN18" s="74">
        <f>'77'!BU66</f>
        <v>-2.3461538461538467</v>
      </c>
      <c r="CO18" s="74">
        <f>'77'!BV66</f>
        <v>-2.3461538461538467</v>
      </c>
      <c r="CP18" s="74">
        <f>'77'!BW66</f>
        <v>-2.3461538461538467</v>
      </c>
      <c r="CQ18" s="74">
        <f>'77'!BX66</f>
        <v>-2.3461538461538467</v>
      </c>
      <c r="CR18" s="74">
        <f>'77'!BY66</f>
        <v>-4.3461538461538467</v>
      </c>
      <c r="CS18" s="74">
        <f>'77'!BZ66</f>
        <v>-3.3461538461538467</v>
      </c>
      <c r="CT18" s="74">
        <f>'77'!CA66</f>
        <v>-3.3461538461538467</v>
      </c>
      <c r="CU18" s="74">
        <f>'77'!CB66</f>
        <v>-5.3461538461538467</v>
      </c>
      <c r="CV18" s="74">
        <f>'77'!CC66</f>
        <v>-6.3461538461538467</v>
      </c>
      <c r="CW18" s="74">
        <f>'77'!CD66</f>
        <v>-2.3461538461538467</v>
      </c>
      <c r="CX18" s="74">
        <f>'77'!CE66</f>
        <v>-3.3461538461538467</v>
      </c>
      <c r="CY18" s="74">
        <f>'77'!CF66</f>
        <v>-2.3461538461538467</v>
      </c>
      <c r="CZ18" s="74">
        <f>'77'!CG66</f>
        <v>-2.3461538461538467</v>
      </c>
      <c r="DA18" s="74">
        <f>'77'!CH66</f>
        <v>-5.3461538461538467</v>
      </c>
      <c r="DB18" s="74">
        <f>'77'!CI66</f>
        <v>-5.3461538461538458</v>
      </c>
      <c r="DC18" s="118">
        <v>10.5</v>
      </c>
    </row>
    <row r="19" spans="2:107">
      <c r="B19" s="114">
        <v>4</v>
      </c>
      <c r="C19" s="74">
        <f t="shared" si="9"/>
        <v>3.75</v>
      </c>
      <c r="D19" s="74">
        <f t="shared" si="10"/>
        <v>3.5</v>
      </c>
      <c r="E19" s="74">
        <f t="shared" si="11"/>
        <v>3.25</v>
      </c>
      <c r="F19" s="114">
        <v>3</v>
      </c>
      <c r="G19" s="74">
        <f t="shared" si="12"/>
        <v>2.75</v>
      </c>
      <c r="H19" s="74">
        <f t="shared" si="13"/>
        <v>2.5</v>
      </c>
      <c r="I19" s="74">
        <f t="shared" si="14"/>
        <v>2.25</v>
      </c>
      <c r="J19" s="114">
        <f t="shared" si="15"/>
        <v>2</v>
      </c>
      <c r="K19" s="74">
        <f t="shared" si="16"/>
        <v>1.8125</v>
      </c>
      <c r="L19" s="74">
        <f t="shared" si="17"/>
        <v>1.625</v>
      </c>
      <c r="M19" s="74">
        <f t="shared" si="18"/>
        <v>1.4375</v>
      </c>
      <c r="N19" s="114">
        <f>SUM(F19,-B19,J19,0.25*ABS(J19-F19))</f>
        <v>1.25</v>
      </c>
      <c r="O19" s="74">
        <f>SUM(0.25*(R19-N19),N19)</f>
        <v>5.1875</v>
      </c>
      <c r="P19" s="74">
        <f>SUM(0.5*(R19-N19),N19)</f>
        <v>9.125</v>
      </c>
      <c r="Q19" s="74">
        <f>SUM(0.75*(R19-N19),N19)</f>
        <v>13.0625</v>
      </c>
      <c r="R19" s="114">
        <v>17</v>
      </c>
      <c r="S19" s="129"/>
      <c r="T19" s="117">
        <f>SUM((CV20+CV19+CX16+CZ12+CZ8+CW18+CW17+CX15+CY14+CY13+CZ11+CZ10+CZ9)*-0.132,(CY7+CX7+CW7+CV7+CU7+CT7+CS7+CR7)*-0.132/8,(CQ6+CP6+CO6+CN6+CM6+CL6+CK6+CJ6)*-0.132/8,(CI5+CH5+CG5+CF5+CE5+CD5+CC5)*-0.132/7,(CB4+CA4+BZ4+BY4+BX4+BW4+BV4)*-0.132/7,17)</f>
        <v>17.838175824175824</v>
      </c>
      <c r="U19" s="117">
        <f>Lefty!T19</f>
        <v>16.201895604395606</v>
      </c>
      <c r="X19" s="118">
        <f>'77'!D68</f>
        <v>7</v>
      </c>
      <c r="Y19" s="74">
        <f>'77'!E68</f>
        <v>0</v>
      </c>
      <c r="Z19" s="74">
        <f>'77'!F68</f>
        <v>0</v>
      </c>
      <c r="AA19" s="74">
        <f>'77'!G68</f>
        <v>0</v>
      </c>
      <c r="AB19" s="74">
        <f>'77'!H68</f>
        <v>0</v>
      </c>
      <c r="AC19" s="74">
        <f>'77'!I68</f>
        <v>0</v>
      </c>
      <c r="AD19" s="74">
        <f>'77'!K68</f>
        <v>0.11538461538461538</v>
      </c>
      <c r="AE19" s="74">
        <f>'77'!L68</f>
        <v>0.11538461538461538</v>
      </c>
      <c r="AF19" s="74">
        <f>'77'!M68</f>
        <v>0.11538461538461538</v>
      </c>
      <c r="AG19" s="74">
        <f>'77'!N68</f>
        <v>0.11538461538461538</v>
      </c>
      <c r="AH19" s="74">
        <f>'77'!O68</f>
        <v>1.1153846153846154</v>
      </c>
      <c r="AI19" s="74">
        <f>'77'!P68</f>
        <v>0.11538461538461542</v>
      </c>
      <c r="AJ19" s="74">
        <f>'77'!Q68</f>
        <v>1.1153846153846154</v>
      </c>
      <c r="AK19" s="74">
        <f>'77'!R68</f>
        <v>1.1153846153846154</v>
      </c>
      <c r="AL19" s="74">
        <f>'77'!S68</f>
        <v>1.1153846153846154</v>
      </c>
      <c r="AM19" s="74">
        <f>'77'!T68</f>
        <v>1.1153846153846154</v>
      </c>
      <c r="AN19" s="74">
        <f>'77'!U68</f>
        <v>2.115384615384615</v>
      </c>
      <c r="AO19" s="74">
        <f>'77'!V68</f>
        <v>1.115384615384615</v>
      </c>
      <c r="AP19" s="74">
        <f>'77'!W68</f>
        <v>2.115384615384615</v>
      </c>
      <c r="AQ19" s="74">
        <f>'77'!X68</f>
        <v>2.115384615384615</v>
      </c>
      <c r="AR19" s="74">
        <f>'77'!Y68</f>
        <v>2.115384615384615</v>
      </c>
      <c r="AS19" s="74">
        <f>'77'!Z68</f>
        <v>2.115384615384615</v>
      </c>
      <c r="AT19" s="74">
        <f>'77'!AA68</f>
        <v>3.115384615384615</v>
      </c>
      <c r="AU19" s="74">
        <f>'77'!AB68</f>
        <v>2.1153846153846168</v>
      </c>
      <c r="AV19" s="74">
        <f>'77'!AC68</f>
        <v>4.1153846153846168</v>
      </c>
      <c r="AW19" s="74">
        <f>'77'!AD68</f>
        <v>3.1153846153846168</v>
      </c>
      <c r="AX19" s="74">
        <f>'77'!AE68</f>
        <v>3.1153846153846168</v>
      </c>
      <c r="AY19" s="74">
        <f>'77'!AF68</f>
        <v>3.1153846153846168</v>
      </c>
      <c r="AZ19" s="74">
        <f>'77'!AG68</f>
        <v>4.1153846153846132</v>
      </c>
      <c r="BA19" s="74">
        <f>'77'!AH68</f>
        <v>3.1153846153846132</v>
      </c>
      <c r="BB19" s="74">
        <f>'77'!AI68</f>
        <v>3.1153846153846132</v>
      </c>
      <c r="BC19" s="74">
        <f>'77'!AJ68</f>
        <v>2.1153846153846132</v>
      </c>
      <c r="BD19" s="74">
        <f>'77'!AK68</f>
        <v>5.1153846153846132</v>
      </c>
      <c r="BE19" s="74">
        <f>'77'!AL68</f>
        <v>3.1153846153846132</v>
      </c>
      <c r="BF19" s="74">
        <f>'77'!AM68</f>
        <v>3.1153846153846132</v>
      </c>
      <c r="BG19" s="74">
        <f>'77'!AN68</f>
        <v>3.1153846153846132</v>
      </c>
      <c r="BH19" s="74">
        <f>'77'!AO68</f>
        <v>3.1153846153846132</v>
      </c>
      <c r="BI19" s="74">
        <f>'77'!AP68</f>
        <v>1.1153846153846132</v>
      </c>
      <c r="BJ19" s="74">
        <f>'77'!AQ68</f>
        <v>1.1153846153846132</v>
      </c>
      <c r="BK19" s="74">
        <f>'77'!AR68</f>
        <v>1.1153846153846132</v>
      </c>
      <c r="BL19" s="74">
        <f>'77'!AS68</f>
        <v>2.1153846153846132</v>
      </c>
      <c r="BM19" s="74">
        <f>'77'!AT68</f>
        <v>2.1153846153846132</v>
      </c>
      <c r="BN19" s="74">
        <f>'77'!AU68</f>
        <v>1.1153846153846132</v>
      </c>
      <c r="BO19" s="74">
        <f>'77'!AV68</f>
        <v>0.1153846153846132</v>
      </c>
      <c r="BP19" s="74">
        <f>'77'!AW68</f>
        <v>-0.8846153846153868</v>
      </c>
      <c r="BQ19" s="74">
        <f>'77'!AX68</f>
        <v>0.1153846153846132</v>
      </c>
      <c r="BR19" s="74">
        <f>'77'!AY68</f>
        <v>1.1153846153846132</v>
      </c>
      <c r="BS19" s="74">
        <f>'77'!AZ68</f>
        <v>1.1153846153846132</v>
      </c>
      <c r="BT19" s="74">
        <f>'77'!BA68</f>
        <v>0.1153846153846132</v>
      </c>
      <c r="BU19" s="74">
        <f>'77'!BB68</f>
        <v>-0.8846153846153868</v>
      </c>
      <c r="BV19" s="74">
        <f>'77'!BC68</f>
        <v>0.1153846153846132</v>
      </c>
      <c r="BW19" s="74">
        <f>'77'!BD68</f>
        <v>-0.8846153846153868</v>
      </c>
      <c r="BX19" s="74">
        <f>'77'!BE68</f>
        <v>-0.8846153846153868</v>
      </c>
      <c r="BY19" s="74">
        <f>'77'!BF68</f>
        <v>-0.8846153846153868</v>
      </c>
      <c r="BZ19" s="74">
        <f>'77'!BG68</f>
        <v>-0.8846153846153868</v>
      </c>
      <c r="CA19" s="74">
        <f>'77'!BH68</f>
        <v>-0.8846153846153868</v>
      </c>
      <c r="CB19" s="74">
        <f>'77'!BI68</f>
        <v>-0.8846153846153868</v>
      </c>
      <c r="CC19" s="74">
        <f>'77'!BJ68</f>
        <v>-0.8846153846153868</v>
      </c>
      <c r="CD19" s="74">
        <f>'77'!BK68</f>
        <v>-0.8846153846153868</v>
      </c>
      <c r="CE19" s="74">
        <f>'77'!BL68</f>
        <v>-0.8846153846153868</v>
      </c>
      <c r="CF19" s="74">
        <f>'77'!BM68</f>
        <v>0.1153846153846132</v>
      </c>
      <c r="CG19" s="74">
        <f>'77'!BN68</f>
        <v>-0.8846153846153868</v>
      </c>
      <c r="CH19" s="74">
        <f>'77'!BO68</f>
        <v>0.1153846153846132</v>
      </c>
      <c r="CI19" s="74">
        <f>'77'!BP68</f>
        <v>-0.8846153846153868</v>
      </c>
      <c r="CJ19" s="74">
        <f>'77'!BQ68</f>
        <v>-0.8846153846153868</v>
      </c>
      <c r="CK19" s="74">
        <f>'77'!BR68</f>
        <v>-1.8846153846153868</v>
      </c>
      <c r="CL19" s="74">
        <f>'77'!BS68</f>
        <v>-0.8846153846153868</v>
      </c>
      <c r="CM19" s="74">
        <f>'77'!BT68</f>
        <v>-2.8846153846153868</v>
      </c>
      <c r="CN19" s="74">
        <f>'77'!BU68</f>
        <v>-2.8846153846153868</v>
      </c>
      <c r="CO19" s="74">
        <f>'77'!BV68</f>
        <v>-3.8846153846153868</v>
      </c>
      <c r="CP19" s="74">
        <f>'77'!BW68</f>
        <v>-1.8846153846153868</v>
      </c>
      <c r="CQ19" s="74">
        <f>'77'!BX68</f>
        <v>-3.8846153846153868</v>
      </c>
      <c r="CR19" s="74">
        <f>'77'!BY68</f>
        <v>-3.8846153846153868</v>
      </c>
      <c r="CS19" s="74">
        <f>'77'!BZ68</f>
        <v>-3.8846153846153868</v>
      </c>
      <c r="CT19" s="74">
        <f>'77'!CA68</f>
        <v>-3.8846153846153832</v>
      </c>
      <c r="CU19" s="74">
        <f>'77'!CB68</f>
        <v>-5.8846153846153832</v>
      </c>
      <c r="CV19" s="74">
        <f>'77'!CC68</f>
        <v>-2.8846153846153832</v>
      </c>
      <c r="CW19" s="74">
        <f>'77'!CD68</f>
        <v>-2.8846153846153832</v>
      </c>
      <c r="CX19" s="74">
        <f>'77'!CE68</f>
        <v>-2.884615384615385</v>
      </c>
      <c r="CY19" s="74">
        <f>'77'!CF68</f>
        <v>-2.884615384615385</v>
      </c>
      <c r="CZ19" s="74">
        <f>'77'!CG68</f>
        <v>-2.884615384615385</v>
      </c>
      <c r="DA19" s="74">
        <f>'77'!CH68</f>
        <v>-3.884615384615385</v>
      </c>
      <c r="DB19" s="74">
        <f>'77'!CI68</f>
        <v>-2.8846153846153846</v>
      </c>
      <c r="DC19" s="118">
        <v>7</v>
      </c>
    </row>
    <row r="20" spans="2:107">
      <c r="B20" s="114"/>
      <c r="C20" s="74"/>
      <c r="D20" s="74"/>
      <c r="E20" s="74"/>
      <c r="F20" s="114"/>
      <c r="G20" s="74"/>
      <c r="H20" s="74"/>
      <c r="I20" s="74"/>
      <c r="J20" s="114"/>
      <c r="K20" s="74"/>
      <c r="L20" s="74"/>
      <c r="M20" s="74"/>
      <c r="N20" s="114"/>
      <c r="O20" s="74"/>
      <c r="P20" s="74"/>
      <c r="Q20" s="74"/>
      <c r="R20" s="114"/>
      <c r="S20" s="129"/>
      <c r="X20" s="118">
        <f>'77'!D70</f>
        <v>3</v>
      </c>
      <c r="Y20" s="119">
        <f>'77'!E70</f>
        <v>0</v>
      </c>
      <c r="Z20" s="119">
        <f>'77'!F70</f>
        <v>0</v>
      </c>
      <c r="AA20" s="119">
        <f>'77'!G70</f>
        <v>0</v>
      </c>
      <c r="AB20" s="119">
        <f>'77'!H70</f>
        <v>0</v>
      </c>
      <c r="AC20" s="119">
        <f>'77'!I70</f>
        <v>0</v>
      </c>
      <c r="AD20" s="119">
        <f>'77'!K70</f>
        <v>1.282051282051282E-2</v>
      </c>
      <c r="AE20" s="119">
        <f>'77'!L70</f>
        <v>1.0128205128205128</v>
      </c>
      <c r="AF20" s="119">
        <f>'77'!M70</f>
        <v>-0.98717948717948723</v>
      </c>
      <c r="AG20" s="119">
        <f>'77'!N70</f>
        <v>1.282051282051282E-2</v>
      </c>
      <c r="AH20" s="119">
        <f>'77'!O70</f>
        <v>1.282051282051282E-2</v>
      </c>
      <c r="AI20" s="119">
        <f>'77'!P70</f>
        <v>1.282051282051282E-2</v>
      </c>
      <c r="AJ20" s="119">
        <f>'77'!Q70</f>
        <v>1.0128205128205128</v>
      </c>
      <c r="AK20" s="119">
        <f>'77'!R70</f>
        <v>1.2820512820512775E-2</v>
      </c>
      <c r="AL20" s="119">
        <f>'77'!S70</f>
        <v>1.0128205128205128</v>
      </c>
      <c r="AM20" s="119">
        <f>'77'!T70</f>
        <v>1.2820512820512775E-2</v>
      </c>
      <c r="AN20" s="119">
        <f>'77'!U70</f>
        <v>1.2820512820512775E-2</v>
      </c>
      <c r="AO20" s="119">
        <f>'77'!V70</f>
        <v>1.0128205128205128</v>
      </c>
      <c r="AP20" s="119">
        <f>'77'!W70</f>
        <v>2.0128205128205128</v>
      </c>
      <c r="AQ20" s="119">
        <f>'77'!X70</f>
        <v>1.0128205128205128</v>
      </c>
      <c r="AR20" s="119">
        <f>'77'!Y70</f>
        <v>1.2820512820512775E-2</v>
      </c>
      <c r="AS20" s="119">
        <f>'77'!Z70</f>
        <v>1.0128205128205128</v>
      </c>
      <c r="AT20" s="119">
        <f>'77'!AA70</f>
        <v>1.0128205128205128</v>
      </c>
      <c r="AU20" s="119">
        <f>'77'!AB70</f>
        <v>2.0128205128205128</v>
      </c>
      <c r="AV20" s="119">
        <f>'77'!AC70</f>
        <v>2.0128205128205128</v>
      </c>
      <c r="AW20" s="119">
        <f>'77'!AD70</f>
        <v>1.0128205128205128</v>
      </c>
      <c r="AX20" s="119">
        <f>'77'!AE70</f>
        <v>1.0128205128205128</v>
      </c>
      <c r="AY20" s="119">
        <f>'77'!AF70</f>
        <v>1.0128205128205128</v>
      </c>
      <c r="AZ20" s="119">
        <f>'77'!AG70</f>
        <v>2.0128205128205128</v>
      </c>
      <c r="BA20" s="119">
        <f>'77'!AH70</f>
        <v>1.0128205128205146</v>
      </c>
      <c r="BB20" s="119">
        <f>'77'!AI70</f>
        <v>2.0128205128205146</v>
      </c>
      <c r="BC20" s="119">
        <f>'77'!AJ70</f>
        <v>2.0128205128205146</v>
      </c>
      <c r="BD20" s="119">
        <f>'77'!AK70</f>
        <v>2.0128205128205146</v>
      </c>
      <c r="BE20" s="119">
        <f>'77'!AL70</f>
        <v>2.0128205128205146</v>
      </c>
      <c r="BF20" s="119">
        <f>'77'!AM70</f>
        <v>2.0128205128205146</v>
      </c>
      <c r="BG20" s="119">
        <f>'77'!AN70</f>
        <v>1.0128205128205146</v>
      </c>
      <c r="BH20" s="119">
        <f>'77'!AO70</f>
        <v>2.0128205128205146</v>
      </c>
      <c r="BI20" s="119">
        <f>'77'!AP70</f>
        <v>1.0128205128205146</v>
      </c>
      <c r="BJ20" s="119">
        <f>'77'!AQ70</f>
        <v>2.0128205128205146</v>
      </c>
      <c r="BK20" s="119">
        <f>'77'!AR70</f>
        <v>1.012820512820511</v>
      </c>
      <c r="BL20" s="119">
        <f>'77'!AS70</f>
        <v>1.012820512820511</v>
      </c>
      <c r="BM20" s="119">
        <f>'77'!AT70</f>
        <v>1.012820512820511</v>
      </c>
      <c r="BN20" s="119">
        <f>'77'!AU70</f>
        <v>1.012820512820511</v>
      </c>
      <c r="BO20" s="119">
        <f>'77'!AV70</f>
        <v>1.012820512820511</v>
      </c>
      <c r="BP20" s="119">
        <f>'77'!AW70</f>
        <v>1.2820512820510999E-2</v>
      </c>
      <c r="BQ20" s="119">
        <f>'77'!AX70</f>
        <v>1.012820512820511</v>
      </c>
      <c r="BR20" s="119">
        <f>'77'!AY70</f>
        <v>1.2820512820510999E-2</v>
      </c>
      <c r="BS20" s="119">
        <f>'77'!AZ70</f>
        <v>1.012820512820511</v>
      </c>
      <c r="BT20" s="119">
        <f>'77'!BA70</f>
        <v>1.2820512820510999E-2</v>
      </c>
      <c r="BU20" s="119">
        <f>'77'!BB70</f>
        <v>1.2820512820510999E-2</v>
      </c>
      <c r="BV20" s="119">
        <f>'77'!BC70</f>
        <v>-0.987179487179489</v>
      </c>
      <c r="BW20" s="119">
        <f>'77'!BD70</f>
        <v>1.2820512820510999E-2</v>
      </c>
      <c r="BX20" s="119">
        <f>'77'!BE70</f>
        <v>-0.987179487179489</v>
      </c>
      <c r="BY20" s="119">
        <f>'77'!BF70</f>
        <v>-0.987179487179489</v>
      </c>
      <c r="BZ20" s="119">
        <f>'77'!BG70</f>
        <v>1.2820512820510999E-2</v>
      </c>
      <c r="CA20" s="119">
        <f>'77'!BH70</f>
        <v>-1.987179487179489</v>
      </c>
      <c r="CB20" s="119">
        <f>'77'!BI70</f>
        <v>-0.987179487179489</v>
      </c>
      <c r="CC20" s="119">
        <f>'77'!BJ70</f>
        <v>-0.987179487179489</v>
      </c>
      <c r="CD20" s="119">
        <f>'77'!BK70</f>
        <v>-0.987179487179489</v>
      </c>
      <c r="CE20" s="119">
        <f>'77'!BL70</f>
        <v>-0.987179487179489</v>
      </c>
      <c r="CF20" s="119">
        <f>'77'!BM70</f>
        <v>-0.98717948717948545</v>
      </c>
      <c r="CG20" s="119">
        <f>'77'!BN70</f>
        <v>-0.98717948717948545</v>
      </c>
      <c r="CH20" s="119">
        <f>'77'!BO70</f>
        <v>-0.98717948717948545</v>
      </c>
      <c r="CI20" s="119">
        <f>'77'!BP70</f>
        <v>-0.98717948717948545</v>
      </c>
      <c r="CJ20" s="119">
        <f>'77'!BQ70</f>
        <v>-0.98717948717948545</v>
      </c>
      <c r="CK20" s="119">
        <f>'77'!BR70</f>
        <v>-1.9871794871794854</v>
      </c>
      <c r="CL20" s="119">
        <f>'77'!BS70</f>
        <v>-0.98717948717948545</v>
      </c>
      <c r="CM20" s="119">
        <f>'77'!BT70</f>
        <v>-1.9871794871794854</v>
      </c>
      <c r="CN20" s="119">
        <f>'77'!BU70</f>
        <v>-0.98717948717948545</v>
      </c>
      <c r="CO20" s="119">
        <f>'77'!BV70</f>
        <v>-0.98717948717948545</v>
      </c>
      <c r="CP20" s="119">
        <f>'77'!BW70</f>
        <v>-0.98717948717948545</v>
      </c>
      <c r="CQ20" s="119">
        <f>'77'!BX70</f>
        <v>-1.9871794871794854</v>
      </c>
      <c r="CR20" s="119">
        <f>'77'!BY70</f>
        <v>-1.9871794871794854</v>
      </c>
      <c r="CS20" s="119">
        <f>'77'!BZ70</f>
        <v>-1.9871794871794872</v>
      </c>
      <c r="CT20" s="119">
        <f>'77'!CA70</f>
        <v>-0.98717948717948723</v>
      </c>
      <c r="CU20" s="119">
        <f>'77'!CB70</f>
        <v>-1.9871794871794872</v>
      </c>
      <c r="CV20" s="119">
        <f>'77'!CC70</f>
        <v>-2.9871794871794872</v>
      </c>
      <c r="CW20" s="119">
        <f>'77'!CD70</f>
        <v>-0.98717948717948723</v>
      </c>
      <c r="CX20" s="119">
        <f>'77'!CE70</f>
        <v>-0.98717948717948723</v>
      </c>
      <c r="CY20" s="119">
        <f>'77'!CF70</f>
        <v>-0.98717948717948723</v>
      </c>
      <c r="CZ20" s="119">
        <f>'77'!CG70</f>
        <v>-0.98717948717948723</v>
      </c>
      <c r="DA20" s="119">
        <f>'77'!CH70</f>
        <v>-1.9871794871794872</v>
      </c>
      <c r="DB20" s="119">
        <f>'77'!CI70</f>
        <v>-0.98717948717948723</v>
      </c>
      <c r="DC20" s="118">
        <v>3.5</v>
      </c>
    </row>
    <row r="21" spans="2:107">
      <c r="B21" s="114">
        <v>1</v>
      </c>
      <c r="C21" s="74">
        <f t="shared" si="9"/>
        <v>1.75</v>
      </c>
      <c r="D21" s="74">
        <f t="shared" si="10"/>
        <v>2.5</v>
      </c>
      <c r="E21" s="74">
        <f t="shared" si="11"/>
        <v>3.25</v>
      </c>
      <c r="F21" s="114">
        <v>4</v>
      </c>
      <c r="G21" s="74">
        <f t="shared" si="12"/>
        <v>4.75</v>
      </c>
      <c r="H21" s="74">
        <f t="shared" si="13"/>
        <v>5.5</v>
      </c>
      <c r="I21" s="74">
        <f t="shared" si="14"/>
        <v>6.25</v>
      </c>
      <c r="J21" s="114">
        <f t="shared" si="15"/>
        <v>7</v>
      </c>
      <c r="K21" s="74">
        <f t="shared" si="16"/>
        <v>7.9375</v>
      </c>
      <c r="L21" s="74">
        <f t="shared" si="17"/>
        <v>8.875</v>
      </c>
      <c r="M21" s="74">
        <f t="shared" si="18"/>
        <v>9.8125</v>
      </c>
      <c r="N21" s="114">
        <f>SUM(F21,-B21,J21,0.25*ABS(J21-F21))</f>
        <v>10.75</v>
      </c>
      <c r="O21" s="74">
        <f>SUM(0.25*(R21-N21),N21)</f>
        <v>12.3125</v>
      </c>
      <c r="P21" s="74">
        <f>SUM(0.5*(R21-N21),N21)</f>
        <v>13.875</v>
      </c>
      <c r="Q21" s="74">
        <f>SUM(0.75*(R21-N21),N21)</f>
        <v>15.4375</v>
      </c>
      <c r="R21" s="114">
        <v>17</v>
      </c>
      <c r="S21" s="129"/>
      <c r="T21" s="117">
        <f>SUM((DB20+CV16+CP12+DA19+CU15)*-0.132,(CZ18+CY18+CX17+CW17+CT14+CS14+CR13+CQ13+CN11+CO11+CM10+CL10+CK9+CI8++CH8+CJ9)*-0.132/2,(CG7+CF7+CE7+CD6+CC6+CB6+CA5+BZ5+BY5+BX4+BW4+BV4)*-0.132/3,17)</f>
        <v>18.482461538461539</v>
      </c>
      <c r="U21" s="117">
        <f>Lefty!T21</f>
        <v>17.629538461538463</v>
      </c>
      <c r="X21" s="118">
        <f>'77'!D71</f>
        <v>1</v>
      </c>
      <c r="Y21" s="74">
        <f>'77'!E71</f>
        <v>0</v>
      </c>
      <c r="Z21" s="74">
        <f>'77'!F71</f>
        <v>0</v>
      </c>
      <c r="AA21" s="74">
        <f>'77'!G71</f>
        <v>0</v>
      </c>
      <c r="AB21" s="74">
        <f>'77'!H71</f>
        <v>0</v>
      </c>
      <c r="AC21" s="74">
        <f>'77'!I71</f>
        <v>0</v>
      </c>
      <c r="AD21" s="118">
        <f>'77'!K71</f>
        <v>0.38461538461538458</v>
      </c>
      <c r="AE21" s="118">
        <f>'77'!L71</f>
        <v>0.38461538461538458</v>
      </c>
      <c r="AF21" s="118">
        <f>'77'!M71</f>
        <v>-2.6153846153846154</v>
      </c>
      <c r="AG21" s="118">
        <f>'77'!N71</f>
        <v>0.38461538461538458</v>
      </c>
      <c r="AH21" s="118">
        <f>'77'!O71</f>
        <v>-0.61538461538461542</v>
      </c>
      <c r="AI21" s="118">
        <f>'77'!P71</f>
        <v>-0.61538461538461497</v>
      </c>
      <c r="AJ21" s="118">
        <f>'77'!Q71</f>
        <v>-0.61538461538461497</v>
      </c>
      <c r="AK21" s="118">
        <f>'77'!R71</f>
        <v>-1.615384615384615</v>
      </c>
      <c r="AL21" s="118">
        <f>'77'!S71</f>
        <v>-0.61538461538461497</v>
      </c>
      <c r="AM21" s="118">
        <f>'77'!T71</f>
        <v>-0.61538461538461497</v>
      </c>
      <c r="AN21" s="118">
        <f>'77'!U71</f>
        <v>-1.615384615384615</v>
      </c>
      <c r="AO21" s="118">
        <f>'77'!V71</f>
        <v>0.38461538461538503</v>
      </c>
      <c r="AP21" s="118">
        <f>'77'!W71</f>
        <v>0.38461538461538503</v>
      </c>
      <c r="AQ21" s="118">
        <f>'77'!X71</f>
        <v>-0.61538461538461497</v>
      </c>
      <c r="AR21" s="118">
        <f>'77'!Y71</f>
        <v>0.38461538461538503</v>
      </c>
      <c r="AS21" s="118">
        <f>'77'!Z71</f>
        <v>0.38461538461538503</v>
      </c>
      <c r="AT21" s="118">
        <f>'77'!AA71</f>
        <v>0.38461538461538503</v>
      </c>
      <c r="AU21" s="118">
        <f>'77'!AB71</f>
        <v>1.384615384615385</v>
      </c>
      <c r="AV21" s="118">
        <f>'77'!AC71</f>
        <v>1.384615384615385</v>
      </c>
      <c r="AW21" s="118">
        <f>'77'!AD71</f>
        <v>1.384615384615385</v>
      </c>
      <c r="AX21" s="118">
        <f>'77'!AE71</f>
        <v>1.384615384615385</v>
      </c>
      <c r="AY21" s="118">
        <f>'77'!AF71</f>
        <v>2.384615384615385</v>
      </c>
      <c r="AZ21" s="118">
        <f>'77'!AG71</f>
        <v>2.384615384615385</v>
      </c>
      <c r="BA21" s="118">
        <f>'77'!AH71</f>
        <v>2.384615384615385</v>
      </c>
      <c r="BB21" s="118">
        <f>'77'!AI71</f>
        <v>1.3846153846153846</v>
      </c>
      <c r="BC21" s="118">
        <f>'77'!AJ71</f>
        <v>2.3846153846153846</v>
      </c>
      <c r="BD21" s="118">
        <f>'77'!AK71</f>
        <v>3.3846153846153846</v>
      </c>
      <c r="BE21" s="118">
        <f>'77'!AL71</f>
        <v>4.384615384615385</v>
      </c>
      <c r="BF21" s="118">
        <f>'77'!AM71</f>
        <v>3.384615384615385</v>
      </c>
      <c r="BG21" s="118">
        <f>'77'!AN71</f>
        <v>3.384615384615385</v>
      </c>
      <c r="BH21" s="118">
        <f>'77'!AO71</f>
        <v>3.384615384615385</v>
      </c>
      <c r="BI21" s="118">
        <f>'77'!AP71</f>
        <v>2.384615384615385</v>
      </c>
      <c r="BJ21" s="118">
        <f>'77'!AQ71</f>
        <v>3.3846153846153832</v>
      </c>
      <c r="BK21" s="118">
        <f>'77'!AR71</f>
        <v>4.3846153846153832</v>
      </c>
      <c r="BL21" s="118">
        <f>'77'!AS71</f>
        <v>3.3846153846153832</v>
      </c>
      <c r="BM21" s="118">
        <f>'77'!AT71</f>
        <v>2.3846153846153832</v>
      </c>
      <c r="BN21" s="118">
        <f>'77'!AU71</f>
        <v>3.3846153846153832</v>
      </c>
      <c r="BO21" s="118">
        <f>'77'!AV71</f>
        <v>1.3846153846153868</v>
      </c>
      <c r="BP21" s="118">
        <f>'77'!AW71</f>
        <v>1.3846153846153868</v>
      </c>
      <c r="BQ21" s="118">
        <f>'77'!AX71</f>
        <v>1.3846153846153868</v>
      </c>
      <c r="BR21" s="118">
        <f>'77'!AY71</f>
        <v>1.3846153846153868</v>
      </c>
      <c r="BS21" s="118">
        <f>'77'!AZ71</f>
        <v>1.3846153846153868</v>
      </c>
      <c r="BT21" s="118">
        <f>'77'!BA71</f>
        <v>0.3846153846153868</v>
      </c>
      <c r="BU21" s="118">
        <f>'77'!BB71</f>
        <v>1.3846153846153868</v>
      </c>
      <c r="BV21" s="118">
        <f>'77'!BC71</f>
        <v>0.3846153846153868</v>
      </c>
      <c r="BW21" s="118">
        <f>'77'!BD71</f>
        <v>-0.6153846153846132</v>
      </c>
      <c r="BX21" s="118">
        <f>'77'!BE71</f>
        <v>0.3846153846153868</v>
      </c>
      <c r="BY21" s="118">
        <f>'77'!BF71</f>
        <v>0.3846153846153868</v>
      </c>
      <c r="BZ21" s="118">
        <f>'77'!BG71</f>
        <v>-0.6153846153846132</v>
      </c>
      <c r="CA21" s="118">
        <f>'77'!BH71</f>
        <v>0.3846153846153868</v>
      </c>
      <c r="CB21" s="118">
        <f>'77'!BI71</f>
        <v>0.3846153846153868</v>
      </c>
      <c r="CC21" s="118">
        <f>'77'!BJ71</f>
        <v>-1.6153846153846132</v>
      </c>
      <c r="CD21" s="118">
        <f>'77'!BK71</f>
        <v>-0.6153846153846132</v>
      </c>
      <c r="CE21" s="118">
        <f>'77'!BL71</f>
        <v>-0.6153846153846132</v>
      </c>
      <c r="CF21" s="118">
        <f>'77'!BM71</f>
        <v>0.3846153846153868</v>
      </c>
      <c r="CG21" s="118">
        <f>'77'!BN71</f>
        <v>-1.6153846153846132</v>
      </c>
      <c r="CH21" s="118">
        <f>'77'!BO71</f>
        <v>-1.6153846153846168</v>
      </c>
      <c r="CI21" s="118">
        <f>'77'!BP71</f>
        <v>-0.61538461538461675</v>
      </c>
      <c r="CJ21" s="118">
        <f>'77'!BQ71</f>
        <v>-0.61538461538461675</v>
      </c>
      <c r="CK21" s="118">
        <f>'77'!BR71</f>
        <v>-0.61538461538461675</v>
      </c>
      <c r="CL21" s="118">
        <f>'77'!BS71</f>
        <v>-0.61538461538461675</v>
      </c>
      <c r="CM21" s="118">
        <f>'77'!BT71</f>
        <v>-1.6153846153846168</v>
      </c>
      <c r="CN21" s="118">
        <f>'77'!BU71</f>
        <v>-1.6153846153846168</v>
      </c>
      <c r="CO21" s="118">
        <f>'77'!BV71</f>
        <v>-0.61538461538461675</v>
      </c>
      <c r="CP21" s="118">
        <f>'77'!BW71</f>
        <v>-0.61538461538461675</v>
      </c>
      <c r="CQ21" s="118">
        <f>'77'!BX71</f>
        <v>-0.61538461538461675</v>
      </c>
      <c r="CR21" s="118">
        <f>'77'!BY71</f>
        <v>-0.61538461538461675</v>
      </c>
      <c r="CS21" s="118">
        <f>'77'!BZ71</f>
        <v>-1.6153846153846168</v>
      </c>
      <c r="CT21" s="118">
        <f>'77'!CA71</f>
        <v>-0.61538461538461497</v>
      </c>
      <c r="CU21" s="118">
        <f>'77'!CB71</f>
        <v>-1.615384615384615</v>
      </c>
      <c r="CV21" s="118">
        <f>'77'!CC71</f>
        <v>-1.615384615384615</v>
      </c>
      <c r="CW21" s="118">
        <f>'77'!CD71</f>
        <v>-0.61538461538461497</v>
      </c>
      <c r="CX21" s="118">
        <f>'77'!CE71</f>
        <v>-0.61538461538461497</v>
      </c>
      <c r="CY21" s="118">
        <f>'77'!CF71</f>
        <v>-0.61538461538461497</v>
      </c>
      <c r="CZ21" s="118">
        <f>'77'!CG71</f>
        <v>0.38461538461538503</v>
      </c>
      <c r="DA21" s="118">
        <f>'77'!CH71</f>
        <v>-3.615384615384615</v>
      </c>
      <c r="DB21" s="118">
        <f>'77'!CI71</f>
        <v>-2.6153846153846154</v>
      </c>
      <c r="DC21" s="118">
        <v>0</v>
      </c>
    </row>
    <row r="22" spans="2:107">
      <c r="B22" s="114">
        <v>2</v>
      </c>
      <c r="C22" s="74">
        <f t="shared" si="9"/>
        <v>2.5</v>
      </c>
      <c r="D22" s="74">
        <f t="shared" si="10"/>
        <v>3</v>
      </c>
      <c r="E22" s="74">
        <f t="shared" si="11"/>
        <v>3.5</v>
      </c>
      <c r="F22" s="114">
        <v>4</v>
      </c>
      <c r="G22" s="74">
        <f t="shared" si="12"/>
        <v>4.5</v>
      </c>
      <c r="H22" s="74">
        <f t="shared" si="13"/>
        <v>5</v>
      </c>
      <c r="I22" s="74">
        <f t="shared" si="14"/>
        <v>5.5</v>
      </c>
      <c r="J22" s="114">
        <f t="shared" si="15"/>
        <v>6</v>
      </c>
      <c r="K22" s="74">
        <f t="shared" si="16"/>
        <v>6.625</v>
      </c>
      <c r="L22" s="74">
        <f t="shared" si="17"/>
        <v>7.25</v>
      </c>
      <c r="M22" s="74">
        <f t="shared" si="18"/>
        <v>7.875</v>
      </c>
      <c r="N22" s="114">
        <f>SUM(F22,-B22,J22,0.25*ABS(J22-F22))</f>
        <v>8.5</v>
      </c>
      <c r="O22" s="74">
        <f>SUM(0.25*(R22-N22),N22)</f>
        <v>10.625</v>
      </c>
      <c r="P22" s="74">
        <f>SUM(0.5*(R22-N22),N22)</f>
        <v>12.75</v>
      </c>
      <c r="Q22" s="74">
        <f>SUM(0.75*(R22-N22),N22)</f>
        <v>14.875</v>
      </c>
      <c r="R22" s="114">
        <v>17</v>
      </c>
      <c r="S22" s="129"/>
      <c r="T22" s="117">
        <f>SUM((CZ20+CY19+CX18+CW17+CV16+CU15+CT14+CS13+CR12+CQ11+CP10)*-0.132,(CO9+CN9+CM8+CL8)*-0.132/2,(CK7+CJ7+CI7+CH7+CG6+CF6+CE6+CD6+CC5+CB5+CA5+BZ5+BY4+BX4+BW4+BV4)*-0.132/4,17)</f>
        <v>18.427461538461539</v>
      </c>
      <c r="U22" s="117">
        <f>Lefty!T22</f>
        <v>17.552538461538461</v>
      </c>
      <c r="AD22" s="122">
        <v>1</v>
      </c>
      <c r="AE22" s="122">
        <v>2</v>
      </c>
      <c r="AF22" s="122">
        <v>3</v>
      </c>
      <c r="AG22" s="122">
        <v>4</v>
      </c>
      <c r="AH22" s="122">
        <v>5</v>
      </c>
      <c r="AI22" s="122">
        <v>6</v>
      </c>
      <c r="AJ22" s="122">
        <v>7</v>
      </c>
      <c r="AK22" s="122">
        <v>8</v>
      </c>
      <c r="AL22" s="122">
        <v>9</v>
      </c>
      <c r="AM22" s="122">
        <v>10</v>
      </c>
      <c r="AN22" s="122">
        <v>11</v>
      </c>
      <c r="AO22" s="122">
        <v>12</v>
      </c>
      <c r="AP22" s="122">
        <v>13</v>
      </c>
      <c r="AQ22" s="122">
        <v>14</v>
      </c>
      <c r="AR22" s="122">
        <v>15</v>
      </c>
      <c r="AS22" s="122">
        <v>16</v>
      </c>
      <c r="AT22" s="122">
        <v>17</v>
      </c>
      <c r="AU22" s="122">
        <v>18</v>
      </c>
      <c r="AV22" s="122">
        <v>19</v>
      </c>
      <c r="AW22" s="122">
        <v>20</v>
      </c>
      <c r="AX22" s="122">
        <v>21</v>
      </c>
      <c r="AY22" s="122">
        <v>22</v>
      </c>
      <c r="AZ22" s="122">
        <v>23</v>
      </c>
      <c r="BA22" s="122">
        <v>24</v>
      </c>
      <c r="BB22" s="122">
        <v>25</v>
      </c>
      <c r="BC22" s="122">
        <v>26</v>
      </c>
      <c r="BD22" s="122">
        <v>27</v>
      </c>
      <c r="BE22" s="122">
        <v>28</v>
      </c>
      <c r="BF22" s="122">
        <v>29</v>
      </c>
      <c r="BG22" s="122">
        <v>30</v>
      </c>
      <c r="BH22" s="122">
        <v>31</v>
      </c>
      <c r="BI22" s="122">
        <v>32</v>
      </c>
      <c r="BJ22" s="122">
        <v>33</v>
      </c>
      <c r="BK22" s="122">
        <v>34</v>
      </c>
      <c r="BL22" s="122">
        <v>35</v>
      </c>
      <c r="BM22" s="122">
        <v>36</v>
      </c>
      <c r="BN22" s="122">
        <v>37</v>
      </c>
      <c r="BO22" s="122">
        <v>38</v>
      </c>
      <c r="BP22" s="122">
        <v>39</v>
      </c>
      <c r="BQ22" s="122">
        <v>40</v>
      </c>
      <c r="BR22" s="122">
        <v>41</v>
      </c>
      <c r="BS22" s="122">
        <v>42</v>
      </c>
      <c r="BT22" s="122">
        <v>43</v>
      </c>
      <c r="BU22" s="122">
        <v>44</v>
      </c>
      <c r="BV22" s="122">
        <v>45</v>
      </c>
      <c r="BW22" s="122">
        <v>46</v>
      </c>
      <c r="BX22" s="122">
        <v>47</v>
      </c>
      <c r="BY22" s="122">
        <v>48</v>
      </c>
      <c r="BZ22" s="122">
        <v>49</v>
      </c>
      <c r="CA22" s="122">
        <v>50</v>
      </c>
      <c r="CB22" s="122">
        <v>51</v>
      </c>
      <c r="CC22" s="122">
        <v>52</v>
      </c>
      <c r="CD22" s="122">
        <v>53</v>
      </c>
      <c r="CE22" s="122">
        <v>54</v>
      </c>
      <c r="CF22" s="122">
        <v>55</v>
      </c>
      <c r="CG22" s="122">
        <v>56</v>
      </c>
      <c r="CH22" s="122">
        <v>57</v>
      </c>
      <c r="CI22" s="122">
        <v>58</v>
      </c>
      <c r="CJ22" s="122">
        <v>59</v>
      </c>
      <c r="CK22" s="122">
        <v>60</v>
      </c>
      <c r="CL22" s="122">
        <v>61</v>
      </c>
      <c r="CM22" s="122">
        <v>62</v>
      </c>
      <c r="CN22" s="122">
        <v>63</v>
      </c>
      <c r="CO22" s="122">
        <v>64</v>
      </c>
      <c r="CP22" s="122">
        <v>65</v>
      </c>
      <c r="CQ22" s="122">
        <v>66</v>
      </c>
      <c r="CR22" s="122">
        <v>67</v>
      </c>
      <c r="CS22" s="122">
        <v>68</v>
      </c>
      <c r="CT22" s="122">
        <v>69</v>
      </c>
      <c r="CU22" s="122">
        <v>70</v>
      </c>
      <c r="CV22" s="122">
        <v>71</v>
      </c>
      <c r="CW22" s="122">
        <v>72</v>
      </c>
      <c r="CX22" s="122">
        <v>73</v>
      </c>
      <c r="CY22" s="122">
        <v>74</v>
      </c>
      <c r="CZ22" s="122">
        <v>75</v>
      </c>
      <c r="DA22" s="122">
        <v>76</v>
      </c>
      <c r="DB22" s="122">
        <v>77</v>
      </c>
    </row>
    <row r="23" spans="2:107">
      <c r="B23" s="114">
        <v>3</v>
      </c>
      <c r="C23" s="74">
        <f t="shared" si="9"/>
        <v>3.25</v>
      </c>
      <c r="D23" s="74">
        <f t="shared" si="10"/>
        <v>3.5</v>
      </c>
      <c r="E23" s="74">
        <f t="shared" si="11"/>
        <v>3.75</v>
      </c>
      <c r="F23" s="114">
        <v>4</v>
      </c>
      <c r="G23" s="74">
        <f t="shared" si="12"/>
        <v>4.25</v>
      </c>
      <c r="H23" s="74">
        <f t="shared" si="13"/>
        <v>4.5</v>
      </c>
      <c r="I23" s="74">
        <f t="shared" si="14"/>
        <v>4.75</v>
      </c>
      <c r="J23" s="114">
        <f t="shared" si="15"/>
        <v>5</v>
      </c>
      <c r="K23" s="74">
        <f t="shared" si="16"/>
        <v>5.3125</v>
      </c>
      <c r="L23" s="74">
        <f t="shared" si="17"/>
        <v>5.625</v>
      </c>
      <c r="M23" s="74">
        <f t="shared" si="18"/>
        <v>5.9375</v>
      </c>
      <c r="N23" s="114">
        <f>SUM(F23,-B23,J23,0.25*ABS(J23-F23))</f>
        <v>6.25</v>
      </c>
      <c r="O23" s="74">
        <f>SUM(0.25*(R23-N23),N23)</f>
        <v>8.9375</v>
      </c>
      <c r="P23" s="74">
        <f>SUM(0.5*(R23-N23),N23)</f>
        <v>11.625</v>
      </c>
      <c r="Q23" s="74">
        <f>SUM(0.75*(R23-N23),N23)</f>
        <v>14.3125</v>
      </c>
      <c r="R23" s="114">
        <v>17</v>
      </c>
      <c r="S23" s="129"/>
      <c r="T23" s="117">
        <f>SUM((CX20+CX19+CW18+CW17+CV16+CV15+CU14+CU13+CT12+CS11+CR10+CQ9+CP8)*-0.132,(CO7+CN7+CM7+CL7+CK7+CG6+CF6+CJ6+CI6+CH6+CE5+CD5+CC5+CB5+CA5+BZ4+BY4+BX4+BW4+BV4)*-0.132/5,17)</f>
        <v>17.90606153846154</v>
      </c>
      <c r="U23" s="117">
        <f>Lefty!T23</f>
        <v>17.493138461538461</v>
      </c>
    </row>
    <row r="24" spans="2:107">
      <c r="B24" s="114">
        <v>4</v>
      </c>
      <c r="C24" s="74">
        <f t="shared" si="9"/>
        <v>4</v>
      </c>
      <c r="D24" s="74">
        <f t="shared" si="10"/>
        <v>4</v>
      </c>
      <c r="E24" s="74">
        <f t="shared" si="11"/>
        <v>4</v>
      </c>
      <c r="F24" s="114">
        <v>4</v>
      </c>
      <c r="G24" s="74">
        <f t="shared" si="12"/>
        <v>4</v>
      </c>
      <c r="H24" s="74">
        <f t="shared" si="13"/>
        <v>4</v>
      </c>
      <c r="I24" s="74">
        <f t="shared" si="14"/>
        <v>4</v>
      </c>
      <c r="J24" s="114">
        <f t="shared" si="15"/>
        <v>4</v>
      </c>
      <c r="K24" s="74">
        <f t="shared" si="16"/>
        <v>4.6500000000000004</v>
      </c>
      <c r="L24" s="74">
        <f t="shared" si="17"/>
        <v>5.3</v>
      </c>
      <c r="M24" s="74">
        <f t="shared" si="18"/>
        <v>5.9499999999999993</v>
      </c>
      <c r="N24" s="114">
        <f>SUM(F24,-B24,J24,0.25*ABS(J24-F24),0.2*(17-F24))</f>
        <v>6.6</v>
      </c>
      <c r="O24" s="74">
        <f>SUM(0.25*(R24-N24),N24)</f>
        <v>9.1999999999999993</v>
      </c>
      <c r="P24" s="74">
        <f>SUM(0.5*(R24-N24),N24)</f>
        <v>11.8</v>
      </c>
      <c r="Q24" s="74">
        <f>SUM(0.75*(R24-N24),N24)</f>
        <v>14.4</v>
      </c>
      <c r="R24" s="114">
        <v>17</v>
      </c>
      <c r="S24" s="129"/>
      <c r="T24" s="117">
        <f>SUM((CV20+CV19+CV18+CV17+CV16+CV15+CV14+CV13+CV12+CU11+CU10+CT9+CT8)*-0.132,(CS7+CR7+CQ7+CP7+CO7+CN7+CM6+CL6+CK6+CJ6+CI6+CH6+CG5+CF5+CD5+CE5+CC5+CB5+CA4+BZ4+BY4+BX4+BW4+BV4)*-0.132/6,17)</f>
        <v>18.37246153846154</v>
      </c>
      <c r="U24" s="117">
        <f>Lefty!T24</f>
        <v>17.10153846153846</v>
      </c>
    </row>
    <row r="25" spans="2:107">
      <c r="B25" s="114">
        <v>5</v>
      </c>
      <c r="C25" s="74">
        <f t="shared" si="9"/>
        <v>4.75</v>
      </c>
      <c r="D25" s="74">
        <f t="shared" si="10"/>
        <v>4.5</v>
      </c>
      <c r="E25" s="74">
        <f t="shared" si="11"/>
        <v>4.25</v>
      </c>
      <c r="F25" s="114">
        <v>4</v>
      </c>
      <c r="G25" s="74">
        <f t="shared" si="12"/>
        <v>3.75</v>
      </c>
      <c r="H25" s="74">
        <f t="shared" si="13"/>
        <v>3.5</v>
      </c>
      <c r="I25" s="74">
        <f t="shared" si="14"/>
        <v>3.25</v>
      </c>
      <c r="J25" s="114">
        <f t="shared" si="15"/>
        <v>3</v>
      </c>
      <c r="K25" s="74">
        <f t="shared" si="16"/>
        <v>2.8125</v>
      </c>
      <c r="L25" s="74">
        <f t="shared" si="17"/>
        <v>2.625</v>
      </c>
      <c r="M25" s="74">
        <f t="shared" si="18"/>
        <v>2.4375</v>
      </c>
      <c r="N25" s="114">
        <f>SUM(F25,-B25,J25,0.25*ABS(J25-F25))</f>
        <v>2.25</v>
      </c>
      <c r="O25" s="74">
        <f>SUM(0.25*(R25-N25),N25)</f>
        <v>5.9375</v>
      </c>
      <c r="P25" s="74">
        <f>SUM(0.5*(R25-N25),N25)</f>
        <v>9.625</v>
      </c>
      <c r="Q25" s="74">
        <f>SUM(0.75*(R25-N25),N25)</f>
        <v>13.3125</v>
      </c>
      <c r="R25" s="114">
        <v>17</v>
      </c>
      <c r="S25" s="129"/>
      <c r="T25" s="117">
        <f>SUM((CT20+CT19+CU18+CU17+CV16+CV15+CW14+CW13+CX12+CX11+CX10+CX9+CX8)*-0.132,(CW7+CV7+CU7+CT7+CS7+CR7+CQ7+CP6+CO6+CN6+CM6+CL6+CK6+CJ6+CI5+CH5+CG5+CF5+CE5+CD5+CC5+CB4+CA4+BZ4+BY4+BX4+BW4+BV4)*-0.132/7,17)</f>
        <v>18.498175824175824</v>
      </c>
      <c r="U25" s="117">
        <f>Lefty!T25</f>
        <v>17.50068131868132</v>
      </c>
    </row>
    <row r="26" spans="2:107">
      <c r="B26" s="114"/>
      <c r="C26" s="74"/>
      <c r="D26" s="74"/>
      <c r="E26" s="74"/>
      <c r="F26" s="114"/>
      <c r="G26" s="74"/>
      <c r="H26" s="74"/>
      <c r="I26" s="74"/>
      <c r="J26" s="114"/>
      <c r="K26" s="74"/>
      <c r="L26" s="74"/>
      <c r="M26" s="74"/>
      <c r="N26" s="114"/>
      <c r="O26" s="74"/>
      <c r="P26" s="74"/>
      <c r="Q26" s="74"/>
      <c r="R26" s="114"/>
      <c r="S26" s="129"/>
    </row>
    <row r="27" spans="2:107">
      <c r="B27" s="114">
        <v>1</v>
      </c>
      <c r="C27" s="74">
        <f t="shared" si="9"/>
        <v>2</v>
      </c>
      <c r="D27" s="74">
        <f t="shared" si="10"/>
        <v>3</v>
      </c>
      <c r="E27" s="74">
        <f t="shared" si="11"/>
        <v>4</v>
      </c>
      <c r="F27" s="114">
        <v>5</v>
      </c>
      <c r="G27" s="74">
        <f t="shared" si="12"/>
        <v>6</v>
      </c>
      <c r="H27" s="74">
        <f t="shared" si="13"/>
        <v>7</v>
      </c>
      <c r="I27" s="74">
        <f t="shared" si="14"/>
        <v>8</v>
      </c>
      <c r="J27" s="114">
        <f t="shared" si="15"/>
        <v>9</v>
      </c>
      <c r="K27" s="74">
        <f t="shared" si="16"/>
        <v>10</v>
      </c>
      <c r="L27" s="74">
        <f t="shared" si="17"/>
        <v>11</v>
      </c>
      <c r="M27" s="74">
        <f t="shared" si="18"/>
        <v>12</v>
      </c>
      <c r="N27" s="114">
        <f>SUM(J27,J27,-F27)</f>
        <v>13</v>
      </c>
      <c r="O27" s="74">
        <f t="shared" ref="O27:O33" si="19">SUM(0.25*(R27-N27),N27)</f>
        <v>14</v>
      </c>
      <c r="P27" s="74">
        <f t="shared" ref="P27:P33" si="20">SUM(0.5*(R27-N27),N27)</f>
        <v>15</v>
      </c>
      <c r="Q27" s="74">
        <f t="shared" ref="Q27:Q33" si="21">SUM(0.75*(R27-N27),N27)</f>
        <v>16</v>
      </c>
      <c r="R27" s="114">
        <v>17</v>
      </c>
      <c r="S27" s="129"/>
      <c r="T27" s="117">
        <f>SUM(DB20*-0.132,(DA19+CZ19+CY18+CX18+CW17+CV17+CU16+CT16+CS15+CR15+CQ14+CP14+CO13+CN13+CM12+CL12+CK11+CJ11+CI10+CH10+CG9+CF9+CE8+CD8+CC7+CB7+CA6+BZ6+BY5+BX5+BW4+BV4)*-0.132/2,17)</f>
        <v>18.856461538461538</v>
      </c>
      <c r="U27" s="117">
        <f>Lefty!T27</f>
        <v>17.651538461538461</v>
      </c>
    </row>
    <row r="28" spans="2:107">
      <c r="B28" s="114">
        <v>2</v>
      </c>
      <c r="C28" s="74">
        <f t="shared" si="9"/>
        <v>2.75</v>
      </c>
      <c r="D28" s="74">
        <f t="shared" si="10"/>
        <v>3.5</v>
      </c>
      <c r="E28" s="74">
        <f t="shared" si="11"/>
        <v>4.25</v>
      </c>
      <c r="F28" s="114">
        <v>5</v>
      </c>
      <c r="G28" s="74">
        <f t="shared" si="12"/>
        <v>5.75</v>
      </c>
      <c r="H28" s="74">
        <f t="shared" si="13"/>
        <v>6.5</v>
      </c>
      <c r="I28" s="74">
        <f t="shared" si="14"/>
        <v>7.25</v>
      </c>
      <c r="J28" s="114">
        <f t="shared" si="15"/>
        <v>8</v>
      </c>
      <c r="K28" s="74">
        <f t="shared" si="16"/>
        <v>8.9375</v>
      </c>
      <c r="L28" s="74">
        <f t="shared" si="17"/>
        <v>9.875</v>
      </c>
      <c r="M28" s="74">
        <f t="shared" si="18"/>
        <v>10.8125</v>
      </c>
      <c r="N28" s="114">
        <f>SUM(F28,-B28,J28,0.25*ABS(J28-F28))</f>
        <v>11.75</v>
      </c>
      <c r="O28" s="74">
        <f t="shared" si="19"/>
        <v>13.0625</v>
      </c>
      <c r="P28" s="74">
        <f t="shared" si="20"/>
        <v>14.375</v>
      </c>
      <c r="Q28" s="74">
        <f t="shared" si="21"/>
        <v>15.6875</v>
      </c>
      <c r="R28" s="114">
        <v>17</v>
      </c>
      <c r="S28" s="129"/>
      <c r="T28" s="117">
        <f>SUM((CZ20+CY19+CS15+CR14+CX18)*-0.132,(CW17+CV17+CU16+CT16+CQ13+CP13+CO12+CN12+CM11+CL11+CK10+CJ10+CI9+CH9+CG8+CF8+BY5+BX5+BW4+BV4)*-0.132/2,(CE7+CD7+CC7+CB6+CA6+BZ6)*-0.132/3,17)</f>
        <v>18.57046153846154</v>
      </c>
      <c r="U28" s="117">
        <f>Lefty!T28</f>
        <v>17.651538461538461</v>
      </c>
    </row>
    <row r="29" spans="2:107">
      <c r="B29" s="114">
        <v>3</v>
      </c>
      <c r="C29" s="74">
        <f t="shared" si="9"/>
        <v>3.5</v>
      </c>
      <c r="D29" s="74">
        <f t="shared" si="10"/>
        <v>4</v>
      </c>
      <c r="E29" s="74">
        <f t="shared" si="11"/>
        <v>4.5</v>
      </c>
      <c r="F29" s="114">
        <v>5</v>
      </c>
      <c r="G29" s="74">
        <f t="shared" si="12"/>
        <v>5.5</v>
      </c>
      <c r="H29" s="74">
        <f t="shared" si="13"/>
        <v>6</v>
      </c>
      <c r="I29" s="74">
        <f t="shared" si="14"/>
        <v>6.5</v>
      </c>
      <c r="J29" s="114">
        <f t="shared" si="15"/>
        <v>7</v>
      </c>
      <c r="K29" s="74">
        <f t="shared" si="16"/>
        <v>7.625</v>
      </c>
      <c r="L29" s="74">
        <f t="shared" si="17"/>
        <v>8.25</v>
      </c>
      <c r="M29" s="74">
        <f t="shared" si="18"/>
        <v>8.875</v>
      </c>
      <c r="N29" s="114">
        <f>SUM(F29,-B29,J29,0.25*ABS(J29-F29))</f>
        <v>9.5</v>
      </c>
      <c r="O29" s="74">
        <f t="shared" si="19"/>
        <v>11.375</v>
      </c>
      <c r="P29" s="74">
        <f t="shared" si="20"/>
        <v>13.25</v>
      </c>
      <c r="Q29" s="74">
        <f t="shared" si="21"/>
        <v>15.125</v>
      </c>
      <c r="R29" s="114">
        <v>17</v>
      </c>
      <c r="S29" s="129"/>
      <c r="T29" s="117">
        <f>SUM((CX20+CW19+CV18+CU17+CT16+CS15+CR14+CQ13+CP12+CO11+CN10)*-0.132,(CM9+CL9+CK8+CJ8)*-0.132/2,(CI7+CH7+CG7+CF7+CE6+CD6+CC6+CB6)*-0.132/4,(CA5+BZ5+BY5+BX4+BW4+BV4)*-0.132/3,17)</f>
        <v>18.801461538461538</v>
      </c>
      <c r="U29" s="117">
        <f>Lefty!T29</f>
        <v>17.332538461538462</v>
      </c>
    </row>
    <row r="30" spans="2:107">
      <c r="B30" s="114">
        <v>4</v>
      </c>
      <c r="C30" s="74">
        <f t="shared" si="9"/>
        <v>4.25</v>
      </c>
      <c r="D30" s="74">
        <f t="shared" si="10"/>
        <v>4.5</v>
      </c>
      <c r="E30" s="74">
        <f t="shared" si="11"/>
        <v>4.75</v>
      </c>
      <c r="F30" s="114">
        <v>5</v>
      </c>
      <c r="G30" s="74">
        <f t="shared" si="12"/>
        <v>5.25</v>
      </c>
      <c r="H30" s="74">
        <f t="shared" si="13"/>
        <v>5.5</v>
      </c>
      <c r="I30" s="74">
        <f t="shared" si="14"/>
        <v>5.75</v>
      </c>
      <c r="J30" s="114">
        <f t="shared" si="15"/>
        <v>6</v>
      </c>
      <c r="K30" s="74">
        <f t="shared" si="16"/>
        <v>6.3125</v>
      </c>
      <c r="L30" s="74">
        <f t="shared" si="17"/>
        <v>6.625</v>
      </c>
      <c r="M30" s="74">
        <f t="shared" si="18"/>
        <v>6.9375</v>
      </c>
      <c r="N30" s="114">
        <f>SUM(F30,-B30,J30,0.25*ABS(J30-F30))</f>
        <v>7.25</v>
      </c>
      <c r="O30" s="74">
        <f t="shared" si="19"/>
        <v>9.6875</v>
      </c>
      <c r="P30" s="74">
        <f t="shared" si="20"/>
        <v>12.125</v>
      </c>
      <c r="Q30" s="74">
        <f t="shared" si="21"/>
        <v>14.5625</v>
      </c>
      <c r="R30" s="114">
        <v>17</v>
      </c>
      <c r="S30" s="129"/>
      <c r="T30" s="117">
        <f>SUM((CV20+CV19+CU18+CU17+CT16+CT15+CS14+CS13+CR12+CQ11+CP10+CO9+CN8)*-0.132,(CM7+CL7+CK7+CJ7+CI7+CH6+CG6+CF6+CE6+CD6)*-0.132/5,(CC5+CB5+CA5+BZ5+BY4+BX4+BW4+BV4)*-0.132/4,17)</f>
        <v>18.777261538461538</v>
      </c>
      <c r="U30" s="117">
        <f>Lefty!T30</f>
        <v>17.684538461538462</v>
      </c>
    </row>
    <row r="31" spans="2:107">
      <c r="B31" s="114">
        <v>5</v>
      </c>
      <c r="C31" s="74">
        <f t="shared" si="9"/>
        <v>5</v>
      </c>
      <c r="D31" s="74">
        <f t="shared" si="10"/>
        <v>5</v>
      </c>
      <c r="E31" s="74">
        <f t="shared" si="11"/>
        <v>5</v>
      </c>
      <c r="F31" s="114">
        <v>5</v>
      </c>
      <c r="G31" s="74">
        <f t="shared" si="12"/>
        <v>5</v>
      </c>
      <c r="H31" s="74">
        <f t="shared" si="13"/>
        <v>5</v>
      </c>
      <c r="I31" s="74">
        <f t="shared" si="14"/>
        <v>5</v>
      </c>
      <c r="J31" s="114">
        <f t="shared" si="15"/>
        <v>5</v>
      </c>
      <c r="K31" s="74">
        <f t="shared" si="16"/>
        <v>5.6</v>
      </c>
      <c r="L31" s="74">
        <f t="shared" si="17"/>
        <v>6.2</v>
      </c>
      <c r="M31" s="74">
        <f t="shared" si="18"/>
        <v>6.8000000000000007</v>
      </c>
      <c r="N31" s="114">
        <f>SUM(F31,-B31,J31,0.25*ABS(J31-F31),0.2*(17-F31))</f>
        <v>7.4</v>
      </c>
      <c r="O31" s="74">
        <f t="shared" si="19"/>
        <v>9.8000000000000007</v>
      </c>
      <c r="P31" s="74">
        <f t="shared" si="20"/>
        <v>12.2</v>
      </c>
      <c r="Q31" s="74">
        <f t="shared" si="21"/>
        <v>14.6</v>
      </c>
      <c r="R31" s="114">
        <v>17</v>
      </c>
      <c r="S31" s="129"/>
      <c r="T31" s="117">
        <f>SUM((CT20+CT19+CT18+CT17+CT16+CT15+CT14+CT13+CT12+CS11+CS10+CR9+CR8)*-0.132,(CQ7+CP7+CO7+CN7+CM7+CL7+CK6+CJ6+CI6+CH6+CG6+CF6)*-0.132/6,(CE5+CD5+CC5+CB5+CA5+BZ4+BY4+BX4+BW4+BV4)*-0.132/5,17)</f>
        <v>17.936861538461539</v>
      </c>
      <c r="U31" s="117">
        <f>Lefty!T31</f>
        <v>17.391938461538462</v>
      </c>
    </row>
    <row r="32" spans="2:107">
      <c r="B32" s="114">
        <v>6</v>
      </c>
      <c r="C32" s="74">
        <f t="shared" si="9"/>
        <v>5.75</v>
      </c>
      <c r="D32" s="74">
        <f t="shared" si="10"/>
        <v>5.5</v>
      </c>
      <c r="E32" s="74">
        <f t="shared" si="11"/>
        <v>5.25</v>
      </c>
      <c r="F32" s="114">
        <v>5</v>
      </c>
      <c r="G32" s="74">
        <f t="shared" si="12"/>
        <v>4.75</v>
      </c>
      <c r="H32" s="74">
        <f t="shared" si="13"/>
        <v>4.5</v>
      </c>
      <c r="I32" s="74">
        <f t="shared" si="14"/>
        <v>4.25</v>
      </c>
      <c r="J32" s="114">
        <f t="shared" si="15"/>
        <v>4</v>
      </c>
      <c r="K32" s="74">
        <f t="shared" si="16"/>
        <v>3.8125</v>
      </c>
      <c r="L32" s="74">
        <f t="shared" si="17"/>
        <v>3.625</v>
      </c>
      <c r="M32" s="74">
        <f t="shared" si="18"/>
        <v>3.4375</v>
      </c>
      <c r="N32" s="114">
        <f>SUM(F32,-B32,J32,0.25*ABS(J32-F32))</f>
        <v>3.25</v>
      </c>
      <c r="O32" s="74">
        <f t="shared" si="19"/>
        <v>6.6875</v>
      </c>
      <c r="P32" s="74">
        <f t="shared" si="20"/>
        <v>10.125</v>
      </c>
      <c r="Q32" s="74">
        <f t="shared" si="21"/>
        <v>13.5625</v>
      </c>
      <c r="R32" s="114">
        <v>17</v>
      </c>
      <c r="S32" s="129"/>
      <c r="T32" s="117">
        <f>SUM((CR20+CS19+CS18+CT17+CT16+CU15+CU14+CV13+CV12+CW11+CW10+CV9+CV8)*-0.132,(CU7+CT7+CS7+CR7+CQ7+CP7+CO7+CN6+CM6+CL6+CK6+CJ6+CI6+CH6)*-0.132/7,(CG5+CF5+CE5+CD5+CC5+CB5+CA4+BZ4+BY4+BX4+BW4+BV4)*-0.132/6,17)</f>
        <v>17.844461538461537</v>
      </c>
      <c r="U32" s="117">
        <f>Lefty!T32</f>
        <v>17.371824175824177</v>
      </c>
    </row>
    <row r="33" spans="2:21">
      <c r="B33" s="114">
        <v>7</v>
      </c>
      <c r="C33" s="74">
        <f t="shared" si="9"/>
        <v>6.5</v>
      </c>
      <c r="D33" s="74">
        <f t="shared" si="10"/>
        <v>6</v>
      </c>
      <c r="E33" s="74">
        <f t="shared" si="11"/>
        <v>5.5</v>
      </c>
      <c r="F33" s="114">
        <v>5</v>
      </c>
      <c r="G33" s="74">
        <f t="shared" si="12"/>
        <v>4.5</v>
      </c>
      <c r="H33" s="74">
        <f t="shared" si="13"/>
        <v>4</v>
      </c>
      <c r="I33" s="74">
        <f t="shared" si="14"/>
        <v>3.5</v>
      </c>
      <c r="J33" s="114">
        <f t="shared" si="15"/>
        <v>3</v>
      </c>
      <c r="K33" s="74">
        <f t="shared" si="16"/>
        <v>2.625</v>
      </c>
      <c r="L33" s="74">
        <f t="shared" si="17"/>
        <v>2.25</v>
      </c>
      <c r="M33" s="74">
        <f t="shared" si="18"/>
        <v>1.875</v>
      </c>
      <c r="N33" s="114">
        <f>SUM(F33,-B33,J33,0.25*ABS(J33-F33))</f>
        <v>1.5</v>
      </c>
      <c r="O33" s="74">
        <f t="shared" si="19"/>
        <v>5.375</v>
      </c>
      <c r="P33" s="74">
        <f t="shared" si="20"/>
        <v>9.25</v>
      </c>
      <c r="Q33" s="74">
        <f t="shared" si="21"/>
        <v>13.125</v>
      </c>
      <c r="R33" s="114">
        <v>17</v>
      </c>
      <c r="S33" s="129"/>
      <c r="T33" s="117">
        <f>SUM((CP20+CQ19+CR18+CS17+CT16+CU15+CV14+CX12+CW13+CY11+CY10+CZ9+CZ8)*-0.132,(CY7+CX7+CW7+CV7+CU7+CT7+CS7+CR7+CQ6+CP6+CO6+CN6+CM6+CL6+CK6+CJ6)*-0.132/8,(CI5+CH5+CG5+CF5+CE5+CD5+CC5+CB4+CA4+BZ4+BY4+BX4+BW4+BV4)*-0.132/7,17)</f>
        <v>18.102175824175823</v>
      </c>
      <c r="U33" s="117">
        <f>Lefty!T33</f>
        <v>17.125895604395605</v>
      </c>
    </row>
    <row r="34" spans="2:21">
      <c r="B34" s="114"/>
      <c r="C34" s="74"/>
      <c r="D34" s="74"/>
      <c r="E34" s="74"/>
      <c r="F34" s="114"/>
      <c r="G34" s="74"/>
      <c r="H34" s="74"/>
      <c r="I34" s="74"/>
      <c r="J34" s="114"/>
      <c r="K34" s="74"/>
      <c r="L34" s="74"/>
      <c r="M34" s="74"/>
      <c r="N34" s="114"/>
      <c r="O34" s="74"/>
      <c r="P34" s="74"/>
      <c r="Q34" s="74"/>
      <c r="R34" s="114"/>
      <c r="S34" s="129"/>
    </row>
    <row r="35" spans="2:21">
      <c r="B35" s="114">
        <v>3</v>
      </c>
      <c r="C35" s="74">
        <f t="shared" si="9"/>
        <v>3.75</v>
      </c>
      <c r="D35" s="74">
        <f t="shared" si="10"/>
        <v>4.5</v>
      </c>
      <c r="E35" s="74">
        <f t="shared" si="11"/>
        <v>5.25</v>
      </c>
      <c r="F35" s="114">
        <v>6</v>
      </c>
      <c r="G35" s="74">
        <f t="shared" si="12"/>
        <v>6.75</v>
      </c>
      <c r="H35" s="74">
        <f t="shared" si="13"/>
        <v>7.5</v>
      </c>
      <c r="I35" s="74">
        <f t="shared" si="14"/>
        <v>8.25</v>
      </c>
      <c r="J35" s="114">
        <f t="shared" si="15"/>
        <v>9</v>
      </c>
      <c r="K35" s="74">
        <f t="shared" si="16"/>
        <v>9.9375</v>
      </c>
      <c r="L35" s="74">
        <f t="shared" si="17"/>
        <v>10.875</v>
      </c>
      <c r="M35" s="74">
        <f t="shared" si="18"/>
        <v>11.8125</v>
      </c>
      <c r="N35" s="114">
        <f>SUM(F35,-B35,J35,0.25*ABS(J35-F35))</f>
        <v>12.75</v>
      </c>
      <c r="O35" s="74">
        <f t="shared" ref="O35:O40" si="22">SUM(0.25*(R35-N35),N35)</f>
        <v>13.8125</v>
      </c>
      <c r="P35" s="74">
        <f t="shared" ref="P35:P40" si="23">SUM(0.5*(R35-N35),N35)</f>
        <v>14.875</v>
      </c>
      <c r="Q35" s="74">
        <f t="shared" ref="Q35:Q40" si="24">SUM(0.75*(R35-N35),N35)</f>
        <v>15.9375</v>
      </c>
      <c r="R35" s="114">
        <v>17</v>
      </c>
      <c r="S35" s="129"/>
      <c r="T35" s="117">
        <f>SUM((CX20+CU18+CR16+CO14+CL12+CI10+CF8)*-0.132,(CW19+CV19+CT17+CS17+CQ15+CP15+CN13+CM13+CK11+CJ11+CH9+CG9+BY5+BX5+BW4+BV4)*-0.132/2,(CE7+CD7+CC7+CB6+CA6+BZ6)*-0.132/3,17)</f>
        <v>19.296461538461539</v>
      </c>
      <c r="U35" s="117">
        <f>Lefty!T35</f>
        <v>18.17953846153846</v>
      </c>
    </row>
    <row r="36" spans="2:21">
      <c r="B36" s="114">
        <v>4</v>
      </c>
      <c r="C36" s="74">
        <f t="shared" si="9"/>
        <v>4.5</v>
      </c>
      <c r="D36" s="74">
        <f t="shared" si="10"/>
        <v>5</v>
      </c>
      <c r="E36" s="74">
        <f t="shared" si="11"/>
        <v>5.5</v>
      </c>
      <c r="F36" s="114">
        <v>6</v>
      </c>
      <c r="G36" s="74">
        <f t="shared" si="12"/>
        <v>6.5</v>
      </c>
      <c r="H36" s="74">
        <f t="shared" si="13"/>
        <v>7</v>
      </c>
      <c r="I36" s="74">
        <f t="shared" si="14"/>
        <v>7.5</v>
      </c>
      <c r="J36" s="114">
        <f t="shared" si="15"/>
        <v>8</v>
      </c>
      <c r="K36" s="74">
        <f t="shared" si="16"/>
        <v>8.625</v>
      </c>
      <c r="L36" s="74">
        <f t="shared" si="17"/>
        <v>9.25</v>
      </c>
      <c r="M36" s="74">
        <f t="shared" si="18"/>
        <v>9.875</v>
      </c>
      <c r="N36" s="114">
        <f>SUM(F36,-B36,J36,0.25*ABS(J36-F36))</f>
        <v>10.5</v>
      </c>
      <c r="O36" s="74">
        <f t="shared" si="22"/>
        <v>12.125</v>
      </c>
      <c r="P36" s="74">
        <f t="shared" si="23"/>
        <v>13.75</v>
      </c>
      <c r="Q36" s="74">
        <f t="shared" si="24"/>
        <v>15.375</v>
      </c>
      <c r="R36" s="114">
        <v>17</v>
      </c>
      <c r="S36" s="129"/>
      <c r="T36" s="117">
        <f>SUM((CV20+CU19+CT18+CS17+CR16+CQ15+CP14+CO13+CN12+CM11+CL10)*-0.132,(CK9+CJ9+CI8+CH8)*-0.132/2,(CG7+CF7+CE7+CD6+CC6+CB6+CA5+BZ5+BY5+BX4+BW4+BV4)*-0.132/3,17)</f>
        <v>19.73646153846154</v>
      </c>
      <c r="U36" s="117">
        <f>Lefty!T36</f>
        <v>17.959538461538461</v>
      </c>
    </row>
    <row r="37" spans="2:21">
      <c r="B37" s="114">
        <v>5</v>
      </c>
      <c r="C37" s="74">
        <f t="shared" si="9"/>
        <v>5.25</v>
      </c>
      <c r="D37" s="74">
        <f t="shared" si="10"/>
        <v>5.5</v>
      </c>
      <c r="E37" s="74">
        <f t="shared" si="11"/>
        <v>5.75</v>
      </c>
      <c r="F37" s="114">
        <v>6</v>
      </c>
      <c r="G37" s="74">
        <f t="shared" si="12"/>
        <v>6.25</v>
      </c>
      <c r="H37" s="74">
        <f t="shared" si="13"/>
        <v>6.5</v>
      </c>
      <c r="I37" s="74">
        <f t="shared" si="14"/>
        <v>6.75</v>
      </c>
      <c r="J37" s="114">
        <f t="shared" si="15"/>
        <v>7</v>
      </c>
      <c r="K37" s="74">
        <f t="shared" si="16"/>
        <v>7.3125</v>
      </c>
      <c r="L37" s="74">
        <f t="shared" si="17"/>
        <v>7.625</v>
      </c>
      <c r="M37" s="74">
        <f t="shared" si="18"/>
        <v>7.9375</v>
      </c>
      <c r="N37" s="114">
        <f>SUM(F37,-B37,J37,0.25*ABS(J37-F37))</f>
        <v>8.25</v>
      </c>
      <c r="O37" s="74">
        <f t="shared" si="22"/>
        <v>10.4375</v>
      </c>
      <c r="P37" s="74">
        <f t="shared" si="23"/>
        <v>12.625</v>
      </c>
      <c r="Q37" s="74">
        <f t="shared" si="24"/>
        <v>14.8125</v>
      </c>
      <c r="R37" s="114">
        <v>17</v>
      </c>
      <c r="S37" s="129"/>
      <c r="T37" s="117">
        <f>SUM(CT20*-0.132,(CS19+CS18+CR17+CR16+CQ15+CQ14+CP13+CP12)*-0.132,(CO11+CN10+CM9+CL8)*-0.132,(CK7+CJ7+CI7+CH7+CG6+CF6+CE6+CD6+CC5+CB5+CA5+BZ5+BY4+BX4+BW4+BV4)*-0.132/4,17)</f>
        <v>18.889461538461539</v>
      </c>
      <c r="U37" s="117">
        <f>Lefty!T37</f>
        <v>18.080538461538463</v>
      </c>
    </row>
    <row r="38" spans="2:21">
      <c r="B38" s="114">
        <v>6</v>
      </c>
      <c r="C38" s="74">
        <f t="shared" si="9"/>
        <v>6</v>
      </c>
      <c r="D38" s="74">
        <f t="shared" si="10"/>
        <v>6</v>
      </c>
      <c r="E38" s="74">
        <f t="shared" si="11"/>
        <v>6</v>
      </c>
      <c r="F38" s="114">
        <v>6</v>
      </c>
      <c r="G38" s="74">
        <f t="shared" si="12"/>
        <v>6</v>
      </c>
      <c r="H38" s="74">
        <f t="shared" si="13"/>
        <v>6</v>
      </c>
      <c r="I38" s="74">
        <f t="shared" si="14"/>
        <v>6</v>
      </c>
      <c r="J38" s="114">
        <f t="shared" si="15"/>
        <v>6</v>
      </c>
      <c r="K38" s="74">
        <f t="shared" si="16"/>
        <v>6.55</v>
      </c>
      <c r="L38" s="74">
        <f t="shared" si="17"/>
        <v>7.1</v>
      </c>
      <c r="M38" s="74">
        <f t="shared" si="18"/>
        <v>7.6499999999999995</v>
      </c>
      <c r="N38" s="114">
        <f>SUM(F38,-B38,J38,0.25*ABS(J38-F38),0.2*(17-F38))</f>
        <v>8.1999999999999993</v>
      </c>
      <c r="O38" s="74">
        <f t="shared" si="22"/>
        <v>10.399999999999999</v>
      </c>
      <c r="P38" s="74">
        <f t="shared" si="23"/>
        <v>12.6</v>
      </c>
      <c r="Q38" s="74">
        <f t="shared" si="24"/>
        <v>14.8</v>
      </c>
      <c r="R38" s="114">
        <v>17</v>
      </c>
      <c r="S38" s="129"/>
      <c r="T38" s="117">
        <f>SUM((CR20+CR19+CR18+CR17+CR16+CR15+CR14+CR13+CR12+CQ11+CQ10+CP9+CP8)*-0.132,(CO7+CN7+CM7+CL7+CK7+CJ6+CI6+CH6+CG6+CF6+CE5+CD5+CC5+CB5+CA5+BZ4+BY4+BX4+BW4+BV4)*-0.132/5,17)</f>
        <v>19.094061538461538</v>
      </c>
      <c r="U38" s="117">
        <f>Lefty!T38</f>
        <v>17.75713846153846</v>
      </c>
    </row>
    <row r="39" spans="2:21">
      <c r="B39" s="114">
        <v>7</v>
      </c>
      <c r="C39" s="74">
        <f t="shared" si="9"/>
        <v>6.75</v>
      </c>
      <c r="D39" s="74">
        <f t="shared" si="10"/>
        <v>6.5</v>
      </c>
      <c r="E39" s="74">
        <f t="shared" si="11"/>
        <v>6.25</v>
      </c>
      <c r="F39" s="114">
        <v>6</v>
      </c>
      <c r="G39" s="74">
        <f t="shared" si="12"/>
        <v>5.75</v>
      </c>
      <c r="H39" s="74">
        <f t="shared" si="13"/>
        <v>5.5</v>
      </c>
      <c r="I39" s="74">
        <f t="shared" si="14"/>
        <v>5.25</v>
      </c>
      <c r="J39" s="114">
        <f t="shared" si="15"/>
        <v>5</v>
      </c>
      <c r="K39" s="74">
        <f t="shared" si="16"/>
        <v>4.8125</v>
      </c>
      <c r="L39" s="74">
        <f t="shared" si="17"/>
        <v>4.625</v>
      </c>
      <c r="M39" s="74">
        <f t="shared" si="18"/>
        <v>4.4375</v>
      </c>
      <c r="N39" s="114">
        <f>SUM(F39,-B39,J39,0.25*ABS(J39-F39))</f>
        <v>4.25</v>
      </c>
      <c r="O39" s="74">
        <f t="shared" si="22"/>
        <v>7.4375</v>
      </c>
      <c r="P39" s="74">
        <f t="shared" si="23"/>
        <v>10.625</v>
      </c>
      <c r="Q39" s="74">
        <f t="shared" si="24"/>
        <v>13.8125</v>
      </c>
      <c r="R39" s="114">
        <v>17</v>
      </c>
      <c r="S39" s="129"/>
      <c r="T39" s="117">
        <f>SUM((CP20+CQ19+CQ18+CR17+CR16+CS15+CS14+CT13+CT12+CU11+CU10+CT9+CT8)*-0.132,(CS7+CR7+CQ7+CP7+CO7+CN7+CM6+CL6+CK6+CJ6+CI6+CH6+CG5+CF5+CE5+CD5+CC5+CB5+CA4+BZ4+BY4+BX4+BW4+BV4)*-0.132/6,17)</f>
        <v>18.108461538461537</v>
      </c>
      <c r="U39" s="117">
        <f>Lefty!T39</f>
        <v>18.02553846153846</v>
      </c>
    </row>
    <row r="40" spans="2:21">
      <c r="B40" s="114">
        <v>8</v>
      </c>
      <c r="C40" s="74">
        <f t="shared" si="9"/>
        <v>7.5</v>
      </c>
      <c r="D40" s="74">
        <f t="shared" si="10"/>
        <v>7</v>
      </c>
      <c r="E40" s="74">
        <f t="shared" si="11"/>
        <v>6.5</v>
      </c>
      <c r="F40" s="114">
        <v>6</v>
      </c>
      <c r="G40" s="74">
        <f t="shared" si="12"/>
        <v>5.5</v>
      </c>
      <c r="H40" s="74">
        <f t="shared" si="13"/>
        <v>5</v>
      </c>
      <c r="I40" s="74">
        <f t="shared" si="14"/>
        <v>4.5</v>
      </c>
      <c r="J40" s="114">
        <f t="shared" si="15"/>
        <v>4</v>
      </c>
      <c r="K40" s="74">
        <f t="shared" si="16"/>
        <v>3.625</v>
      </c>
      <c r="L40" s="74">
        <f t="shared" si="17"/>
        <v>3.25</v>
      </c>
      <c r="M40" s="74">
        <f t="shared" si="18"/>
        <v>2.875</v>
      </c>
      <c r="N40" s="114">
        <f>SUM(F40,-B40,J40,0.25*ABS(J40-F40))</f>
        <v>2.5</v>
      </c>
      <c r="O40" s="74">
        <f t="shared" si="22"/>
        <v>6.125</v>
      </c>
      <c r="P40" s="74">
        <f t="shared" si="23"/>
        <v>9.75</v>
      </c>
      <c r="Q40" s="74">
        <f t="shared" si="24"/>
        <v>13.375</v>
      </c>
      <c r="R40" s="114">
        <v>17</v>
      </c>
      <c r="S40" s="129"/>
      <c r="T40" s="117">
        <f>SUM((CN20+CO19+CP18+CQ17+CR16+CS15+CT14+CU13+CV12+CW11+CW10+CX9+CX8)*-0.132,(CW7+CV7+CU7+CT7+CS7+CR7+CQ7+CP6+CO6+CN6+CM6+CL6+CK6+CJ6+CI5+CH5+CG5+CF5+CE5+CD5+CC5+CB4+CA4+BZ4+BY4+BX4+BW4+BV4)*-0.132/7,17)</f>
        <v>17.970175824175826</v>
      </c>
      <c r="U40" s="117">
        <f>Lefty!T40</f>
        <v>18.028681318681318</v>
      </c>
    </row>
    <row r="41" spans="2:21">
      <c r="B41" s="114"/>
      <c r="C41" s="74"/>
      <c r="D41" s="74"/>
      <c r="E41" s="74"/>
      <c r="F41" s="114"/>
      <c r="G41" s="74"/>
      <c r="H41" s="74"/>
      <c r="I41" s="74"/>
      <c r="J41" s="114"/>
      <c r="K41" s="74"/>
      <c r="L41" s="74"/>
      <c r="M41" s="74"/>
      <c r="N41" s="114"/>
      <c r="O41" s="74"/>
      <c r="P41" s="74"/>
      <c r="Q41" s="74"/>
      <c r="R41" s="114"/>
      <c r="S41" s="129"/>
    </row>
    <row r="42" spans="2:21">
      <c r="B42" s="114">
        <v>4</v>
      </c>
      <c r="C42" s="74">
        <f t="shared" si="9"/>
        <v>4.75</v>
      </c>
      <c r="D42" s="74">
        <f t="shared" si="10"/>
        <v>5.5</v>
      </c>
      <c r="E42" s="74">
        <f t="shared" si="11"/>
        <v>6.25</v>
      </c>
      <c r="F42" s="114">
        <v>7</v>
      </c>
      <c r="G42" s="74">
        <f t="shared" si="12"/>
        <v>7.75</v>
      </c>
      <c r="H42" s="74">
        <f t="shared" si="13"/>
        <v>8.5</v>
      </c>
      <c r="I42" s="74">
        <f t="shared" si="14"/>
        <v>9.25</v>
      </c>
      <c r="J42" s="114">
        <f t="shared" si="15"/>
        <v>10</v>
      </c>
      <c r="K42" s="74">
        <f t="shared" si="16"/>
        <v>10.75</v>
      </c>
      <c r="L42" s="74">
        <f t="shared" si="17"/>
        <v>11.5</v>
      </c>
      <c r="M42" s="74">
        <f t="shared" si="18"/>
        <v>12.25</v>
      </c>
      <c r="N42" s="114">
        <f>SUM(J42,J42,-F42)</f>
        <v>13</v>
      </c>
      <c r="O42" s="74">
        <f t="shared" ref="O42:O48" si="25">SUM(0.25*(R42-N42),N42)</f>
        <v>14</v>
      </c>
      <c r="P42" s="74">
        <f t="shared" ref="P42:P48" si="26">SUM(0.5*(R42-N42),N42)</f>
        <v>15</v>
      </c>
      <c r="Q42" s="74">
        <f t="shared" ref="Q42:Q48" si="27">SUM(0.75*(R42-N42),N42)</f>
        <v>16</v>
      </c>
      <c r="R42" s="114">
        <v>17</v>
      </c>
      <c r="S42" s="129"/>
      <c r="T42" s="117">
        <f>SUM((CV20+CS18+CP16+CM14+CJ12+CG10+CD8)*-0.132,(CU19+CT19+CR17+CQ17+CO15+CN15+CL13+CK13+CI11+CH11+CF9+CE9+CC7+CB7+CA6+BZ6+BY5+BX5+BW4+BV4)*-0.132/2,17)</f>
        <v>19.64846153846154</v>
      </c>
      <c r="U42" s="117">
        <f>Lefty!T42</f>
        <v>18.245538461538462</v>
      </c>
    </row>
    <row r="43" spans="2:21">
      <c r="B43" s="114">
        <v>5</v>
      </c>
      <c r="C43" s="74">
        <f t="shared" si="9"/>
        <v>5.5</v>
      </c>
      <c r="D43" s="74">
        <f t="shared" si="10"/>
        <v>6</v>
      </c>
      <c r="E43" s="74">
        <f t="shared" si="11"/>
        <v>6.5</v>
      </c>
      <c r="F43" s="114">
        <v>7</v>
      </c>
      <c r="G43" s="74">
        <f t="shared" si="12"/>
        <v>7.5</v>
      </c>
      <c r="H43" s="74">
        <f t="shared" si="13"/>
        <v>8</v>
      </c>
      <c r="I43" s="74">
        <f t="shared" si="14"/>
        <v>8.5</v>
      </c>
      <c r="J43" s="114">
        <f t="shared" si="15"/>
        <v>9</v>
      </c>
      <c r="K43" s="74">
        <f t="shared" si="16"/>
        <v>9.625</v>
      </c>
      <c r="L43" s="74">
        <f t="shared" si="17"/>
        <v>10.25</v>
      </c>
      <c r="M43" s="74">
        <f t="shared" si="18"/>
        <v>10.875</v>
      </c>
      <c r="N43" s="114">
        <f>SUM(F43,-B43,J43,0.25*ABS(J43-F43))</f>
        <v>11.5</v>
      </c>
      <c r="O43" s="74">
        <f t="shared" si="25"/>
        <v>12.875</v>
      </c>
      <c r="P43" s="74">
        <f t="shared" si="26"/>
        <v>14.25</v>
      </c>
      <c r="Q43" s="74">
        <f t="shared" si="27"/>
        <v>15.625</v>
      </c>
      <c r="R43" s="114">
        <v>17</v>
      </c>
      <c r="S43" s="129"/>
      <c r="T43" s="117">
        <f>SUM((CT20+CS19+CR18+CQ17+CP16+CO15+CN14+CM13+CL12+CI10+CF8)*-0.132,(CK11+CJ11+CH9+CG9+BY5+BX5+BW4+BV4)*-0.132/2,(CE7+CD7+CC7+CB6+CA6+BZ6)*-0.132/3,17)</f>
        <v>19.49446153846154</v>
      </c>
      <c r="U43" s="117">
        <f>Lefty!T43</f>
        <v>18.37753846153846</v>
      </c>
    </row>
    <row r="44" spans="2:21">
      <c r="B44" s="114">
        <v>6</v>
      </c>
      <c r="C44" s="74">
        <f t="shared" si="9"/>
        <v>6.25</v>
      </c>
      <c r="D44" s="74">
        <f t="shared" si="10"/>
        <v>6.5</v>
      </c>
      <c r="E44" s="74">
        <f t="shared" si="11"/>
        <v>6.75</v>
      </c>
      <c r="F44" s="114">
        <v>7</v>
      </c>
      <c r="G44" s="74">
        <f t="shared" si="12"/>
        <v>7.25</v>
      </c>
      <c r="H44" s="74">
        <f t="shared" si="13"/>
        <v>7.5</v>
      </c>
      <c r="I44" s="74">
        <f t="shared" si="14"/>
        <v>7.75</v>
      </c>
      <c r="J44" s="114">
        <f t="shared" si="15"/>
        <v>8</v>
      </c>
      <c r="K44" s="74">
        <f t="shared" si="16"/>
        <v>8.3125</v>
      </c>
      <c r="L44" s="74">
        <f t="shared" si="17"/>
        <v>8.625</v>
      </c>
      <c r="M44" s="74">
        <f t="shared" si="18"/>
        <v>8.9375</v>
      </c>
      <c r="N44" s="114">
        <f>SUM(F44,-B44,J44,0.25*ABS(J44-F44))</f>
        <v>9.25</v>
      </c>
      <c r="O44" s="74">
        <f t="shared" si="25"/>
        <v>11.1875</v>
      </c>
      <c r="P44" s="74">
        <f t="shared" si="26"/>
        <v>13.125</v>
      </c>
      <c r="Q44" s="74">
        <f t="shared" si="27"/>
        <v>15.0625</v>
      </c>
      <c r="R44" s="114">
        <v>17</v>
      </c>
      <c r="S44" s="129"/>
      <c r="T44" s="117">
        <f>SUM((CR20+CQ19+CQ18+CP17+CP16+CO15+CO14+CN13+CN12+CM11+CL10+CK9+CJ8)*-0.132,(CI7+CH7+CG7+CF7+CE6+CD6+CC6+CB6)*-0.132/4,(CA5+BZ5+BY5+BX4+BW4+BV4)*-0.132/3,17)</f>
        <v>19.131461538461537</v>
      </c>
      <c r="U44" s="117">
        <f>Lefty!T44</f>
        <v>18.058538461538461</v>
      </c>
    </row>
    <row r="45" spans="2:21">
      <c r="B45" s="114">
        <v>7</v>
      </c>
      <c r="C45" s="74">
        <f t="shared" si="9"/>
        <v>7</v>
      </c>
      <c r="D45" s="74">
        <f t="shared" si="10"/>
        <v>7</v>
      </c>
      <c r="E45" s="74">
        <f t="shared" si="11"/>
        <v>7</v>
      </c>
      <c r="F45" s="114">
        <v>7</v>
      </c>
      <c r="G45" s="74">
        <f t="shared" si="12"/>
        <v>7</v>
      </c>
      <c r="H45" s="74">
        <f t="shared" si="13"/>
        <v>7</v>
      </c>
      <c r="I45" s="74">
        <f t="shared" si="14"/>
        <v>7</v>
      </c>
      <c r="J45" s="114">
        <f t="shared" si="15"/>
        <v>7</v>
      </c>
      <c r="K45" s="74">
        <f t="shared" si="16"/>
        <v>7.5</v>
      </c>
      <c r="L45" s="74">
        <f t="shared" si="17"/>
        <v>8</v>
      </c>
      <c r="M45" s="74">
        <f t="shared" si="18"/>
        <v>8.5</v>
      </c>
      <c r="N45" s="114">
        <f>SUM(F45,-B45,J45,0.25*ABS(J45-F45),0.2*(17-F45))</f>
        <v>9</v>
      </c>
      <c r="O45" s="74">
        <f t="shared" si="25"/>
        <v>11</v>
      </c>
      <c r="P45" s="74">
        <f t="shared" si="26"/>
        <v>13</v>
      </c>
      <c r="Q45" s="74">
        <f t="shared" si="27"/>
        <v>15</v>
      </c>
      <c r="R45" s="114">
        <v>17</v>
      </c>
      <c r="S45" s="129"/>
      <c r="T45" s="117">
        <f>SUM((CP20+CP19+CP18+CP17+CP16+CP15+CP14+CP13+CP12+CO11+CO10+CN9+CN8)*-0.132,(CM7+CL7+CK7+CJ7+CI7+CH6+CG6+CF6+CE6+CD6)*-0.132/5,(CC5+CB5+CA5+BZ5+BY4+BX4+BW4+BV4)*-0.132/4,17)</f>
        <v>18.117261538461538</v>
      </c>
      <c r="U45" s="117">
        <f>Lefty!T45</f>
        <v>18.47653846153846</v>
      </c>
    </row>
    <row r="46" spans="2:21">
      <c r="B46" s="114">
        <v>8</v>
      </c>
      <c r="C46" s="74">
        <f t="shared" si="9"/>
        <v>7.75</v>
      </c>
      <c r="D46" s="74">
        <f t="shared" si="10"/>
        <v>7.5</v>
      </c>
      <c r="E46" s="74">
        <f t="shared" si="11"/>
        <v>7.25</v>
      </c>
      <c r="F46" s="114">
        <v>7</v>
      </c>
      <c r="G46" s="74">
        <f t="shared" si="12"/>
        <v>6.75</v>
      </c>
      <c r="H46" s="74">
        <f t="shared" si="13"/>
        <v>6.5</v>
      </c>
      <c r="I46" s="74">
        <f t="shared" si="14"/>
        <v>6.25</v>
      </c>
      <c r="J46" s="114">
        <f t="shared" si="15"/>
        <v>6</v>
      </c>
      <c r="K46" s="74">
        <f t="shared" si="16"/>
        <v>5.8125</v>
      </c>
      <c r="L46" s="74">
        <f t="shared" si="17"/>
        <v>5.625</v>
      </c>
      <c r="M46" s="74">
        <f t="shared" si="18"/>
        <v>5.4375</v>
      </c>
      <c r="N46" s="114">
        <f>SUM(F46,-B46,J46,0.25*ABS(J46-F46))</f>
        <v>5.25</v>
      </c>
      <c r="O46" s="74">
        <f t="shared" si="25"/>
        <v>8.1875</v>
      </c>
      <c r="P46" s="74">
        <f t="shared" si="26"/>
        <v>11.125</v>
      </c>
      <c r="Q46" s="74">
        <f t="shared" si="27"/>
        <v>14.0625</v>
      </c>
      <c r="R46" s="114">
        <v>17</v>
      </c>
      <c r="S46" s="129"/>
      <c r="T46" s="117">
        <f>SUM((CN20+CO19+CO18+CP17+CP16+CQ15+CQ14+CR13+CR12+CS11+CS10+CR9+CR8)*-0.132,(CQ7+CP7+CO7+CN7+CM7+CL7+CK6+CJ6+CI6+CH6+CG6+CF6)*-0.132/6,(CE5+CD5+CC5+CB5+CA5+BZ4+BY4+BX4+BW4+BV4)*-0.132/5,17)</f>
        <v>18.464861538461538</v>
      </c>
      <c r="U46" s="117">
        <f>Lefty!T46</f>
        <v>17.52393846153846</v>
      </c>
    </row>
    <row r="47" spans="2:21">
      <c r="B47" s="114">
        <v>9</v>
      </c>
      <c r="C47" s="74">
        <f t="shared" si="9"/>
        <v>8.5</v>
      </c>
      <c r="D47" s="74">
        <f t="shared" si="10"/>
        <v>8</v>
      </c>
      <c r="E47" s="74">
        <f t="shared" si="11"/>
        <v>7.5</v>
      </c>
      <c r="F47" s="114">
        <v>7</v>
      </c>
      <c r="G47" s="74">
        <f t="shared" si="12"/>
        <v>6.5</v>
      </c>
      <c r="H47" s="74">
        <f t="shared" si="13"/>
        <v>6</v>
      </c>
      <c r="I47" s="74">
        <f t="shared" si="14"/>
        <v>5.5</v>
      </c>
      <c r="J47" s="114">
        <f t="shared" si="15"/>
        <v>5</v>
      </c>
      <c r="K47" s="74">
        <f t="shared" si="16"/>
        <v>4.625</v>
      </c>
      <c r="L47" s="74">
        <f t="shared" si="17"/>
        <v>4.25</v>
      </c>
      <c r="M47" s="74">
        <f t="shared" si="18"/>
        <v>3.875</v>
      </c>
      <c r="N47" s="114">
        <f>SUM(F47,-B47,J47,0.25*ABS(J47-F47))</f>
        <v>3.5</v>
      </c>
      <c r="O47" s="74">
        <f t="shared" si="25"/>
        <v>6.875</v>
      </c>
      <c r="P47" s="74">
        <f t="shared" si="26"/>
        <v>10.25</v>
      </c>
      <c r="Q47" s="74">
        <f t="shared" si="27"/>
        <v>13.625</v>
      </c>
      <c r="R47" s="114">
        <v>17</v>
      </c>
      <c r="S47" s="129"/>
      <c r="T47" s="117">
        <f>SUM((CL20+CM19+CN18+CO17+CP16+CQ15+CR14+CS13+CT12+CU11+CU10+CV9+CV8)*-0.132,(CU7+CT7+CS7+CR7+CQ7+CP7+CO7+CN6+CM6+CL6+CK6+CJ6+CI6+CH6)*-0.132/7,(CG5+CF5+CE5+CD5+CC5+CB5+CA4+BZ4+BY4+BX4+BW4+BV4)*-0.132/6,17)</f>
        <v>18.10846153846154</v>
      </c>
      <c r="U47" s="117">
        <f>Lefty!T47</f>
        <v>17.899824175824175</v>
      </c>
    </row>
    <row r="48" spans="2:21">
      <c r="B48" s="114">
        <v>10</v>
      </c>
      <c r="C48" s="74">
        <f t="shared" si="9"/>
        <v>9.25</v>
      </c>
      <c r="D48" s="74">
        <f t="shared" si="10"/>
        <v>8.5</v>
      </c>
      <c r="E48" s="74">
        <f t="shared" si="11"/>
        <v>7.75</v>
      </c>
      <c r="F48" s="114">
        <v>7</v>
      </c>
      <c r="G48" s="74">
        <f t="shared" si="12"/>
        <v>6.25</v>
      </c>
      <c r="H48" s="74">
        <f t="shared" si="13"/>
        <v>5.5</v>
      </c>
      <c r="I48" s="74">
        <f t="shared" si="14"/>
        <v>4.75</v>
      </c>
      <c r="J48" s="114">
        <f t="shared" si="15"/>
        <v>4</v>
      </c>
      <c r="K48" s="74">
        <f t="shared" si="16"/>
        <v>3.4375</v>
      </c>
      <c r="L48" s="74">
        <f t="shared" si="17"/>
        <v>2.875</v>
      </c>
      <c r="M48" s="74">
        <f t="shared" si="18"/>
        <v>2.3125</v>
      </c>
      <c r="N48" s="114">
        <f>SUM(F48,-B48,J48,0.25*ABS(J48-F48))</f>
        <v>1.75</v>
      </c>
      <c r="O48" s="74">
        <f t="shared" si="25"/>
        <v>5.5625</v>
      </c>
      <c r="P48" s="74">
        <f t="shared" si="26"/>
        <v>9.375</v>
      </c>
      <c r="Q48" s="74">
        <f t="shared" si="27"/>
        <v>13.1875</v>
      </c>
      <c r="R48" s="114">
        <v>17</v>
      </c>
      <c r="S48" s="129"/>
      <c r="T48" s="117">
        <f>SUM((CJ20+CP16+CM18+CS14+CV12+CW11+CX10+CY9+CZ8)*-0.132,(CK19+CL19+CN17+CO17+CQ15+CR15+CT13+CU13)*-0.132/2,(CY7+CX7+CW7+CV7+CU7+CT7+CS7+CR7+CQ6+CP6+CO6+CN6+CM6+CL6+CK6+CJ6)*-0.132/8,(CI5+CH5+CG5+CF5+CE5+CD5+CC5+CB4+CA4+BZ4+BY4+BX4+BW4+BV4)*-0.132/7,17)</f>
        <v>17.970175824175826</v>
      </c>
      <c r="U48" s="117">
        <f>Lefty!T48</f>
        <v>18.115895604395604</v>
      </c>
    </row>
    <row r="49" spans="2:21">
      <c r="B49" s="114"/>
      <c r="C49" s="74"/>
      <c r="D49" s="74"/>
      <c r="E49" s="74"/>
      <c r="F49" s="114"/>
      <c r="G49" s="74"/>
      <c r="H49" s="74"/>
      <c r="I49" s="74"/>
      <c r="J49" s="114"/>
      <c r="K49" s="74"/>
      <c r="L49" s="74"/>
      <c r="M49" s="74"/>
      <c r="N49" s="114"/>
      <c r="O49" s="74"/>
      <c r="P49" s="74"/>
      <c r="Q49" s="74"/>
      <c r="R49" s="114"/>
      <c r="S49" s="129"/>
    </row>
    <row r="50" spans="2:21">
      <c r="B50" s="114">
        <v>5</v>
      </c>
      <c r="C50" s="74">
        <f t="shared" si="9"/>
        <v>5.75</v>
      </c>
      <c r="D50" s="74">
        <f t="shared" si="10"/>
        <v>6.5</v>
      </c>
      <c r="E50" s="74">
        <f t="shared" si="11"/>
        <v>7.25</v>
      </c>
      <c r="F50" s="114">
        <v>8</v>
      </c>
      <c r="G50" s="74">
        <f t="shared" si="12"/>
        <v>8.75</v>
      </c>
      <c r="H50" s="74">
        <f t="shared" si="13"/>
        <v>9.5</v>
      </c>
      <c r="I50" s="74">
        <f t="shared" si="14"/>
        <v>10.25</v>
      </c>
      <c r="J50" s="114">
        <f t="shared" si="15"/>
        <v>11</v>
      </c>
      <c r="K50" s="74">
        <f t="shared" si="16"/>
        <v>11.75</v>
      </c>
      <c r="L50" s="74">
        <f t="shared" si="17"/>
        <v>12.5</v>
      </c>
      <c r="M50" s="74">
        <f t="shared" si="18"/>
        <v>13.25</v>
      </c>
      <c r="N50" s="114">
        <f>SUM(J50,J50,-F50)</f>
        <v>14</v>
      </c>
      <c r="O50" s="74">
        <f t="shared" ref="O50:O57" si="28">SUM(0.25*(R50-N50),N50)</f>
        <v>14.75</v>
      </c>
      <c r="P50" s="74">
        <f t="shared" ref="P50:P57" si="29">SUM(0.5*(R50-N50),N50)</f>
        <v>15.5</v>
      </c>
      <c r="Q50" s="74">
        <f t="shared" ref="Q50:Q57" si="30">SUM(0.75*(R50-N50),N50)</f>
        <v>16.25</v>
      </c>
      <c r="R50" s="114">
        <v>17</v>
      </c>
      <c r="S50" s="129"/>
      <c r="T50" s="117">
        <f>SUM((CT20+CQ18+CN16+CK14+CH12+CE10+CB8+BY6+BV4)*-0.132,(CS19+CR19+CP17+CO17+CM15+CL15+CJ13+CI13+CG11+CF11+CD9+CC9+CA7+BZ7+BX5+BW5)*-0.132/2,17)</f>
        <v>19.120461538461541</v>
      </c>
      <c r="U50" s="117">
        <f>Lefty!T50</f>
        <v>19.235538461538461</v>
      </c>
    </row>
    <row r="51" spans="2:21">
      <c r="B51" s="114">
        <v>6</v>
      </c>
      <c r="C51" s="74">
        <f t="shared" si="9"/>
        <v>6.5</v>
      </c>
      <c r="D51" s="74">
        <f t="shared" si="10"/>
        <v>7</v>
      </c>
      <c r="E51" s="74">
        <f t="shared" si="11"/>
        <v>7.5</v>
      </c>
      <c r="F51" s="114">
        <v>8</v>
      </c>
      <c r="G51" s="74">
        <f t="shared" si="12"/>
        <v>8.5</v>
      </c>
      <c r="H51" s="74">
        <f t="shared" si="13"/>
        <v>9</v>
      </c>
      <c r="I51" s="74">
        <f t="shared" si="14"/>
        <v>9.5</v>
      </c>
      <c r="J51" s="114">
        <f t="shared" si="15"/>
        <v>10</v>
      </c>
      <c r="K51" s="74">
        <f t="shared" si="16"/>
        <v>10.625</v>
      </c>
      <c r="L51" s="74">
        <f t="shared" si="17"/>
        <v>11.25</v>
      </c>
      <c r="M51" s="74">
        <f t="shared" si="18"/>
        <v>11.875</v>
      </c>
      <c r="N51" s="114">
        <f>SUM(F51,-B51,J51,0.25*ABS(J51-F51))</f>
        <v>12.5</v>
      </c>
      <c r="O51" s="74">
        <f t="shared" si="28"/>
        <v>13.625</v>
      </c>
      <c r="P51" s="74">
        <f t="shared" si="29"/>
        <v>14.75</v>
      </c>
      <c r="Q51" s="74">
        <f t="shared" si="30"/>
        <v>15.875</v>
      </c>
      <c r="R51" s="114">
        <v>17</v>
      </c>
      <c r="S51" s="129"/>
      <c r="T51" s="117">
        <f>SUM((CR20+CQ19+CP18+CO17+CN16+CM15+CL14+CK13+CJ12+CD8+CG10)*-0.132,(CI11+CH11+CF9+CE9+CC7+CB7+CA6+BZ6+BY5+BX5+BW4+BV4)*-0.132/2,17)</f>
        <v>19.582461538461537</v>
      </c>
      <c r="U51" s="117">
        <f>Lefty!T51</f>
        <v>18.443538461538463</v>
      </c>
    </row>
    <row r="52" spans="2:21">
      <c r="B52" s="114">
        <v>7</v>
      </c>
      <c r="C52" s="74">
        <f t="shared" si="9"/>
        <v>7.25</v>
      </c>
      <c r="D52" s="74">
        <f t="shared" si="10"/>
        <v>7.5</v>
      </c>
      <c r="E52" s="74">
        <f t="shared" si="11"/>
        <v>7.75</v>
      </c>
      <c r="F52" s="114">
        <v>8</v>
      </c>
      <c r="G52" s="74">
        <f t="shared" si="12"/>
        <v>8.25</v>
      </c>
      <c r="H52" s="74">
        <f t="shared" si="13"/>
        <v>8.5</v>
      </c>
      <c r="I52" s="74">
        <f t="shared" si="14"/>
        <v>8.75</v>
      </c>
      <c r="J52" s="114">
        <f t="shared" si="15"/>
        <v>9</v>
      </c>
      <c r="K52" s="74">
        <f t="shared" si="16"/>
        <v>9.3125</v>
      </c>
      <c r="L52" s="74">
        <f t="shared" si="17"/>
        <v>9.625</v>
      </c>
      <c r="M52" s="74">
        <f t="shared" si="18"/>
        <v>9.9375</v>
      </c>
      <c r="N52" s="114">
        <f>SUM(F52,-B52,J52,0.25*ABS(J52-F52))</f>
        <v>10.25</v>
      </c>
      <c r="O52" s="74">
        <f t="shared" si="28"/>
        <v>11.9375</v>
      </c>
      <c r="P52" s="74">
        <f t="shared" si="29"/>
        <v>13.625</v>
      </c>
      <c r="Q52" s="74">
        <f t="shared" si="30"/>
        <v>15.3125</v>
      </c>
      <c r="R52" s="114">
        <v>17</v>
      </c>
      <c r="S52" s="129"/>
      <c r="T52" s="117">
        <f>SUM((CP20+CO19+CO18+CN17+CN16+CM15+CM14+CL13+CL12+CK11+CJ10+CI9+CH8)*-0.132,(CG7+CF7+CE7+CD6+CC6+CB6+CA5+BZ5+BY5+BX4+BW4+BV4)*-0.132/3,17)</f>
        <v>19.604461538461539</v>
      </c>
      <c r="U52" s="117">
        <f>Lefty!T52</f>
        <v>19.015538461538462</v>
      </c>
    </row>
    <row r="53" spans="2:21">
      <c r="B53" s="114">
        <v>8</v>
      </c>
      <c r="C53" s="74">
        <f t="shared" si="9"/>
        <v>8</v>
      </c>
      <c r="D53" s="74">
        <f t="shared" si="10"/>
        <v>8</v>
      </c>
      <c r="E53" s="74">
        <f t="shared" si="11"/>
        <v>8</v>
      </c>
      <c r="F53" s="114">
        <v>8</v>
      </c>
      <c r="G53" s="74">
        <f t="shared" si="12"/>
        <v>8</v>
      </c>
      <c r="H53" s="74">
        <f t="shared" si="13"/>
        <v>8</v>
      </c>
      <c r="I53" s="74">
        <f t="shared" si="14"/>
        <v>8</v>
      </c>
      <c r="J53" s="114">
        <f t="shared" si="15"/>
        <v>8</v>
      </c>
      <c r="K53" s="74">
        <f t="shared" si="16"/>
        <v>8.4499999999999993</v>
      </c>
      <c r="L53" s="74">
        <f t="shared" si="17"/>
        <v>8.9</v>
      </c>
      <c r="M53" s="74">
        <f t="shared" si="18"/>
        <v>9.3500000000000014</v>
      </c>
      <c r="N53" s="114">
        <f>SUM(F53,-B53,J53,0.25*ABS(J53-F53),0.2*(17-F53))</f>
        <v>9.8000000000000007</v>
      </c>
      <c r="O53" s="74">
        <f t="shared" si="28"/>
        <v>11.600000000000001</v>
      </c>
      <c r="P53" s="74">
        <f t="shared" si="29"/>
        <v>13.4</v>
      </c>
      <c r="Q53" s="74">
        <f t="shared" si="30"/>
        <v>15.2</v>
      </c>
      <c r="R53" s="114">
        <v>17</v>
      </c>
      <c r="S53" s="129"/>
      <c r="T53" s="117">
        <f>SUM((CN20+CN19+CN18+CN17+CN16+CN15+CN14+CN13+CN12+CM11+CM10+CL9+CL8)*-0.132,(CK7+CJ7+CI7+CH7+CG6+CF6+CE6+CD6+CC5+CB5+CA5+BZ5+BY4+BX4+BW4+BV4)*-0.132/4,17)</f>
        <v>19.549461538461539</v>
      </c>
      <c r="U53" s="117">
        <f>Lefty!T53</f>
        <v>17.81653846153846</v>
      </c>
    </row>
    <row r="54" spans="2:21">
      <c r="B54" s="114">
        <v>9</v>
      </c>
      <c r="C54" s="74">
        <f t="shared" si="9"/>
        <v>8.75</v>
      </c>
      <c r="D54" s="74">
        <f t="shared" si="10"/>
        <v>8.5</v>
      </c>
      <c r="E54" s="74">
        <f t="shared" si="11"/>
        <v>8.25</v>
      </c>
      <c r="F54" s="114">
        <v>8</v>
      </c>
      <c r="G54" s="74">
        <f t="shared" si="12"/>
        <v>7.75</v>
      </c>
      <c r="H54" s="74">
        <f t="shared" si="13"/>
        <v>7.5</v>
      </c>
      <c r="I54" s="74">
        <f t="shared" si="14"/>
        <v>7.25</v>
      </c>
      <c r="J54" s="114">
        <f t="shared" si="15"/>
        <v>7</v>
      </c>
      <c r="K54" s="74">
        <f t="shared" si="16"/>
        <v>6.8125</v>
      </c>
      <c r="L54" s="74">
        <f t="shared" si="17"/>
        <v>6.625</v>
      </c>
      <c r="M54" s="74">
        <f t="shared" si="18"/>
        <v>6.4375</v>
      </c>
      <c r="N54" s="114">
        <f>SUM(F54,-B54,J54,0.25*ABS(J54-F54))</f>
        <v>6.25</v>
      </c>
      <c r="O54" s="74">
        <f t="shared" si="28"/>
        <v>8.9375</v>
      </c>
      <c r="P54" s="74">
        <f t="shared" si="29"/>
        <v>11.625</v>
      </c>
      <c r="Q54" s="74">
        <f t="shared" si="30"/>
        <v>14.3125</v>
      </c>
      <c r="R54" s="114">
        <v>17</v>
      </c>
      <c r="S54" s="129"/>
      <c r="T54" s="117">
        <f>SUM((CL20+CM19+CM18+CN17+CN16+CO15+CO14+CP13+CP12+CQ11+CQ10+CP9+CP8)*-0.132,(CO7+CN7+CM7+CL7+CK7+CJ6+CI6+CH6+CG6+CF6+CE5+CD5+CC5+CB5+CA5+BZ4+BY4+BX4+BW4+BV4)*-0.132/5,17)</f>
        <v>18.56606153846154</v>
      </c>
      <c r="U54" s="117">
        <f>Lefty!T54</f>
        <v>18.68113846153846</v>
      </c>
    </row>
    <row r="55" spans="2:21">
      <c r="B55" s="114">
        <v>10</v>
      </c>
      <c r="C55" s="74">
        <f t="shared" si="9"/>
        <v>9.5</v>
      </c>
      <c r="D55" s="74">
        <f t="shared" si="10"/>
        <v>9</v>
      </c>
      <c r="E55" s="74">
        <f t="shared" si="11"/>
        <v>8.5</v>
      </c>
      <c r="F55" s="114">
        <v>8</v>
      </c>
      <c r="G55" s="74">
        <f t="shared" si="12"/>
        <v>7.5</v>
      </c>
      <c r="H55" s="74">
        <f t="shared" si="13"/>
        <v>7</v>
      </c>
      <c r="I55" s="74">
        <f t="shared" si="14"/>
        <v>6.5</v>
      </c>
      <c r="J55" s="114">
        <f t="shared" si="15"/>
        <v>6</v>
      </c>
      <c r="K55" s="74">
        <f t="shared" si="16"/>
        <v>5.625</v>
      </c>
      <c r="L55" s="74">
        <f t="shared" si="17"/>
        <v>5.25</v>
      </c>
      <c r="M55" s="74">
        <f t="shared" si="18"/>
        <v>4.875</v>
      </c>
      <c r="N55" s="114">
        <f>SUM(F55,-B55,J55,0.25*ABS(J55-F55))</f>
        <v>4.5</v>
      </c>
      <c r="O55" s="74">
        <f t="shared" si="28"/>
        <v>7.625</v>
      </c>
      <c r="P55" s="74">
        <f t="shared" si="29"/>
        <v>10.75</v>
      </c>
      <c r="Q55" s="74">
        <f t="shared" si="30"/>
        <v>13.875</v>
      </c>
      <c r="R55" s="114">
        <v>17</v>
      </c>
      <c r="S55" s="129"/>
      <c r="T55" s="117">
        <f>SUM((CJ20+CK19+CL18+CM17+CN16+CO15+CP14+CQ13+CR12+CS11+CS10+CT9+CT8)*-0.132,(CS7+CR7+CQ7+CP7+CO7+CN7+CM6+CL6+CK6+CJ6+CI6+CH6+CG5+CF5+CE5+CD5+CC5+CB5+CA4+BZ4+BY4+BX4+BW4+BV4)*-0.132/6,17)</f>
        <v>18.504461538461538</v>
      </c>
      <c r="U55" s="117">
        <f>Lefty!T55</f>
        <v>17.893538461538462</v>
      </c>
    </row>
    <row r="56" spans="2:21">
      <c r="B56" s="114">
        <v>11</v>
      </c>
      <c r="C56" s="74">
        <f t="shared" si="9"/>
        <v>10.25</v>
      </c>
      <c r="D56" s="74">
        <f t="shared" si="10"/>
        <v>9.5</v>
      </c>
      <c r="E56" s="74">
        <f t="shared" si="11"/>
        <v>8.75</v>
      </c>
      <c r="F56" s="114">
        <v>8</v>
      </c>
      <c r="G56" s="74">
        <f t="shared" si="12"/>
        <v>7.25</v>
      </c>
      <c r="H56" s="74">
        <f t="shared" si="13"/>
        <v>6.5</v>
      </c>
      <c r="I56" s="74">
        <f t="shared" si="14"/>
        <v>5.75</v>
      </c>
      <c r="J56" s="114">
        <f t="shared" si="15"/>
        <v>5</v>
      </c>
      <c r="K56" s="74">
        <f t="shared" si="16"/>
        <v>4.4375</v>
      </c>
      <c r="L56" s="74">
        <f t="shared" si="17"/>
        <v>3.875</v>
      </c>
      <c r="M56" s="74">
        <f t="shared" si="18"/>
        <v>3.3125</v>
      </c>
      <c r="N56" s="114">
        <f>SUM(F56,-B56,J56,0.25*ABS(J56-F56))</f>
        <v>2.75</v>
      </c>
      <c r="O56" s="74">
        <f t="shared" si="28"/>
        <v>6.3125</v>
      </c>
      <c r="P56" s="74">
        <f t="shared" si="29"/>
        <v>9.875</v>
      </c>
      <c r="Q56" s="74">
        <f t="shared" si="30"/>
        <v>13.4375</v>
      </c>
      <c r="R56" s="114">
        <v>17</v>
      </c>
      <c r="S56" s="129"/>
      <c r="T56" s="117">
        <f>SUM((CH20+CK18+CN16+CQ14+CT12+CU11+CV10+CW9+CX8)*-0.132,(CI19+CJ19+CL17+CM17+CO15+CP14+CR13+CS13)*-0.132/2,(CW7+CV7+CU7+CT7+CS7+CR7+CQ7+CP6+CO6+CN6+CM6+CL6+CK6+CJ6+CI5+CH5+CG5+CF5+CE5+CD5+CC5+CB4+CA4+BZ4+BY4+BX4+BW4+BV4)*-0.132/7,17)</f>
        <v>18.18932967032967</v>
      </c>
      <c r="U56" s="117">
        <f>Lefty!T56</f>
        <v>18.337527472527473</v>
      </c>
    </row>
    <row r="57" spans="2:21">
      <c r="B57" s="114">
        <v>12</v>
      </c>
      <c r="C57" s="74">
        <f t="shared" si="9"/>
        <v>11</v>
      </c>
      <c r="D57" s="74">
        <f t="shared" si="10"/>
        <v>10</v>
      </c>
      <c r="E57" s="74">
        <f t="shared" si="11"/>
        <v>9</v>
      </c>
      <c r="F57" s="114">
        <v>8</v>
      </c>
      <c r="G57" s="74">
        <f t="shared" si="12"/>
        <v>7</v>
      </c>
      <c r="H57" s="74">
        <f t="shared" si="13"/>
        <v>6</v>
      </c>
      <c r="I57" s="74">
        <f t="shared" si="14"/>
        <v>5</v>
      </c>
      <c r="J57" s="114">
        <f t="shared" si="15"/>
        <v>4</v>
      </c>
      <c r="K57" s="74">
        <f t="shared" si="16"/>
        <v>3.25</v>
      </c>
      <c r="L57" s="74">
        <f t="shared" si="17"/>
        <v>2.5</v>
      </c>
      <c r="M57" s="74">
        <f t="shared" si="18"/>
        <v>1.75</v>
      </c>
      <c r="N57" s="114">
        <f>SUM(F57,-B57,J57,0.25*ABS(J57-F57))</f>
        <v>1</v>
      </c>
      <c r="O57" s="74">
        <f t="shared" si="28"/>
        <v>5</v>
      </c>
      <c r="P57" s="74">
        <f t="shared" si="29"/>
        <v>9</v>
      </c>
      <c r="Q57" s="74">
        <f t="shared" si="30"/>
        <v>13</v>
      </c>
      <c r="R57" s="114">
        <v>17</v>
      </c>
      <c r="S57" s="129"/>
      <c r="T57" s="117">
        <f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17.88296153846154</v>
      </c>
      <c r="U57" s="117">
        <f>Lefty!T57</f>
        <v>18.575538461538461</v>
      </c>
    </row>
    <row r="58" spans="2:21">
      <c r="B58" s="114"/>
      <c r="C58" s="74"/>
      <c r="D58" s="74"/>
      <c r="E58" s="74"/>
      <c r="F58" s="114"/>
      <c r="G58" s="74"/>
      <c r="H58" s="74"/>
      <c r="I58" s="74"/>
      <c r="J58" s="114"/>
      <c r="K58" s="74"/>
      <c r="L58" s="74"/>
      <c r="M58" s="74"/>
      <c r="N58" s="114"/>
      <c r="O58" s="74"/>
      <c r="P58" s="74"/>
      <c r="Q58" s="74"/>
      <c r="R58" s="114"/>
      <c r="S58" s="129"/>
    </row>
    <row r="59" spans="2:21">
      <c r="B59" s="114">
        <v>7</v>
      </c>
      <c r="C59" s="74">
        <f t="shared" si="9"/>
        <v>7.5</v>
      </c>
      <c r="D59" s="74">
        <f t="shared" si="10"/>
        <v>8</v>
      </c>
      <c r="E59" s="74">
        <f t="shared" si="11"/>
        <v>8.5</v>
      </c>
      <c r="F59" s="114">
        <v>9</v>
      </c>
      <c r="G59" s="74">
        <f t="shared" si="12"/>
        <v>9.5</v>
      </c>
      <c r="H59" s="74">
        <f t="shared" si="13"/>
        <v>10</v>
      </c>
      <c r="I59" s="74">
        <f t="shared" si="14"/>
        <v>10.5</v>
      </c>
      <c r="J59" s="114">
        <f t="shared" si="15"/>
        <v>11</v>
      </c>
      <c r="K59" s="74">
        <f t="shared" si="16"/>
        <v>11.625</v>
      </c>
      <c r="L59" s="74">
        <f t="shared" si="17"/>
        <v>12.25</v>
      </c>
      <c r="M59" s="74">
        <f t="shared" si="18"/>
        <v>12.875</v>
      </c>
      <c r="N59" s="114">
        <f>SUM(F59,-B59,J59,0.25*ABS(J59-F59))</f>
        <v>13.5</v>
      </c>
      <c r="O59" s="74">
        <f t="shared" ref="O59:O65" si="31">SUM(0.25*(R59-N59),N59)</f>
        <v>14.375</v>
      </c>
      <c r="P59" s="74">
        <f t="shared" ref="P59:P65" si="32">SUM(0.5*(R59-N59),N59)</f>
        <v>15.25</v>
      </c>
      <c r="Q59" s="74">
        <f t="shared" ref="Q59:Q65" si="33">SUM(0.75*(R59-N59),N59)</f>
        <v>16.125</v>
      </c>
      <c r="R59" s="114">
        <v>17</v>
      </c>
      <c r="S59" s="129"/>
      <c r="T59" s="117">
        <f>SUM((CP20+CO19+CN18+CM17+CL16+CK15+CJ14+CI13+CH12+CG11+CF10+CE9+CD8)*-0.132,(CC7+CB7+CA6+BZ6+BY5+BX5+BW4+BV4)*-0.132/2,17)</f>
        <v>19.120461538461537</v>
      </c>
      <c r="U59" s="117">
        <f>Lefty!T59</f>
        <v>19.103538461538463</v>
      </c>
    </row>
    <row r="60" spans="2:21">
      <c r="B60" s="114">
        <v>8</v>
      </c>
      <c r="C60" s="74">
        <f t="shared" ref="C60:C65" si="34">SUM(0.25*(F60-B60),B60)</f>
        <v>8.25</v>
      </c>
      <c r="D60" s="74">
        <f t="shared" ref="D60:D65" si="35">SUM(0.5*(F60-B60)+B60)</f>
        <v>8.5</v>
      </c>
      <c r="E60" s="74">
        <f t="shared" ref="E60:E65" si="36">SUM(0.75*(F60-B60),B60)</f>
        <v>8.75</v>
      </c>
      <c r="F60" s="114">
        <v>9</v>
      </c>
      <c r="G60" s="74">
        <f t="shared" ref="G60:G65" si="37">SUM(0.25*(J60-F60),F60)</f>
        <v>9.25</v>
      </c>
      <c r="H60" s="74">
        <f t="shared" ref="H60:H65" si="38">SUM(0.5*(J60-F60),F60)</f>
        <v>9.5</v>
      </c>
      <c r="I60" s="74">
        <f t="shared" ref="I60:I65" si="39">SUM(0.75*(J60-F60),F60)</f>
        <v>9.75</v>
      </c>
      <c r="J60" s="114">
        <f t="shared" ref="J60:J65" si="40">SUM(F60,-B60,F60)</f>
        <v>10</v>
      </c>
      <c r="K60" s="74">
        <f t="shared" ref="K60:K65" si="41">SUM(0.25*(N60-J60),J60)</f>
        <v>10.3125</v>
      </c>
      <c r="L60" s="74">
        <f t="shared" ref="L60:L65" si="42">SUM(0.5*(N60-J60),J60)</f>
        <v>10.625</v>
      </c>
      <c r="M60" s="74">
        <f t="shared" ref="M60:M65" si="43">SUM(0.75*(N60-J60),J60)</f>
        <v>10.9375</v>
      </c>
      <c r="N60" s="114">
        <f>SUM(F60,-B60,J60,0.25*ABS(J60-F60))</f>
        <v>11.25</v>
      </c>
      <c r="O60" s="74">
        <f t="shared" si="31"/>
        <v>12.6875</v>
      </c>
      <c r="P60" s="74">
        <f t="shared" si="32"/>
        <v>14.125</v>
      </c>
      <c r="Q60" s="74">
        <f t="shared" si="33"/>
        <v>15.5625</v>
      </c>
      <c r="R60" s="114">
        <v>17</v>
      </c>
      <c r="S60" s="129"/>
      <c r="T60" s="117">
        <f>SUM((CN20+CM19+CM18+CL17+CL16+CK15+CK14+CJ13+CJ12+CI11+CH10+CG9+CF8)*-0.132,(CE7+CD7+CC7+CB6+CA6+BZ6)*-0.132/3,(BY5+BX5+BW4+BV4)*-0.132/2,17)</f>
        <v>18.834461538461539</v>
      </c>
      <c r="U60" s="117">
        <f>Lefty!T60</f>
        <v>19.103538461538463</v>
      </c>
    </row>
    <row r="61" spans="2:21">
      <c r="B61" s="114">
        <v>9</v>
      </c>
      <c r="C61" s="74">
        <f t="shared" si="34"/>
        <v>9</v>
      </c>
      <c r="D61" s="74">
        <f t="shared" si="35"/>
        <v>9</v>
      </c>
      <c r="E61" s="74">
        <f t="shared" si="36"/>
        <v>9</v>
      </c>
      <c r="F61" s="114">
        <v>9</v>
      </c>
      <c r="G61" s="74">
        <f t="shared" si="37"/>
        <v>9</v>
      </c>
      <c r="H61" s="74">
        <f t="shared" si="38"/>
        <v>9</v>
      </c>
      <c r="I61" s="74">
        <f t="shared" si="39"/>
        <v>9</v>
      </c>
      <c r="J61" s="114">
        <f t="shared" si="40"/>
        <v>9</v>
      </c>
      <c r="K61" s="74">
        <f t="shared" si="41"/>
        <v>9.4</v>
      </c>
      <c r="L61" s="74">
        <f t="shared" si="42"/>
        <v>9.8000000000000007</v>
      </c>
      <c r="M61" s="74">
        <f t="shared" si="43"/>
        <v>10.199999999999999</v>
      </c>
      <c r="N61" s="114">
        <f>SUM(F61,-B61,J61,0.25*ABS(J61-F61),0.2*(17-F61))</f>
        <v>10.6</v>
      </c>
      <c r="O61" s="74">
        <f t="shared" si="31"/>
        <v>12.2</v>
      </c>
      <c r="P61" s="74">
        <f t="shared" si="32"/>
        <v>13.8</v>
      </c>
      <c r="Q61" s="74">
        <f t="shared" si="33"/>
        <v>15.4</v>
      </c>
      <c r="R61" s="114">
        <v>17</v>
      </c>
      <c r="S61" s="129"/>
      <c r="T61" s="117">
        <f>SUM((CL20+CL19+CL18+CL17+CL16+CL15+CL14+CL13+CL12+CK11+CK10+CJ9+CJ8)*-0.132,(CI7+CH7+CG7+CF7+CE6+CD6+CC6+CB6)*-0.132/4,(CA5+BZ5+BY5+BX4+BW4+BV4)*-0.132/3,17)</f>
        <v>18.075461538461539</v>
      </c>
      <c r="U61" s="117">
        <f>Lefty!T61</f>
        <v>19.114538461538462</v>
      </c>
    </row>
    <row r="62" spans="2:21">
      <c r="B62" s="114">
        <v>10</v>
      </c>
      <c r="C62" s="74">
        <f t="shared" si="34"/>
        <v>9.75</v>
      </c>
      <c r="D62" s="74">
        <f t="shared" si="35"/>
        <v>9.5</v>
      </c>
      <c r="E62" s="74">
        <f t="shared" si="36"/>
        <v>9.25</v>
      </c>
      <c r="F62" s="114">
        <v>9</v>
      </c>
      <c r="G62" s="74">
        <f t="shared" si="37"/>
        <v>8.75</v>
      </c>
      <c r="H62" s="74">
        <f t="shared" si="38"/>
        <v>8.5</v>
      </c>
      <c r="I62" s="74">
        <f t="shared" si="39"/>
        <v>8.25</v>
      </c>
      <c r="J62" s="114">
        <f t="shared" si="40"/>
        <v>8</v>
      </c>
      <c r="K62" s="74">
        <f t="shared" si="41"/>
        <v>7.8125</v>
      </c>
      <c r="L62" s="74">
        <f t="shared" si="42"/>
        <v>7.625</v>
      </c>
      <c r="M62" s="74">
        <f t="shared" si="43"/>
        <v>7.4375</v>
      </c>
      <c r="N62" s="114">
        <f>SUM(F62,-B62,J62,0.25*ABS(J62-F62))</f>
        <v>7.25</v>
      </c>
      <c r="O62" s="74">
        <f t="shared" si="31"/>
        <v>9.6875</v>
      </c>
      <c r="P62" s="74">
        <f t="shared" si="32"/>
        <v>12.125</v>
      </c>
      <c r="Q62" s="74">
        <f t="shared" si="33"/>
        <v>14.5625</v>
      </c>
      <c r="R62" s="114">
        <v>17</v>
      </c>
      <c r="S62" s="129"/>
      <c r="T62" s="117">
        <f>SUM((CJ20+CK19+CK18+CL17+CL16+CM15+CM14+CN13+CN12+CO11+CO10+CN9+CN8)*-0.132,(CM7+CL7+CK7+CJ7+CI7+CH6+CG6+CF6+CE6+CD6)*-0.132/5,(CC5+CB5+CA5+BZ5+BY4+BX4+BW4+BV4)*-0.132/4,17)</f>
        <v>18.513261538461538</v>
      </c>
      <c r="U62" s="117">
        <f>Lefty!T62</f>
        <v>18.608538461538462</v>
      </c>
    </row>
    <row r="63" spans="2:21">
      <c r="B63" s="114">
        <v>11</v>
      </c>
      <c r="C63" s="74">
        <f t="shared" si="34"/>
        <v>10.5</v>
      </c>
      <c r="D63" s="74">
        <f t="shared" si="35"/>
        <v>10</v>
      </c>
      <c r="E63" s="74">
        <f t="shared" si="36"/>
        <v>9.5</v>
      </c>
      <c r="F63" s="114">
        <v>9</v>
      </c>
      <c r="G63" s="74">
        <f t="shared" si="37"/>
        <v>8.5</v>
      </c>
      <c r="H63" s="74">
        <f t="shared" si="38"/>
        <v>8</v>
      </c>
      <c r="I63" s="74">
        <f t="shared" si="39"/>
        <v>7.5</v>
      </c>
      <c r="J63" s="114">
        <f t="shared" si="40"/>
        <v>7</v>
      </c>
      <c r="K63" s="74">
        <f t="shared" si="41"/>
        <v>6.625</v>
      </c>
      <c r="L63" s="74">
        <f t="shared" si="42"/>
        <v>6.25</v>
      </c>
      <c r="M63" s="74">
        <f t="shared" si="43"/>
        <v>5.875</v>
      </c>
      <c r="N63" s="114">
        <f>SUM(F63,-B63,J63,0.25*ABS(J63-F63))</f>
        <v>5.5</v>
      </c>
      <c r="O63" s="74">
        <f t="shared" si="31"/>
        <v>8.375</v>
      </c>
      <c r="P63" s="74">
        <f t="shared" si="32"/>
        <v>11.25</v>
      </c>
      <c r="Q63" s="74">
        <f t="shared" si="33"/>
        <v>14.125</v>
      </c>
      <c r="R63" s="114">
        <v>17</v>
      </c>
      <c r="S63" s="129"/>
      <c r="T63" s="117">
        <f>SUM((CH20+CI19+CJ18+CK17+CL16+CM15+CN14+CO13+CP12+CQ11+CQ10+CR9+CR8)*-0.132,(CQ7+CP7+CO7+CN7+CM7+CL7+CK6+CJ6+CI6+CH6+CG6+CF6)*-0.132/6,(CE5+CD5+CC5+CB5+CA5+BZ4+BY4+BX4+BW4+BV4)*-0.132/5,17)</f>
        <v>18.200861538461538</v>
      </c>
      <c r="U63" s="117">
        <f>Lefty!T63</f>
        <v>18.975938461538462</v>
      </c>
    </row>
    <row r="64" spans="2:21">
      <c r="B64" s="114">
        <v>12</v>
      </c>
      <c r="C64" s="74">
        <f t="shared" si="34"/>
        <v>11.25</v>
      </c>
      <c r="D64" s="74">
        <f t="shared" si="35"/>
        <v>10.5</v>
      </c>
      <c r="E64" s="74">
        <f t="shared" si="36"/>
        <v>9.75</v>
      </c>
      <c r="F64" s="114">
        <v>9</v>
      </c>
      <c r="G64" s="74">
        <f t="shared" si="37"/>
        <v>8.25</v>
      </c>
      <c r="H64" s="74">
        <f t="shared" si="38"/>
        <v>7.5</v>
      </c>
      <c r="I64" s="74">
        <f t="shared" si="39"/>
        <v>6.75</v>
      </c>
      <c r="J64" s="114">
        <f t="shared" si="40"/>
        <v>6</v>
      </c>
      <c r="K64" s="74">
        <f t="shared" si="41"/>
        <v>5.4375</v>
      </c>
      <c r="L64" s="74">
        <f t="shared" si="42"/>
        <v>4.875</v>
      </c>
      <c r="M64" s="74">
        <f t="shared" si="43"/>
        <v>4.3125</v>
      </c>
      <c r="N64" s="114">
        <f>SUM(F64,-B64,J64,0.25*ABS(J64-F64))</f>
        <v>3.75</v>
      </c>
      <c r="O64" s="74">
        <f t="shared" si="31"/>
        <v>7.0625</v>
      </c>
      <c r="P64" s="74">
        <f t="shared" si="32"/>
        <v>10.375</v>
      </c>
      <c r="Q64" s="74">
        <f t="shared" si="33"/>
        <v>13.6875</v>
      </c>
      <c r="R64" s="114">
        <v>17</v>
      </c>
      <c r="S64" s="129"/>
      <c r="T64" s="117">
        <f>SUM((CF20+CI18+CL16+CO14+CR12+CS11+CT10+CU9+CV8)*-0.132,(CG19+CH19+CJ17+CK17+CM15+CN15+CP13+CQ13)*-0.132/2,(CU7+CT7+CS7+CR7+CQ7+CP7+CO7+CN6+CM6+CL6+CK6+CJ6+CI6+CH6)*-0.132/7,(CG5+CF5+CE5+CD5+CC5+CB5+CA4+BZ4+BY4+BX4+BW4+BV4)*-0.132/6,17)</f>
        <v>17.71246153846154</v>
      </c>
      <c r="U64" s="117">
        <f>Lefty!T64</f>
        <v>18.559824175824176</v>
      </c>
    </row>
    <row r="65" spans="2:21">
      <c r="B65" s="114">
        <v>13</v>
      </c>
      <c r="C65" s="74">
        <f t="shared" si="34"/>
        <v>12</v>
      </c>
      <c r="D65" s="74">
        <f t="shared" si="35"/>
        <v>11</v>
      </c>
      <c r="E65" s="74">
        <f t="shared" si="36"/>
        <v>10</v>
      </c>
      <c r="F65" s="114">
        <v>9</v>
      </c>
      <c r="G65" s="74">
        <f t="shared" si="37"/>
        <v>8</v>
      </c>
      <c r="H65" s="74">
        <f t="shared" si="38"/>
        <v>7</v>
      </c>
      <c r="I65" s="74">
        <f t="shared" si="39"/>
        <v>6</v>
      </c>
      <c r="J65" s="114">
        <f t="shared" si="40"/>
        <v>5</v>
      </c>
      <c r="K65" s="74">
        <f t="shared" si="41"/>
        <v>4.25</v>
      </c>
      <c r="L65" s="74">
        <f t="shared" si="42"/>
        <v>3.5</v>
      </c>
      <c r="M65" s="74">
        <f t="shared" si="43"/>
        <v>2.75</v>
      </c>
      <c r="N65" s="114">
        <f>SUM(F65,-B65,J65,0.25*ABS(J65-F65))</f>
        <v>2</v>
      </c>
      <c r="O65" s="74">
        <f t="shared" si="31"/>
        <v>5.75</v>
      </c>
      <c r="P65" s="74">
        <f t="shared" si="32"/>
        <v>9.5</v>
      </c>
      <c r="Q65" s="74">
        <f t="shared" si="33"/>
        <v>13.25</v>
      </c>
      <c r="R65" s="114">
        <v>17</v>
      </c>
      <c r="S65" s="129"/>
      <c r="T65" s="117">
        <f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17.706175824175826</v>
      </c>
      <c r="U65" s="117">
        <f>Lefty!T65</f>
        <v>18.775895604395604</v>
      </c>
    </row>
    <row r="66" spans="2:21">
      <c r="B66" s="114"/>
      <c r="C66" s="74"/>
      <c r="D66" s="74"/>
      <c r="E66" s="74"/>
      <c r="F66" s="114"/>
      <c r="G66" s="74"/>
      <c r="H66" s="74"/>
      <c r="I66" s="74"/>
      <c r="J66" s="114"/>
      <c r="K66" s="74"/>
      <c r="L66" s="74"/>
      <c r="M66" s="74"/>
      <c r="N66" s="114"/>
      <c r="O66" s="74"/>
      <c r="P66" s="74"/>
      <c r="Q66" s="74"/>
      <c r="R66" s="114"/>
      <c r="S66" s="129"/>
    </row>
    <row r="67" spans="2:21">
      <c r="B67" s="114">
        <v>8</v>
      </c>
      <c r="C67" s="74">
        <f>SUM(0.25*(F67-B67),B67)</f>
        <v>8.5</v>
      </c>
      <c r="D67" s="74">
        <f>SUM(0.5*(F67-B67)+B67)</f>
        <v>9</v>
      </c>
      <c r="E67" s="74">
        <f>SUM(0.75*(F67-B67),B67)</f>
        <v>9.5</v>
      </c>
      <c r="F67" s="114">
        <v>10</v>
      </c>
      <c r="G67" s="74">
        <f>SUM(0.25*(J67-F67),F67)</f>
        <v>10.5</v>
      </c>
      <c r="H67" s="74">
        <f>SUM(0.5*(J67-F67),F67)</f>
        <v>11</v>
      </c>
      <c r="I67" s="74">
        <f>SUM(0.75*(J67-F67),F67)</f>
        <v>11.5</v>
      </c>
      <c r="J67" s="114">
        <f>SUM(F67,-B67,F67)</f>
        <v>12</v>
      </c>
      <c r="K67" s="74">
        <f>SUM(0.25*(N67-J67),J67)</f>
        <v>12.625</v>
      </c>
      <c r="L67" s="74">
        <f>SUM(0.5*(N67-J67),J67)</f>
        <v>13.25</v>
      </c>
      <c r="M67" s="74">
        <f>SUM(0.75*(N67-J67),J67)</f>
        <v>13.875</v>
      </c>
      <c r="N67" s="114">
        <f>SUM(F67,-B67,J67,0.25*ABS(J67-F67))</f>
        <v>14.5</v>
      </c>
      <c r="O67" s="74">
        <f t="shared" ref="O67:O74" si="44">SUM(0.25*(R67-N67),N67)</f>
        <v>15.125</v>
      </c>
      <c r="P67" s="74">
        <f t="shared" ref="P67:P74" si="45">SUM(0.5*(R67-N67),N67)</f>
        <v>15.75</v>
      </c>
      <c r="Q67" s="74">
        <f t="shared" ref="Q67:Q74" si="46">SUM(0.75*(R67-N67),N67)</f>
        <v>16.375</v>
      </c>
      <c r="R67" s="114">
        <v>17</v>
      </c>
      <c r="S67" s="129"/>
      <c r="T67" s="117">
        <f>SUM((CN20+CM19+CL18+CK17+CJ16+CI15+CH14+CG13+CF12+CE11+CD10+CC9+CB8+BV4+BY6)*-0.132,(CA7+BZ7+BX5+BW5)*-0.132/2,17)</f>
        <v>18.130461538461539</v>
      </c>
      <c r="U67" s="117">
        <f>Lefty!T67</f>
        <v>19.367538461538462</v>
      </c>
    </row>
    <row r="68" spans="2:21">
      <c r="B68" s="114">
        <v>9</v>
      </c>
      <c r="C68" s="74">
        <f t="shared" ref="C68:C114" si="47">SUM(0.25*(F68-B68),B68)</f>
        <v>9.25</v>
      </c>
      <c r="D68" s="74">
        <f t="shared" ref="D68:D114" si="48">SUM(0.5*(F68-B68)+B68)</f>
        <v>9.5</v>
      </c>
      <c r="E68" s="74">
        <f t="shared" ref="E68:E114" si="49">SUM(0.75*(F68-B68),B68)</f>
        <v>9.75</v>
      </c>
      <c r="F68" s="114">
        <v>10</v>
      </c>
      <c r="G68" s="74">
        <f t="shared" ref="G68:G114" si="50">SUM(0.25*(J68-F68),F68)</f>
        <v>10.25</v>
      </c>
      <c r="H68" s="74">
        <f t="shared" ref="H68:H114" si="51">SUM(0.5*(J68-F68),F68)</f>
        <v>10.5</v>
      </c>
      <c r="I68" s="74">
        <f t="shared" ref="I68:I114" si="52">SUM(0.75*(J68-F68),F68)</f>
        <v>10.75</v>
      </c>
      <c r="J68" s="114">
        <f t="shared" ref="J68:J114" si="53">SUM(F68,-B68,F68)</f>
        <v>11</v>
      </c>
      <c r="K68" s="74">
        <f t="shared" ref="K68:K114" si="54">SUM(0.25*(N68-J68),J68)</f>
        <v>11.3125</v>
      </c>
      <c r="L68" s="74">
        <f t="shared" ref="L68:L114" si="55">SUM(0.5*(N68-J68),J68)</f>
        <v>11.625</v>
      </c>
      <c r="M68" s="74">
        <f t="shared" ref="M68:M114" si="56">SUM(0.75*(N68-J68),J68)</f>
        <v>11.9375</v>
      </c>
      <c r="N68" s="114">
        <f>SUM(F68,-B68,J68,0.25*ABS(J68-F68))</f>
        <v>12.25</v>
      </c>
      <c r="O68" s="74">
        <f t="shared" si="44"/>
        <v>13.4375</v>
      </c>
      <c r="P68" s="74">
        <f t="shared" si="45"/>
        <v>14.625</v>
      </c>
      <c r="Q68" s="74">
        <f t="shared" si="46"/>
        <v>15.8125</v>
      </c>
      <c r="R68" s="114">
        <v>17</v>
      </c>
      <c r="S68" s="129"/>
      <c r="T68" s="117">
        <f>SUM((CL20+CK19+CK18+CJ17+CJ16+CI15+CI14+CH13+CH12+CG11+CF10+CE9+CD8)*-0.132,(CC7+CB7+CA6+BZ6+BY5+BX5+BW4+BV4)*-0.132/2,17)</f>
        <v>17.932461538461538</v>
      </c>
      <c r="U68" s="117">
        <f>Lefty!T68</f>
        <v>19.367538461538462</v>
      </c>
    </row>
    <row r="69" spans="2:21">
      <c r="B69" s="114">
        <v>10</v>
      </c>
      <c r="C69" s="74">
        <f t="shared" si="47"/>
        <v>10</v>
      </c>
      <c r="D69" s="74">
        <f t="shared" si="48"/>
        <v>10</v>
      </c>
      <c r="E69" s="74">
        <f t="shared" si="49"/>
        <v>10</v>
      </c>
      <c r="F69" s="114">
        <v>10</v>
      </c>
      <c r="G69" s="74">
        <f t="shared" si="50"/>
        <v>10</v>
      </c>
      <c r="H69" s="74">
        <f t="shared" si="51"/>
        <v>10</v>
      </c>
      <c r="I69" s="74">
        <f t="shared" si="52"/>
        <v>10</v>
      </c>
      <c r="J69" s="114">
        <f t="shared" si="53"/>
        <v>10</v>
      </c>
      <c r="K69" s="74">
        <f t="shared" si="54"/>
        <v>10.35</v>
      </c>
      <c r="L69" s="74">
        <f t="shared" si="55"/>
        <v>10.7</v>
      </c>
      <c r="M69" s="74">
        <f t="shared" si="56"/>
        <v>11.05</v>
      </c>
      <c r="N69" s="114">
        <f>SUM(F69,-B69,J69,0.25*ABS(J69-F69),0.2*(17-F69))</f>
        <v>11.4</v>
      </c>
      <c r="O69" s="74">
        <f t="shared" si="44"/>
        <v>12.8</v>
      </c>
      <c r="P69" s="74">
        <f t="shared" si="45"/>
        <v>14.2</v>
      </c>
      <c r="Q69" s="74">
        <f t="shared" si="46"/>
        <v>15.6</v>
      </c>
      <c r="R69" s="114">
        <v>17</v>
      </c>
      <c r="S69" s="129"/>
      <c r="T69" s="117">
        <f>SUM((CJ20+CJ19+CJ18+CJ17+CJ16+CJ15+CJ14+CJ13+CJ12+CI11+CI10+CH9+CH8)*-0.132,(CG7+CF7+CE7+CD6+CC6+CB6+CA5+BZ5+BY5+BX4+BW4+BV4)*-0.132/3,17)</f>
        <v>17.360461538461539</v>
      </c>
      <c r="U69" s="117">
        <f>Lefty!T69</f>
        <v>20.335538461538462</v>
      </c>
    </row>
    <row r="70" spans="2:21">
      <c r="B70" s="114">
        <v>11</v>
      </c>
      <c r="C70" s="74">
        <f t="shared" si="47"/>
        <v>10.75</v>
      </c>
      <c r="D70" s="74">
        <f t="shared" si="48"/>
        <v>10.5</v>
      </c>
      <c r="E70" s="74">
        <f t="shared" si="49"/>
        <v>10.25</v>
      </c>
      <c r="F70" s="114">
        <v>10</v>
      </c>
      <c r="G70" s="74">
        <f t="shared" si="50"/>
        <v>9.75</v>
      </c>
      <c r="H70" s="74">
        <f t="shared" si="51"/>
        <v>9.5</v>
      </c>
      <c r="I70" s="74">
        <f t="shared" si="52"/>
        <v>9.25</v>
      </c>
      <c r="J70" s="114">
        <f t="shared" si="53"/>
        <v>9</v>
      </c>
      <c r="K70" s="74">
        <f t="shared" si="54"/>
        <v>8.8125</v>
      </c>
      <c r="L70" s="74">
        <f t="shared" si="55"/>
        <v>8.625</v>
      </c>
      <c r="M70" s="74">
        <f t="shared" si="56"/>
        <v>8.4375</v>
      </c>
      <c r="N70" s="114">
        <f>SUM(F70,-B70,J70,0.25*ABS(J70-F70))</f>
        <v>8.25</v>
      </c>
      <c r="O70" s="74">
        <f t="shared" si="44"/>
        <v>10.4375</v>
      </c>
      <c r="P70" s="74">
        <f t="shared" si="45"/>
        <v>12.625</v>
      </c>
      <c r="Q70" s="74">
        <f t="shared" si="46"/>
        <v>14.8125</v>
      </c>
      <c r="R70" s="114">
        <v>17</v>
      </c>
      <c r="S70" s="129"/>
      <c r="T70" s="117">
        <f>SUM((CH20+CI19+CI18+CJ17+CJ16+CK15+CK14+CL13+CL12+CM11+CM10+CL9+CL8)*-0.132,(CK7+CJ7+CI7+CH7+CG6+CF6+CE6+CD6+CC5+CB5+CA5+BZ5+BY4+BX4+BW4+BV4)*-0.132/4,17)</f>
        <v>18.493461538461538</v>
      </c>
      <c r="U70" s="117">
        <f>Lefty!T70</f>
        <v>19.40053846153846</v>
      </c>
    </row>
    <row r="71" spans="2:21">
      <c r="B71" s="114">
        <v>12</v>
      </c>
      <c r="C71" s="74">
        <f t="shared" si="47"/>
        <v>11.5</v>
      </c>
      <c r="D71" s="74">
        <f t="shared" si="48"/>
        <v>11</v>
      </c>
      <c r="E71" s="74">
        <f t="shared" si="49"/>
        <v>10.5</v>
      </c>
      <c r="F71" s="114">
        <v>10</v>
      </c>
      <c r="G71" s="74">
        <f t="shared" si="50"/>
        <v>9.5</v>
      </c>
      <c r="H71" s="74">
        <f t="shared" si="51"/>
        <v>9</v>
      </c>
      <c r="I71" s="74">
        <f t="shared" si="52"/>
        <v>8.5</v>
      </c>
      <c r="J71" s="114">
        <f t="shared" si="53"/>
        <v>8</v>
      </c>
      <c r="K71" s="74">
        <f t="shared" si="54"/>
        <v>7.625</v>
      </c>
      <c r="L71" s="74">
        <f t="shared" si="55"/>
        <v>7.25</v>
      </c>
      <c r="M71" s="74">
        <f t="shared" si="56"/>
        <v>6.875</v>
      </c>
      <c r="N71" s="114">
        <f>SUM(F71,-B71,J71,0.25*ABS(J71-F71))</f>
        <v>6.5</v>
      </c>
      <c r="O71" s="74">
        <f t="shared" si="44"/>
        <v>9.125</v>
      </c>
      <c r="P71" s="74">
        <f t="shared" si="45"/>
        <v>11.75</v>
      </c>
      <c r="Q71" s="74">
        <f t="shared" si="46"/>
        <v>14.375</v>
      </c>
      <c r="R71" s="114">
        <v>17</v>
      </c>
      <c r="S71" s="129"/>
      <c r="T71" s="117">
        <f>SUM((CF20+CG19+CH18+CI17+CJ16+CK15+CL14+CM13+CN12+CO11+CO10+CP9+CP8)*-0.132,(CO7+CN7+CM7+CL7+CK7+CJ6+CI6+CH6+CG6+CF6+CE5+CD5+CC5+CB5+CA5+BZ4+BY4+BX4+BW4+BV4)*-0.132/5,17)</f>
        <v>17.90606153846154</v>
      </c>
      <c r="U71" s="117">
        <f>Lefty!T71</f>
        <v>19.473138461538461</v>
      </c>
    </row>
    <row r="72" spans="2:21">
      <c r="B72" s="114">
        <v>13</v>
      </c>
      <c r="C72" s="74">
        <f t="shared" si="47"/>
        <v>12.25</v>
      </c>
      <c r="D72" s="74">
        <f t="shared" si="48"/>
        <v>11.5</v>
      </c>
      <c r="E72" s="74">
        <f t="shared" si="49"/>
        <v>10.75</v>
      </c>
      <c r="F72" s="114">
        <v>10</v>
      </c>
      <c r="G72" s="74">
        <f t="shared" si="50"/>
        <v>9.25</v>
      </c>
      <c r="H72" s="74">
        <f t="shared" si="51"/>
        <v>8.5</v>
      </c>
      <c r="I72" s="74">
        <f t="shared" si="52"/>
        <v>7.75</v>
      </c>
      <c r="J72" s="114">
        <f t="shared" si="53"/>
        <v>7</v>
      </c>
      <c r="K72" s="74">
        <f t="shared" si="54"/>
        <v>6.4375</v>
      </c>
      <c r="L72" s="74">
        <f t="shared" si="55"/>
        <v>5.875</v>
      </c>
      <c r="M72" s="74">
        <f t="shared" si="56"/>
        <v>5.3125</v>
      </c>
      <c r="N72" s="114">
        <f>SUM(F72,-B72,J72,0.25*ABS(J72-F72))</f>
        <v>4.75</v>
      </c>
      <c r="O72" s="74">
        <f t="shared" si="44"/>
        <v>7.8125</v>
      </c>
      <c r="P72" s="74">
        <f t="shared" si="45"/>
        <v>10.875</v>
      </c>
      <c r="Q72" s="74">
        <f t="shared" si="46"/>
        <v>13.9375</v>
      </c>
      <c r="R72" s="114">
        <v>17</v>
      </c>
      <c r="S72" s="129"/>
      <c r="T72" s="117">
        <f>SUM((CD20+CG18+CJ16+CM14+CP12+CQ11+CR10+CS9+CT8)*-0.132,(CE19+CF19+CH17+CI17+CK15+CL15+CN13+CO13)*-0.132/2,(CS7+CR7+CQ7+CP7+CO7+CN7+CM6+CL6+CK6+CJ6+CI6+CH6+CG5+CF5+CE5+CD5+CC5+CB5+CA4+BZ4+BY4+BX4+BW4+BV4)*-0.132/6,17)</f>
        <v>18.042461538461538</v>
      </c>
      <c r="U72" s="117">
        <f>Lefty!T72</f>
        <v>19.081538461538461</v>
      </c>
    </row>
    <row r="73" spans="2:21">
      <c r="B73" s="114">
        <v>14</v>
      </c>
      <c r="C73" s="74">
        <f t="shared" si="47"/>
        <v>13</v>
      </c>
      <c r="D73" s="74">
        <f t="shared" si="48"/>
        <v>12</v>
      </c>
      <c r="E73" s="74">
        <f t="shared" si="49"/>
        <v>11</v>
      </c>
      <c r="F73" s="114">
        <v>10</v>
      </c>
      <c r="G73" s="74">
        <f t="shared" si="50"/>
        <v>9</v>
      </c>
      <c r="H73" s="74">
        <f t="shared" si="51"/>
        <v>8</v>
      </c>
      <c r="I73" s="74">
        <f t="shared" si="52"/>
        <v>7</v>
      </c>
      <c r="J73" s="114">
        <f t="shared" si="53"/>
        <v>6</v>
      </c>
      <c r="K73" s="74">
        <f t="shared" si="54"/>
        <v>5.25</v>
      </c>
      <c r="L73" s="74">
        <f t="shared" si="55"/>
        <v>4.5</v>
      </c>
      <c r="M73" s="74">
        <f t="shared" si="56"/>
        <v>3.75</v>
      </c>
      <c r="N73" s="114">
        <f>SUM(F73,-B73,J73,0.25*ABS(J73-F73))</f>
        <v>3</v>
      </c>
      <c r="O73" s="74">
        <f t="shared" si="44"/>
        <v>6.5</v>
      </c>
      <c r="P73" s="74">
        <f t="shared" si="45"/>
        <v>10</v>
      </c>
      <c r="Q73" s="74">
        <f t="shared" si="46"/>
        <v>13.5</v>
      </c>
      <c r="R73" s="114">
        <v>17</v>
      </c>
      <c r="S73" s="129"/>
      <c r="T73" s="117">
        <f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17.904175824175823</v>
      </c>
      <c r="U73" s="117">
        <f>Lefty!T73</f>
        <v>18.688681318681319</v>
      </c>
    </row>
    <row r="74" spans="2:21">
      <c r="B74" s="114">
        <v>15</v>
      </c>
      <c r="C74" s="74">
        <f t="shared" si="47"/>
        <v>13.75</v>
      </c>
      <c r="D74" s="74">
        <f t="shared" si="48"/>
        <v>12.5</v>
      </c>
      <c r="E74" s="74">
        <f t="shared" si="49"/>
        <v>11.25</v>
      </c>
      <c r="F74" s="114">
        <v>10</v>
      </c>
      <c r="G74" s="74">
        <f t="shared" si="50"/>
        <v>8.75</v>
      </c>
      <c r="H74" s="74">
        <f t="shared" si="51"/>
        <v>7.5</v>
      </c>
      <c r="I74" s="74">
        <f t="shared" si="52"/>
        <v>6.25</v>
      </c>
      <c r="J74" s="114">
        <f t="shared" si="53"/>
        <v>5</v>
      </c>
      <c r="K74" s="74">
        <f t="shared" si="54"/>
        <v>4.0625</v>
      </c>
      <c r="L74" s="74">
        <f t="shared" si="55"/>
        <v>3.125</v>
      </c>
      <c r="M74" s="74">
        <f t="shared" si="56"/>
        <v>2.1875</v>
      </c>
      <c r="N74" s="114">
        <f>SUM(F74,-B74,J74,0.25*ABS(J74-F74))</f>
        <v>1.25</v>
      </c>
      <c r="O74" s="74">
        <f t="shared" si="44"/>
        <v>5.1875</v>
      </c>
      <c r="P74" s="74">
        <f t="shared" si="45"/>
        <v>9.125</v>
      </c>
      <c r="Q74" s="74">
        <f t="shared" si="46"/>
        <v>13.0625</v>
      </c>
      <c r="R74" s="114">
        <v>17</v>
      </c>
      <c r="S74" s="129"/>
      <c r="T74" s="117">
        <f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18.19096153846154</v>
      </c>
      <c r="U74" s="117">
        <f>Lefty!T74</f>
        <v>18.927538461538461</v>
      </c>
    </row>
    <row r="75" spans="2:21">
      <c r="B75" s="114"/>
      <c r="C75" s="74"/>
      <c r="D75" s="74"/>
      <c r="E75" s="74"/>
      <c r="F75" s="114"/>
      <c r="G75" s="74"/>
      <c r="H75" s="74"/>
      <c r="I75" s="74"/>
      <c r="J75" s="114"/>
      <c r="K75" s="74"/>
      <c r="L75" s="74"/>
      <c r="M75" s="74"/>
      <c r="N75" s="114"/>
      <c r="O75" s="74"/>
      <c r="P75" s="74"/>
      <c r="Q75" s="74"/>
      <c r="R75" s="114"/>
      <c r="S75" s="129"/>
    </row>
    <row r="76" spans="2:21">
      <c r="B76" s="114">
        <v>9</v>
      </c>
      <c r="C76" s="74">
        <f t="shared" si="47"/>
        <v>9.5</v>
      </c>
      <c r="D76" s="74">
        <f t="shared" si="48"/>
        <v>10</v>
      </c>
      <c r="E76" s="74">
        <f t="shared" si="49"/>
        <v>10.5</v>
      </c>
      <c r="F76" s="114">
        <v>11</v>
      </c>
      <c r="G76" s="74">
        <f t="shared" si="50"/>
        <v>11.5</v>
      </c>
      <c r="H76" s="74">
        <f t="shared" si="51"/>
        <v>12</v>
      </c>
      <c r="I76" s="74">
        <f t="shared" si="52"/>
        <v>12.5</v>
      </c>
      <c r="J76" s="114">
        <f t="shared" si="53"/>
        <v>13</v>
      </c>
      <c r="K76" s="74">
        <f t="shared" si="54"/>
        <v>13.5</v>
      </c>
      <c r="L76" s="74">
        <f t="shared" si="55"/>
        <v>14</v>
      </c>
      <c r="M76" s="74">
        <f t="shared" si="56"/>
        <v>14.5</v>
      </c>
      <c r="N76" s="114">
        <f>SUM(J76,J76,-F76)</f>
        <v>15</v>
      </c>
      <c r="O76" s="74">
        <f t="shared" ref="O76:O83" si="57">SUM(0.25*(R76-N76),N76)</f>
        <v>15.5</v>
      </c>
      <c r="P76" s="74">
        <f t="shared" ref="P76:P83" si="58">SUM(0.5*(R76-N76),N76)</f>
        <v>16</v>
      </c>
      <c r="Q76" s="74">
        <f t="shared" ref="Q76:Q83" si="59">SUM(0.75*(R76-N76),N76)</f>
        <v>16.5</v>
      </c>
      <c r="R76" s="114">
        <v>17</v>
      </c>
      <c r="S76" s="129"/>
      <c r="T76" s="117">
        <f>SUM((CL20+CK19+CJ18+CI17+CH16+CG15+CF14+CE13+CD12+CC11+CB10+CA9+BZ8+BY7+BX6+BW5+BV4)*-0.132,17)</f>
        <v>17.932461538461538</v>
      </c>
      <c r="U76" s="117">
        <f>Lefty!T76</f>
        <v>18.971538461538461</v>
      </c>
    </row>
    <row r="77" spans="2:21">
      <c r="B77" s="114">
        <v>10</v>
      </c>
      <c r="C77" s="74">
        <f t="shared" si="47"/>
        <v>10.25</v>
      </c>
      <c r="D77" s="74">
        <f t="shared" si="48"/>
        <v>10.5</v>
      </c>
      <c r="E77" s="74">
        <f t="shared" si="49"/>
        <v>10.75</v>
      </c>
      <c r="F77" s="114">
        <v>11</v>
      </c>
      <c r="G77" s="74">
        <f t="shared" si="50"/>
        <v>11.25</v>
      </c>
      <c r="H77" s="74">
        <f t="shared" si="51"/>
        <v>11.5</v>
      </c>
      <c r="I77" s="74">
        <f t="shared" si="52"/>
        <v>11.75</v>
      </c>
      <c r="J77" s="114">
        <f t="shared" si="53"/>
        <v>12</v>
      </c>
      <c r="K77" s="74">
        <f t="shared" si="54"/>
        <v>12.3125</v>
      </c>
      <c r="L77" s="74">
        <f t="shared" si="55"/>
        <v>12.625</v>
      </c>
      <c r="M77" s="74">
        <f t="shared" si="56"/>
        <v>12.9375</v>
      </c>
      <c r="N77" s="114">
        <f>SUM(F77,-B77,J77,0.25*ABS(J77-F77))</f>
        <v>13.25</v>
      </c>
      <c r="O77" s="74">
        <f t="shared" si="57"/>
        <v>14.1875</v>
      </c>
      <c r="P77" s="74">
        <f t="shared" si="58"/>
        <v>15.125</v>
      </c>
      <c r="Q77" s="74">
        <f t="shared" si="59"/>
        <v>16.0625</v>
      </c>
      <c r="R77" s="114">
        <v>17</v>
      </c>
      <c r="S77" s="129"/>
      <c r="T77" s="117">
        <f>SUM((CJ20+CI19+CI18+CH17+CH16+CG15+CG14+CF13+CF12+CE11+CD10+CC9+CB8+BW5+BV4)*-0.132,(CA7+BZ7+BY6+BX6)*-0.132/2,17)</f>
        <v>17.800461538461537</v>
      </c>
      <c r="U77" s="117">
        <f>Lefty!T77</f>
        <v>19.433538461538461</v>
      </c>
    </row>
    <row r="78" spans="2:21">
      <c r="B78" s="114">
        <v>11</v>
      </c>
      <c r="C78" s="74">
        <f t="shared" si="47"/>
        <v>11</v>
      </c>
      <c r="D78" s="74">
        <f t="shared" si="48"/>
        <v>11</v>
      </c>
      <c r="E78" s="74">
        <f t="shared" si="49"/>
        <v>11</v>
      </c>
      <c r="F78" s="114">
        <v>11</v>
      </c>
      <c r="G78" s="74">
        <f t="shared" si="50"/>
        <v>11</v>
      </c>
      <c r="H78" s="74">
        <f t="shared" si="51"/>
        <v>11</v>
      </c>
      <c r="I78" s="74">
        <f t="shared" si="52"/>
        <v>11</v>
      </c>
      <c r="J78" s="114">
        <f t="shared" si="53"/>
        <v>11</v>
      </c>
      <c r="K78" s="74">
        <f t="shared" si="54"/>
        <v>11.3</v>
      </c>
      <c r="L78" s="74">
        <f t="shared" si="55"/>
        <v>11.6</v>
      </c>
      <c r="M78" s="74">
        <f t="shared" si="56"/>
        <v>11.899999999999999</v>
      </c>
      <c r="N78" s="114">
        <f>SUM(F78,-B78,J78,0.25*ABS(J78-F78),0.2*(17-F78))</f>
        <v>12.2</v>
      </c>
      <c r="O78" s="74">
        <f t="shared" si="57"/>
        <v>13.399999999999999</v>
      </c>
      <c r="P78" s="74">
        <f t="shared" si="58"/>
        <v>14.6</v>
      </c>
      <c r="Q78" s="74">
        <f t="shared" si="59"/>
        <v>15.8</v>
      </c>
      <c r="R78" s="114">
        <v>17</v>
      </c>
      <c r="S78" s="129"/>
      <c r="T78" s="117">
        <f>SUM((CH20+CH19+CH18+CH17+CH16+CH15+CH14+CH13+CH12+CG11+CG10+CF9+CF8)*-0.132,(CE7+CD7+CC7+CB6+CA6+BZ6)*-0.132/3,(BY5+BX5+BW4+BV4)*-0.132/2,17)</f>
        <v>17.514461538461539</v>
      </c>
      <c r="U78" s="117">
        <f>Lefty!T78</f>
        <v>19.895538461538461</v>
      </c>
    </row>
    <row r="79" spans="2:21">
      <c r="B79" s="114">
        <v>12</v>
      </c>
      <c r="C79" s="74">
        <f t="shared" si="47"/>
        <v>11.75</v>
      </c>
      <c r="D79" s="74">
        <f t="shared" si="48"/>
        <v>11.5</v>
      </c>
      <c r="E79" s="74">
        <f t="shared" si="49"/>
        <v>11.25</v>
      </c>
      <c r="F79" s="114">
        <v>11</v>
      </c>
      <c r="G79" s="74">
        <f t="shared" si="50"/>
        <v>10.75</v>
      </c>
      <c r="H79" s="74">
        <f t="shared" si="51"/>
        <v>10.5</v>
      </c>
      <c r="I79" s="74">
        <f t="shared" si="52"/>
        <v>10.25</v>
      </c>
      <c r="J79" s="114">
        <f t="shared" si="53"/>
        <v>10</v>
      </c>
      <c r="K79" s="74">
        <f t="shared" si="54"/>
        <v>9.8125</v>
      </c>
      <c r="L79" s="74">
        <f t="shared" si="55"/>
        <v>9.625</v>
      </c>
      <c r="M79" s="74">
        <f t="shared" si="56"/>
        <v>9.4375</v>
      </c>
      <c r="N79" s="114">
        <f>SUM(F79,-B79,J79,0.25*ABS(J79-F79))</f>
        <v>9.25</v>
      </c>
      <c r="O79" s="74">
        <f t="shared" si="57"/>
        <v>11.1875</v>
      </c>
      <c r="P79" s="74">
        <f t="shared" si="58"/>
        <v>13.125</v>
      </c>
      <c r="Q79" s="74">
        <f t="shared" si="59"/>
        <v>15.0625</v>
      </c>
      <c r="R79" s="114">
        <v>17</v>
      </c>
      <c r="S79" s="129"/>
      <c r="T79" s="117">
        <f>SUM((CF20+CG19+CG18+CH17+CH16+CI15+CI14+CJ13+CJ12+CK11+CK10+CJ9+CJ8)*-0.132,(CI7+CH7+CG7+CF7+CE6+CD6+CC6+CB6)*-0.132/4,(CA5+BZ5+BY5+BX4+BW4+BV4)*-0.132/3,17)</f>
        <v>17.415461538461539</v>
      </c>
      <c r="U79" s="117">
        <f>Lefty!T79</f>
        <v>20.038538461538462</v>
      </c>
    </row>
    <row r="80" spans="2:21">
      <c r="B80" s="114">
        <v>13</v>
      </c>
      <c r="C80" s="74">
        <f t="shared" si="47"/>
        <v>12.5</v>
      </c>
      <c r="D80" s="74">
        <f t="shared" si="48"/>
        <v>12</v>
      </c>
      <c r="E80" s="74">
        <f t="shared" si="49"/>
        <v>11.5</v>
      </c>
      <c r="F80" s="114">
        <v>11</v>
      </c>
      <c r="G80" s="74">
        <f t="shared" si="50"/>
        <v>10.5</v>
      </c>
      <c r="H80" s="74">
        <f t="shared" si="51"/>
        <v>10</v>
      </c>
      <c r="I80" s="74">
        <f t="shared" si="52"/>
        <v>9.5</v>
      </c>
      <c r="J80" s="114">
        <f t="shared" si="53"/>
        <v>9</v>
      </c>
      <c r="K80" s="74">
        <f t="shared" si="54"/>
        <v>8.625</v>
      </c>
      <c r="L80" s="74">
        <f t="shared" si="55"/>
        <v>8.25</v>
      </c>
      <c r="M80" s="74">
        <f t="shared" si="56"/>
        <v>7.875</v>
      </c>
      <c r="N80" s="114">
        <f>SUM(F80,-B80,J80,0.25*ABS(J80-F80))</f>
        <v>7.5</v>
      </c>
      <c r="O80" s="74">
        <f t="shared" si="57"/>
        <v>9.875</v>
      </c>
      <c r="P80" s="74">
        <f t="shared" si="58"/>
        <v>12.25</v>
      </c>
      <c r="Q80" s="74">
        <f t="shared" si="59"/>
        <v>14.625</v>
      </c>
      <c r="R80" s="114">
        <v>17</v>
      </c>
      <c r="S80" s="129"/>
      <c r="T80" s="117">
        <f>SUM((CD20+CE19+CF18+CG17+CH16+CI15+CJ14+CK13+CL12+CM11+CM10+CN9+CN8)*-0.132,(CM7+CL7+CK7+CJ7+CI7+CH6+CG6+CF6+CE6+CD6)*-0.132/5,(CC5+CB5+CA5+BZ5+BY4+BX4+BW4+BV4)*-0.132/4,17)</f>
        <v>18.249261538461539</v>
      </c>
      <c r="U80" s="117">
        <f>Lefty!T80</f>
        <v>19.40053846153846</v>
      </c>
    </row>
    <row r="81" spans="2:21">
      <c r="B81" s="114">
        <v>14</v>
      </c>
      <c r="C81" s="74">
        <f t="shared" si="47"/>
        <v>13.25</v>
      </c>
      <c r="D81" s="74">
        <f t="shared" si="48"/>
        <v>12.5</v>
      </c>
      <c r="E81" s="74">
        <f t="shared" si="49"/>
        <v>11.75</v>
      </c>
      <c r="F81" s="114">
        <v>11</v>
      </c>
      <c r="G81" s="74">
        <f t="shared" si="50"/>
        <v>10.25</v>
      </c>
      <c r="H81" s="74">
        <f t="shared" si="51"/>
        <v>9.5</v>
      </c>
      <c r="I81" s="74">
        <f t="shared" si="52"/>
        <v>8.75</v>
      </c>
      <c r="J81" s="114">
        <f t="shared" si="53"/>
        <v>8</v>
      </c>
      <c r="K81" s="74">
        <f t="shared" si="54"/>
        <v>7.4375</v>
      </c>
      <c r="L81" s="74">
        <f t="shared" si="55"/>
        <v>6.875</v>
      </c>
      <c r="M81" s="74">
        <f t="shared" si="56"/>
        <v>6.3125</v>
      </c>
      <c r="N81" s="114">
        <f>SUM(F81,-B81,J81,0.25*ABS(J81-F81))</f>
        <v>5.75</v>
      </c>
      <c r="O81" s="74">
        <f t="shared" si="57"/>
        <v>8.5625</v>
      </c>
      <c r="P81" s="74">
        <f t="shared" si="58"/>
        <v>11.375</v>
      </c>
      <c r="Q81" s="74">
        <f t="shared" si="59"/>
        <v>14.1875</v>
      </c>
      <c r="R81" s="114">
        <v>17</v>
      </c>
      <c r="S81" s="129"/>
      <c r="T81" s="117">
        <f>SUM((CB20+CE18+CH16+CK14+CN12+CO11+CP10+CQ9+CR8)*-0.132,(CC19+CD19+CF17+CG17+CI15+CJ15+CL13+CM13)*-0.132/2,(CQ7+CP7+CO7+CN7+CM7+CL7+CK6+CJ6+CI6+CH6+CG6+CF6)*-0.132/6,(CE5+CD5+CC5+CB5+CA5+BZ4+BY4+BX4+BW4+BV4)*-0.132/5,17)</f>
        <v>18.002861538461538</v>
      </c>
      <c r="U81" s="117">
        <f>Lefty!T81</f>
        <v>18.909938461538459</v>
      </c>
    </row>
    <row r="82" spans="2:21">
      <c r="B82" s="114">
        <v>15</v>
      </c>
      <c r="C82" s="74">
        <f t="shared" si="47"/>
        <v>14</v>
      </c>
      <c r="D82" s="74">
        <f t="shared" si="48"/>
        <v>13</v>
      </c>
      <c r="E82" s="74">
        <f t="shared" si="49"/>
        <v>12</v>
      </c>
      <c r="F82" s="114">
        <v>11</v>
      </c>
      <c r="G82" s="74">
        <f t="shared" si="50"/>
        <v>10</v>
      </c>
      <c r="H82" s="74">
        <f t="shared" si="51"/>
        <v>9</v>
      </c>
      <c r="I82" s="74">
        <f t="shared" si="52"/>
        <v>8</v>
      </c>
      <c r="J82" s="114">
        <f t="shared" si="53"/>
        <v>7</v>
      </c>
      <c r="K82" s="74">
        <f t="shared" si="54"/>
        <v>6.25</v>
      </c>
      <c r="L82" s="74">
        <f t="shared" si="55"/>
        <v>5.5</v>
      </c>
      <c r="M82" s="74">
        <f t="shared" si="56"/>
        <v>4.75</v>
      </c>
      <c r="N82" s="114">
        <f>SUM(F82,-B82,J82,0.25*ABS(J82-F82))</f>
        <v>4</v>
      </c>
      <c r="O82" s="74">
        <f t="shared" si="57"/>
        <v>7.25</v>
      </c>
      <c r="P82" s="74">
        <f t="shared" si="58"/>
        <v>10.5</v>
      </c>
      <c r="Q82" s="74">
        <f t="shared" si="59"/>
        <v>13.75</v>
      </c>
      <c r="R82" s="114">
        <v>17</v>
      </c>
      <c r="S82" s="129"/>
      <c r="T82" s="117">
        <f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17.514461538461539</v>
      </c>
      <c r="U82" s="117">
        <f>Lefty!T82</f>
        <v>19.021824175824175</v>
      </c>
    </row>
    <row r="83" spans="2:21">
      <c r="B83" s="114">
        <v>16</v>
      </c>
      <c r="C83" s="74">
        <f t="shared" si="47"/>
        <v>14.75</v>
      </c>
      <c r="D83" s="74">
        <f t="shared" si="48"/>
        <v>13.5</v>
      </c>
      <c r="E83" s="74">
        <f t="shared" si="49"/>
        <v>12.25</v>
      </c>
      <c r="F83" s="114">
        <v>11</v>
      </c>
      <c r="G83" s="74">
        <f t="shared" si="50"/>
        <v>9.75</v>
      </c>
      <c r="H83" s="74">
        <f t="shared" si="51"/>
        <v>8.5</v>
      </c>
      <c r="I83" s="74">
        <f t="shared" si="52"/>
        <v>7.25</v>
      </c>
      <c r="J83" s="114">
        <f t="shared" si="53"/>
        <v>6</v>
      </c>
      <c r="K83" s="74">
        <f t="shared" si="54"/>
        <v>5.0625</v>
      </c>
      <c r="L83" s="74">
        <f t="shared" si="55"/>
        <v>4.125</v>
      </c>
      <c r="M83" s="74">
        <f t="shared" si="56"/>
        <v>3.1875</v>
      </c>
      <c r="N83" s="114">
        <f>SUM(F83,-B83,J83,0.25*ABS(J83-F83))</f>
        <v>2.25</v>
      </c>
      <c r="O83" s="74">
        <f t="shared" si="57"/>
        <v>5.9375</v>
      </c>
      <c r="P83" s="74">
        <f t="shared" si="58"/>
        <v>9.625</v>
      </c>
      <c r="Q83" s="74">
        <f t="shared" si="59"/>
        <v>13.3125</v>
      </c>
      <c r="R83" s="114">
        <v>17</v>
      </c>
      <c r="S83" s="129"/>
      <c r="T83" s="117">
        <f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17.794175824175824</v>
      </c>
      <c r="U83" s="117">
        <f>Lefty!T83</f>
        <v>18.951895604395606</v>
      </c>
    </row>
    <row r="84" spans="2:21">
      <c r="B84" s="114"/>
      <c r="C84" s="74"/>
      <c r="D84" s="74"/>
      <c r="E84" s="74"/>
      <c r="F84" s="114"/>
      <c r="G84" s="74"/>
      <c r="H84" s="74"/>
      <c r="I84" s="74"/>
      <c r="J84" s="114"/>
      <c r="K84" s="74"/>
      <c r="L84" s="74"/>
      <c r="M84" s="74"/>
      <c r="N84" s="114"/>
      <c r="O84" s="74"/>
      <c r="P84" s="74"/>
      <c r="Q84" s="74"/>
      <c r="R84" s="114"/>
      <c r="S84" s="129"/>
    </row>
    <row r="85" spans="2:21">
      <c r="B85" s="114">
        <v>11</v>
      </c>
      <c r="C85" s="74">
        <f t="shared" si="47"/>
        <v>11.25</v>
      </c>
      <c r="D85" s="74">
        <f t="shared" si="48"/>
        <v>11.5</v>
      </c>
      <c r="E85" s="74">
        <f t="shared" si="49"/>
        <v>11.75</v>
      </c>
      <c r="F85" s="114">
        <v>12</v>
      </c>
      <c r="G85" s="74">
        <f t="shared" si="50"/>
        <v>12.25</v>
      </c>
      <c r="H85" s="74">
        <f t="shared" si="51"/>
        <v>12.5</v>
      </c>
      <c r="I85" s="74">
        <f t="shared" si="52"/>
        <v>12.75</v>
      </c>
      <c r="J85" s="114">
        <f t="shared" si="53"/>
        <v>13</v>
      </c>
      <c r="K85" s="74">
        <f t="shared" si="54"/>
        <v>13.3125</v>
      </c>
      <c r="L85" s="74">
        <f t="shared" si="55"/>
        <v>13.625</v>
      </c>
      <c r="M85" s="74">
        <f t="shared" si="56"/>
        <v>13.9375</v>
      </c>
      <c r="N85" s="114">
        <f>SUM(F85,-B85,J85,0.25*ABS(J85-F85))</f>
        <v>14.25</v>
      </c>
      <c r="O85" s="74">
        <f t="shared" ref="O85:O92" si="60">SUM(0.25*(R85-N85),N85)</f>
        <v>14.9375</v>
      </c>
      <c r="P85" s="74">
        <f t="shared" ref="P85:P92" si="61">SUM(0.5*(R85-N85),N85)</f>
        <v>15.625</v>
      </c>
      <c r="Q85" s="74">
        <f t="shared" ref="Q85:Q92" si="62">SUM(0.75*(R85-N85),N85)</f>
        <v>16.3125</v>
      </c>
      <c r="R85" s="114">
        <v>17</v>
      </c>
      <c r="S85" s="129"/>
      <c r="T85" s="117">
        <f>SUM((CH20+CG19+CG18+CF17+CF16+CE15+CE14+CD13+CD12+CC11+CC10+CB9+CB8+BV4+BW5)*-0.132,(CA7+BZ7+BY6+BX6)*-0.132/2,17)</f>
        <v>17.800461538461537</v>
      </c>
      <c r="U85" s="117">
        <f>Lefty!T85</f>
        <v>18.905538461538463</v>
      </c>
    </row>
    <row r="86" spans="2:21">
      <c r="B86" s="114">
        <v>12</v>
      </c>
      <c r="C86" s="74">
        <f t="shared" si="47"/>
        <v>12</v>
      </c>
      <c r="D86" s="74">
        <f t="shared" si="48"/>
        <v>12</v>
      </c>
      <c r="E86" s="74">
        <f t="shared" si="49"/>
        <v>12</v>
      </c>
      <c r="F86" s="114">
        <v>12</v>
      </c>
      <c r="G86" s="74">
        <f t="shared" si="50"/>
        <v>12</v>
      </c>
      <c r="H86" s="74">
        <f t="shared" si="51"/>
        <v>12</v>
      </c>
      <c r="I86" s="74">
        <f t="shared" si="52"/>
        <v>12</v>
      </c>
      <c r="J86" s="114">
        <f t="shared" si="53"/>
        <v>12</v>
      </c>
      <c r="K86" s="74">
        <f t="shared" si="54"/>
        <v>12.25</v>
      </c>
      <c r="L86" s="74">
        <f t="shared" si="55"/>
        <v>12.5</v>
      </c>
      <c r="M86" s="74">
        <f t="shared" si="56"/>
        <v>12.75</v>
      </c>
      <c r="N86" s="114">
        <f>SUM(F86,-B86,J86,0.25*ABS(J86-F86),0.2*(17-F86))</f>
        <v>13</v>
      </c>
      <c r="O86" s="74">
        <f t="shared" si="60"/>
        <v>14</v>
      </c>
      <c r="P86" s="74">
        <f t="shared" si="61"/>
        <v>15</v>
      </c>
      <c r="Q86" s="74">
        <f t="shared" si="62"/>
        <v>16</v>
      </c>
      <c r="R86" s="114">
        <v>17</v>
      </c>
      <c r="S86" s="129"/>
      <c r="T86" s="117">
        <f>SUM((CF20+CF19+CF18+CF17+CF16+CF15+CF14+CF13+CF12+CE11+CE10+CD9+CD8)*-0.132,(CC7+CB7+CA6+BZ6+BY5+BX5+BW4+BV4)*-0.132/2,17)</f>
        <v>17.404461538461536</v>
      </c>
      <c r="U86" s="117">
        <f>Lefty!T86</f>
        <v>19.367538461538462</v>
      </c>
    </row>
    <row r="87" spans="2:21">
      <c r="B87" s="114">
        <v>13</v>
      </c>
      <c r="C87" s="74">
        <f t="shared" si="47"/>
        <v>12.75</v>
      </c>
      <c r="D87" s="74">
        <f t="shared" si="48"/>
        <v>12.5</v>
      </c>
      <c r="E87" s="74">
        <f t="shared" si="49"/>
        <v>12.25</v>
      </c>
      <c r="F87" s="114">
        <v>12</v>
      </c>
      <c r="G87" s="74">
        <f t="shared" si="50"/>
        <v>11.75</v>
      </c>
      <c r="H87" s="74">
        <f t="shared" si="51"/>
        <v>11.5</v>
      </c>
      <c r="I87" s="74">
        <f t="shared" si="52"/>
        <v>11.25</v>
      </c>
      <c r="J87" s="114">
        <f t="shared" si="53"/>
        <v>11</v>
      </c>
      <c r="K87" s="74">
        <f t="shared" si="54"/>
        <v>10.8125</v>
      </c>
      <c r="L87" s="74">
        <f t="shared" si="55"/>
        <v>10.625</v>
      </c>
      <c r="M87" s="74">
        <f t="shared" si="56"/>
        <v>10.4375</v>
      </c>
      <c r="N87" s="114">
        <f t="shared" ref="N87:N92" si="63">SUM(F87,-B87,J87,0.25*ABS(J87-F87))</f>
        <v>10.25</v>
      </c>
      <c r="O87" s="74">
        <f t="shared" si="60"/>
        <v>11.9375</v>
      </c>
      <c r="P87" s="74">
        <f t="shared" si="61"/>
        <v>13.625</v>
      </c>
      <c r="Q87" s="74">
        <f t="shared" si="62"/>
        <v>15.3125</v>
      </c>
      <c r="R87" s="114">
        <v>17</v>
      </c>
      <c r="S87" s="129"/>
      <c r="T87" s="117">
        <f>SUM((CD20+CE19+CE18+CF17+CF16+CG15+CG14+CH13+CH12+CI11+CI10+CH9+CH8)*-0.132,(CG7+CF7+CE7+CD6+CC6+CB6+CA5+BZ5+BY5+BX4+BW4+BV4)*-0.132/3,17)</f>
        <v>17.75646153846154</v>
      </c>
      <c r="U87" s="117">
        <f>Lefty!T87</f>
        <v>19.14753846153846</v>
      </c>
    </row>
    <row r="88" spans="2:21">
      <c r="B88" s="114">
        <v>14</v>
      </c>
      <c r="C88" s="74">
        <f t="shared" si="47"/>
        <v>13.5</v>
      </c>
      <c r="D88" s="74">
        <f t="shared" si="48"/>
        <v>13</v>
      </c>
      <c r="E88" s="74">
        <f t="shared" si="49"/>
        <v>12.5</v>
      </c>
      <c r="F88" s="114">
        <v>12</v>
      </c>
      <c r="G88" s="74">
        <f t="shared" si="50"/>
        <v>11.5</v>
      </c>
      <c r="H88" s="74">
        <f t="shared" si="51"/>
        <v>11</v>
      </c>
      <c r="I88" s="74">
        <f t="shared" si="52"/>
        <v>10.5</v>
      </c>
      <c r="J88" s="114">
        <f t="shared" si="53"/>
        <v>10</v>
      </c>
      <c r="K88" s="74">
        <f t="shared" si="54"/>
        <v>9.625</v>
      </c>
      <c r="L88" s="74">
        <f t="shared" si="55"/>
        <v>9.25</v>
      </c>
      <c r="M88" s="74">
        <f t="shared" si="56"/>
        <v>8.875</v>
      </c>
      <c r="N88" s="114">
        <f t="shared" si="63"/>
        <v>8.5</v>
      </c>
      <c r="O88" s="74">
        <f t="shared" si="60"/>
        <v>10.625</v>
      </c>
      <c r="P88" s="74">
        <f t="shared" si="61"/>
        <v>12.75</v>
      </c>
      <c r="Q88" s="74">
        <f t="shared" si="62"/>
        <v>14.875</v>
      </c>
      <c r="R88" s="114">
        <v>17</v>
      </c>
      <c r="S88" s="129"/>
      <c r="T88" s="117">
        <f>SUM((CB20+CC19+CD18+CE17+CF16+CG15+CH14+CI13+CJ12+CK11+CK10+CL9+CL8)*-0.132,(CK7+CJ7+CI7+CH7+CG6+CF6+CE6+CD6+CC5+CB5+CA5+BZ5+BY4+BX4+BW4+BV4)*-0.132/4,17)</f>
        <v>17.701461538461537</v>
      </c>
      <c r="U88" s="117">
        <f>Lefty!T88</f>
        <v>19.664538461538459</v>
      </c>
    </row>
    <row r="89" spans="2:21">
      <c r="B89" s="114">
        <v>15</v>
      </c>
      <c r="C89" s="74">
        <f t="shared" si="47"/>
        <v>14.25</v>
      </c>
      <c r="D89" s="74">
        <f t="shared" si="48"/>
        <v>13.5</v>
      </c>
      <c r="E89" s="74">
        <f t="shared" si="49"/>
        <v>12.75</v>
      </c>
      <c r="F89" s="114">
        <v>12</v>
      </c>
      <c r="G89" s="74">
        <f t="shared" si="50"/>
        <v>11.25</v>
      </c>
      <c r="H89" s="74">
        <f t="shared" si="51"/>
        <v>10.5</v>
      </c>
      <c r="I89" s="74">
        <f t="shared" si="52"/>
        <v>9.75</v>
      </c>
      <c r="J89" s="114">
        <f t="shared" si="53"/>
        <v>9</v>
      </c>
      <c r="K89" s="74">
        <f t="shared" si="54"/>
        <v>8.4375</v>
      </c>
      <c r="L89" s="74">
        <f t="shared" si="55"/>
        <v>7.875</v>
      </c>
      <c r="M89" s="74">
        <f t="shared" si="56"/>
        <v>7.3125</v>
      </c>
      <c r="N89" s="114">
        <f t="shared" si="63"/>
        <v>6.75</v>
      </c>
      <c r="O89" s="74">
        <f t="shared" si="60"/>
        <v>9.3125</v>
      </c>
      <c r="P89" s="74">
        <f t="shared" si="61"/>
        <v>11.875</v>
      </c>
      <c r="Q89" s="74">
        <f t="shared" si="62"/>
        <v>14.4375</v>
      </c>
      <c r="R89" s="114">
        <v>17</v>
      </c>
      <c r="S89" s="129"/>
      <c r="T89" s="117">
        <f>SUM((BZ20+CC18+CF16+CI14+CL12+CM11+CN10+CO9+CP8)*-0.132,(CA19+CB19+CD17+CE17+CG15+CH15+CJ13+CK13)*-0.132/2,(CO7+CN7+CM7+CL7+CK7+CJ6+CI6+CH6+CG6+CF6+CE5+CD5+CC5+CB5+CA5+BZ4+BY4+BX4+BW4+BV4)*-0.132/5,17)</f>
        <v>17.774061538461538</v>
      </c>
      <c r="U89" s="117">
        <f>Lefty!T89</f>
        <v>19.473138461538461</v>
      </c>
    </row>
    <row r="90" spans="2:21">
      <c r="B90" s="114">
        <v>16</v>
      </c>
      <c r="C90" s="74">
        <f t="shared" si="47"/>
        <v>15</v>
      </c>
      <c r="D90" s="74">
        <f t="shared" si="48"/>
        <v>14</v>
      </c>
      <c r="E90" s="74">
        <f t="shared" si="49"/>
        <v>13</v>
      </c>
      <c r="F90" s="114">
        <v>12</v>
      </c>
      <c r="G90" s="74">
        <f t="shared" si="50"/>
        <v>11</v>
      </c>
      <c r="H90" s="74">
        <f t="shared" si="51"/>
        <v>10</v>
      </c>
      <c r="I90" s="74">
        <f t="shared" si="52"/>
        <v>9</v>
      </c>
      <c r="J90" s="114">
        <f t="shared" si="53"/>
        <v>8</v>
      </c>
      <c r="K90" s="74">
        <f t="shared" si="54"/>
        <v>7.25</v>
      </c>
      <c r="L90" s="74">
        <f t="shared" si="55"/>
        <v>6.5</v>
      </c>
      <c r="M90" s="74">
        <f t="shared" si="56"/>
        <v>5.75</v>
      </c>
      <c r="N90" s="114">
        <f t="shared" si="63"/>
        <v>5</v>
      </c>
      <c r="O90" s="74">
        <f t="shared" si="60"/>
        <v>8</v>
      </c>
      <c r="P90" s="74">
        <f t="shared" si="61"/>
        <v>11</v>
      </c>
      <c r="Q90" s="74">
        <f t="shared" si="62"/>
        <v>14</v>
      </c>
      <c r="R90" s="114">
        <v>17</v>
      </c>
      <c r="S90" s="129"/>
      <c r="T90" s="117">
        <f>SUM((BX20+CT8+CQ10)*-0.132,(BY19+BZ19+CA18+CB18+CC17+CD17+CE16+CF16+CG15+CH15+CI14+CJ14+CK13+CL13+CM12+CN12+CO11+CP11+CR9+CS9)*-0.132/2,(CS7+CR7+CQ7+CP7+CO7+CN7+CM6+CL6+CK6+CJ6+CI6+CH6+CG5+CF5+CE5+CD5+CC5+CB5+CA4+BZ4+BY4+BX4+BW4+BV4)*-0.132/6,17)</f>
        <v>17.91046153846154</v>
      </c>
      <c r="U90" s="117">
        <f>Lefty!T90</f>
        <v>19.14753846153846</v>
      </c>
    </row>
    <row r="91" spans="2:21">
      <c r="B91" s="114">
        <v>17</v>
      </c>
      <c r="C91" s="74">
        <f t="shared" si="47"/>
        <v>15.75</v>
      </c>
      <c r="D91" s="74">
        <f t="shared" si="48"/>
        <v>14.5</v>
      </c>
      <c r="E91" s="74">
        <f t="shared" si="49"/>
        <v>13.25</v>
      </c>
      <c r="F91" s="114">
        <v>12</v>
      </c>
      <c r="G91" s="74">
        <f t="shared" si="50"/>
        <v>10.75</v>
      </c>
      <c r="H91" s="74">
        <f t="shared" si="51"/>
        <v>9.5</v>
      </c>
      <c r="I91" s="74">
        <f t="shared" si="52"/>
        <v>8.25</v>
      </c>
      <c r="J91" s="114">
        <f t="shared" si="53"/>
        <v>7</v>
      </c>
      <c r="K91" s="74">
        <f t="shared" si="54"/>
        <v>6.0625</v>
      </c>
      <c r="L91" s="74">
        <f t="shared" si="55"/>
        <v>5.125</v>
      </c>
      <c r="M91" s="74">
        <f t="shared" si="56"/>
        <v>4.1875</v>
      </c>
      <c r="N91" s="114">
        <f t="shared" si="63"/>
        <v>3.25</v>
      </c>
      <c r="O91" s="74">
        <f t="shared" si="60"/>
        <v>6.6875</v>
      </c>
      <c r="P91" s="74">
        <f t="shared" si="61"/>
        <v>10.125</v>
      </c>
      <c r="Q91" s="74">
        <f t="shared" si="62"/>
        <v>13.5625</v>
      </c>
      <c r="R91" s="114">
        <v>17</v>
      </c>
      <c r="S91" s="129"/>
      <c r="T91" s="117">
        <f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17.552175824175823</v>
      </c>
      <c r="U91" s="117">
        <f>Lefty!T91</f>
        <v>19.106681318681318</v>
      </c>
    </row>
    <row r="92" spans="2:21">
      <c r="B92" s="114">
        <v>18</v>
      </c>
      <c r="C92" s="74">
        <f t="shared" si="47"/>
        <v>16.5</v>
      </c>
      <c r="D92" s="74">
        <f t="shared" si="48"/>
        <v>15</v>
      </c>
      <c r="E92" s="74">
        <f t="shared" si="49"/>
        <v>13.5</v>
      </c>
      <c r="F92" s="114">
        <v>12</v>
      </c>
      <c r="G92" s="74">
        <f t="shared" si="50"/>
        <v>10.5</v>
      </c>
      <c r="H92" s="74">
        <f t="shared" si="51"/>
        <v>9</v>
      </c>
      <c r="I92" s="74">
        <f t="shared" si="52"/>
        <v>7.5</v>
      </c>
      <c r="J92" s="114">
        <f t="shared" si="53"/>
        <v>6</v>
      </c>
      <c r="K92" s="74">
        <f t="shared" si="54"/>
        <v>4.875</v>
      </c>
      <c r="L92" s="74">
        <f t="shared" si="55"/>
        <v>3.75</v>
      </c>
      <c r="M92" s="74">
        <f t="shared" si="56"/>
        <v>2.625</v>
      </c>
      <c r="N92" s="114">
        <f t="shared" si="63"/>
        <v>1.5</v>
      </c>
      <c r="O92" s="74">
        <f t="shared" si="60"/>
        <v>5.375</v>
      </c>
      <c r="P92" s="74">
        <f t="shared" si="61"/>
        <v>9.25</v>
      </c>
      <c r="Q92" s="74">
        <f t="shared" si="62"/>
        <v>13.125</v>
      </c>
      <c r="R92" s="114">
        <v>17</v>
      </c>
      <c r="S92" s="129"/>
      <c r="T92" s="117">
        <f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17.706961538461538</v>
      </c>
      <c r="U92" s="117">
        <f>Lefty!T92</f>
        <v>18.83953846153846</v>
      </c>
    </row>
    <row r="93" spans="2:21">
      <c r="B93" s="114"/>
      <c r="C93" s="74"/>
      <c r="D93" s="74"/>
      <c r="E93" s="74"/>
      <c r="F93" s="114"/>
      <c r="G93" s="74"/>
      <c r="H93" s="74"/>
      <c r="I93" s="74"/>
      <c r="J93" s="114"/>
      <c r="K93" s="74"/>
      <c r="L93" s="74"/>
      <c r="M93" s="74"/>
      <c r="N93" s="114"/>
      <c r="O93" s="74"/>
      <c r="P93" s="74"/>
      <c r="Q93" s="74"/>
      <c r="R93" s="114"/>
      <c r="S93" s="129"/>
    </row>
    <row r="94" spans="2:21">
      <c r="B94" s="114">
        <v>12</v>
      </c>
      <c r="C94" s="74">
        <f t="shared" si="47"/>
        <v>12.25</v>
      </c>
      <c r="D94" s="74">
        <f t="shared" si="48"/>
        <v>12.5</v>
      </c>
      <c r="E94" s="74">
        <f t="shared" si="49"/>
        <v>12.75</v>
      </c>
      <c r="F94" s="114">
        <v>13</v>
      </c>
      <c r="G94" s="74">
        <f t="shared" si="50"/>
        <v>13.25</v>
      </c>
      <c r="H94" s="74">
        <f t="shared" si="51"/>
        <v>13.5</v>
      </c>
      <c r="I94" s="74">
        <f t="shared" si="52"/>
        <v>13.75</v>
      </c>
      <c r="J94" s="114">
        <f t="shared" si="53"/>
        <v>14</v>
      </c>
      <c r="K94" s="74">
        <f t="shared" si="54"/>
        <v>14.3125</v>
      </c>
      <c r="L94" s="74">
        <f t="shared" si="55"/>
        <v>14.625</v>
      </c>
      <c r="M94" s="74">
        <f t="shared" si="56"/>
        <v>14.9375</v>
      </c>
      <c r="N94" s="114">
        <f>SUM(F94,-B94,J94,0.25*ABS(J94-F94))</f>
        <v>15.25</v>
      </c>
      <c r="O94" s="74">
        <f t="shared" ref="O94:O101" si="64">SUM(0.25*(R94-N94),N94)</f>
        <v>15.6875</v>
      </c>
      <c r="P94" s="74">
        <f t="shared" ref="P94:P101" si="65">SUM(0.5*(R94-N94),N94)</f>
        <v>16.125</v>
      </c>
      <c r="Q94" s="74">
        <f t="shared" ref="Q94:Q101" si="66">SUM(0.75*(R94-N94),N94)</f>
        <v>16.5625</v>
      </c>
      <c r="R94" s="114">
        <v>17</v>
      </c>
      <c r="S94" s="129"/>
      <c r="T94" s="117">
        <f>SUM((CF20+CE19+CE18+CD17+CD16+CC15+CC14+CB13+CB12+CA11+CA10+BZ9+BZ8+BY7+BX6+BW5+BV4)*-0.132,17)</f>
        <v>17.008461538461539</v>
      </c>
      <c r="U94" s="117">
        <f>Lefty!T94</f>
        <v>19.367538461538462</v>
      </c>
    </row>
    <row r="95" spans="2:21">
      <c r="B95" s="114">
        <v>13</v>
      </c>
      <c r="C95" s="74">
        <f t="shared" si="47"/>
        <v>13</v>
      </c>
      <c r="D95" s="74">
        <f t="shared" si="48"/>
        <v>13</v>
      </c>
      <c r="E95" s="74">
        <f t="shared" si="49"/>
        <v>13</v>
      </c>
      <c r="F95" s="114">
        <v>13</v>
      </c>
      <c r="G95" s="74">
        <f t="shared" si="50"/>
        <v>13</v>
      </c>
      <c r="H95" s="74">
        <f t="shared" si="51"/>
        <v>13</v>
      </c>
      <c r="I95" s="74">
        <f t="shared" si="52"/>
        <v>13</v>
      </c>
      <c r="J95" s="114">
        <f t="shared" si="53"/>
        <v>13</v>
      </c>
      <c r="K95" s="74">
        <f t="shared" si="54"/>
        <v>13.2</v>
      </c>
      <c r="L95" s="74">
        <f t="shared" si="55"/>
        <v>13.4</v>
      </c>
      <c r="M95" s="74">
        <f t="shared" si="56"/>
        <v>13.600000000000001</v>
      </c>
      <c r="N95" s="114">
        <f>SUM(F95,-B95,J95,0.25*ABS(J95-F95),0.2*(17-F95))</f>
        <v>13.8</v>
      </c>
      <c r="O95" s="74">
        <f t="shared" si="64"/>
        <v>14.600000000000001</v>
      </c>
      <c r="P95" s="74">
        <f t="shared" si="65"/>
        <v>15.4</v>
      </c>
      <c r="Q95" s="74">
        <f t="shared" si="66"/>
        <v>16.2</v>
      </c>
      <c r="R95" s="114">
        <v>17</v>
      </c>
      <c r="S95" s="129"/>
      <c r="T95" s="117">
        <f>SUM((CD20+CD19+CD18+CD17+CD16+CD15+CD14+CD13+CD12+CC11+CC10++CB9+CB8+BW5+BV4)*-0.132,(CA7+BZ7+BY6+BX6)*-0.132/2,17)</f>
        <v>17.272461538461538</v>
      </c>
      <c r="U95" s="117">
        <f>Lefty!T95</f>
        <v>19.697538461538461</v>
      </c>
    </row>
    <row r="96" spans="2:21">
      <c r="B96" s="114">
        <v>14</v>
      </c>
      <c r="C96" s="74">
        <f t="shared" si="47"/>
        <v>13.75</v>
      </c>
      <c r="D96" s="74">
        <f t="shared" si="48"/>
        <v>13.5</v>
      </c>
      <c r="E96" s="74">
        <f t="shared" si="49"/>
        <v>13.25</v>
      </c>
      <c r="F96" s="114">
        <v>13</v>
      </c>
      <c r="G96" s="74">
        <f t="shared" si="50"/>
        <v>12.75</v>
      </c>
      <c r="H96" s="74">
        <f t="shared" si="51"/>
        <v>12.5</v>
      </c>
      <c r="I96" s="74">
        <f t="shared" si="52"/>
        <v>12.25</v>
      </c>
      <c r="J96" s="114">
        <f t="shared" si="53"/>
        <v>12</v>
      </c>
      <c r="K96" s="74">
        <f t="shared" si="54"/>
        <v>11.8125</v>
      </c>
      <c r="L96" s="74">
        <f t="shared" si="55"/>
        <v>11.625</v>
      </c>
      <c r="M96" s="74">
        <f t="shared" si="56"/>
        <v>11.4375</v>
      </c>
      <c r="N96" s="114">
        <f t="shared" ref="N96:N101" si="67">SUM(F96,-B96,J96,0.25*ABS(J96-F96))</f>
        <v>11.25</v>
      </c>
      <c r="O96" s="74">
        <f t="shared" si="64"/>
        <v>12.6875</v>
      </c>
      <c r="P96" s="74">
        <f t="shared" si="65"/>
        <v>14.125</v>
      </c>
      <c r="Q96" s="74">
        <f t="shared" si="66"/>
        <v>15.5625</v>
      </c>
      <c r="R96" s="114">
        <v>17</v>
      </c>
      <c r="S96" s="129"/>
      <c r="T96" s="117">
        <f>SUM((CB20+CC19+CC18+CD17+CD16+CE15+CE14+CF13+CF12+CG11+CG10+CF9+CF8)*-0.132,(CE7+CD7+CC7+CB6+CA6+BZ6)*-0.132/3,(BY5+BX5+BW4+BV4)*-0.132/2,17)</f>
        <v>17.91046153846154</v>
      </c>
      <c r="U96" s="117">
        <f>Lefty!T96</f>
        <v>19.235538461538461</v>
      </c>
    </row>
    <row r="97" spans="2:21">
      <c r="B97" s="114">
        <v>15</v>
      </c>
      <c r="C97" s="74">
        <f t="shared" si="47"/>
        <v>14.5</v>
      </c>
      <c r="D97" s="74">
        <f t="shared" si="48"/>
        <v>14</v>
      </c>
      <c r="E97" s="74">
        <f t="shared" si="49"/>
        <v>13.5</v>
      </c>
      <c r="F97" s="114">
        <v>13</v>
      </c>
      <c r="G97" s="74">
        <f t="shared" si="50"/>
        <v>12.5</v>
      </c>
      <c r="H97" s="74">
        <f t="shared" si="51"/>
        <v>12</v>
      </c>
      <c r="I97" s="74">
        <f t="shared" si="52"/>
        <v>11.5</v>
      </c>
      <c r="J97" s="114">
        <f t="shared" si="53"/>
        <v>11</v>
      </c>
      <c r="K97" s="74">
        <f t="shared" si="54"/>
        <v>10.625</v>
      </c>
      <c r="L97" s="74">
        <f t="shared" si="55"/>
        <v>10.25</v>
      </c>
      <c r="M97" s="74">
        <f t="shared" si="56"/>
        <v>9.875</v>
      </c>
      <c r="N97" s="114">
        <f t="shared" si="67"/>
        <v>9.5</v>
      </c>
      <c r="O97" s="74">
        <f t="shared" si="64"/>
        <v>11.375</v>
      </c>
      <c r="P97" s="74">
        <f t="shared" si="65"/>
        <v>13.25</v>
      </c>
      <c r="Q97" s="74">
        <f t="shared" si="66"/>
        <v>15.125</v>
      </c>
      <c r="R97" s="114">
        <v>17</v>
      </c>
      <c r="S97" s="129"/>
      <c r="T97" s="117">
        <f>SUM((BZ20+CA19+CB18+CC17+CD16+CE15+CF14+CG13+CH12+CI11+CI10+CJ9+CJ8)*-0.132,(CI7+CH7+CG7+CF7+CE6+CD6+CC6+CB6)*-0.132/4,(CA5+BZ5+BY5+BX4+BW4+BV4)*-0.132/3,17)</f>
        <v>17.679461538461538</v>
      </c>
      <c r="U97" s="117">
        <f>Lefty!T97</f>
        <v>19.510538461538463</v>
      </c>
    </row>
    <row r="98" spans="2:21">
      <c r="B98" s="114">
        <v>16</v>
      </c>
      <c r="C98" s="74">
        <f t="shared" si="47"/>
        <v>15.25</v>
      </c>
      <c r="D98" s="74">
        <f t="shared" si="48"/>
        <v>14.5</v>
      </c>
      <c r="E98" s="74">
        <f t="shared" si="49"/>
        <v>13.75</v>
      </c>
      <c r="F98" s="114">
        <v>13</v>
      </c>
      <c r="G98" s="74">
        <f t="shared" si="50"/>
        <v>12.25</v>
      </c>
      <c r="H98" s="74">
        <f t="shared" si="51"/>
        <v>11.5</v>
      </c>
      <c r="I98" s="74">
        <f t="shared" si="52"/>
        <v>10.75</v>
      </c>
      <c r="J98" s="114">
        <f t="shared" si="53"/>
        <v>10</v>
      </c>
      <c r="K98" s="74">
        <f t="shared" si="54"/>
        <v>9.4375</v>
      </c>
      <c r="L98" s="74">
        <f t="shared" si="55"/>
        <v>8.875</v>
      </c>
      <c r="M98" s="74">
        <f t="shared" si="56"/>
        <v>8.3125</v>
      </c>
      <c r="N98" s="114">
        <f t="shared" si="67"/>
        <v>7.75</v>
      </c>
      <c r="O98" s="74">
        <f t="shared" si="64"/>
        <v>10.0625</v>
      </c>
      <c r="P98" s="74">
        <f t="shared" si="65"/>
        <v>12.375</v>
      </c>
      <c r="Q98" s="74">
        <f t="shared" si="66"/>
        <v>14.6875</v>
      </c>
      <c r="R98" s="114">
        <v>17</v>
      </c>
      <c r="S98" s="129"/>
      <c r="T98" s="117">
        <f>SUM((BX20+CA18+CD16+CG14+CJ12+CK11+CL10+CM9+CN8)*-0.132,(BY19+BZ19+CB17+CC17+CE15+CF15+CH13+CI13)*-0.132/2,(CM7+CL7+CK7+CJ7+CI7+CH6+CG6+CF6+CE6+CD6)*-0.132/5,(CC5+CB5+CA5+BZ5+BY4+BX4+BW4+BV4)*-0.132/4,17)</f>
        <v>17.655261538461538</v>
      </c>
      <c r="U98" s="117">
        <f>Lefty!T98</f>
        <v>19.070538461538462</v>
      </c>
    </row>
    <row r="99" spans="2:21">
      <c r="B99" s="114">
        <v>17</v>
      </c>
      <c r="C99" s="74">
        <f t="shared" si="47"/>
        <v>16</v>
      </c>
      <c r="D99" s="74">
        <f t="shared" si="48"/>
        <v>15</v>
      </c>
      <c r="E99" s="74">
        <f t="shared" si="49"/>
        <v>14</v>
      </c>
      <c r="F99" s="114">
        <v>13</v>
      </c>
      <c r="G99" s="74">
        <f t="shared" si="50"/>
        <v>12</v>
      </c>
      <c r="H99" s="74">
        <f t="shared" si="51"/>
        <v>11</v>
      </c>
      <c r="I99" s="74">
        <f t="shared" si="52"/>
        <v>10</v>
      </c>
      <c r="J99" s="114">
        <f t="shared" si="53"/>
        <v>9</v>
      </c>
      <c r="K99" s="74">
        <f t="shared" si="54"/>
        <v>8.25</v>
      </c>
      <c r="L99" s="74">
        <f t="shared" si="55"/>
        <v>7.5</v>
      </c>
      <c r="M99" s="74">
        <f t="shared" si="56"/>
        <v>6.75</v>
      </c>
      <c r="N99" s="114">
        <f t="shared" si="67"/>
        <v>6</v>
      </c>
      <c r="O99" s="74">
        <f t="shared" si="64"/>
        <v>8.75</v>
      </c>
      <c r="P99" s="74">
        <f t="shared" si="65"/>
        <v>11.5</v>
      </c>
      <c r="Q99" s="74">
        <f t="shared" si="66"/>
        <v>14.25</v>
      </c>
      <c r="R99" s="114">
        <v>17</v>
      </c>
      <c r="S99" s="129"/>
      <c r="T99" s="117">
        <f>SUM((BU20+BV20+BW19+BX19+BY18+BZ18+CA17+CB17+CC16+CD16+CE15+CF15+CG14+CH14+CI13+CJ13+CK12+CL12+CM11+CN11+CP9+CQ9)*-0.132/2,(CO10+CR8)*-0.132,(CQ7+CP7+CO7+CN7+CM7+CL7+CK6+CJ6+CI6+CH6+CG6+CF6)*-0.132/6,(CE5+CD5+CC5+CB5+CA5+BZ4+BY4+BX4+BW4+BV4)*-0.132/5,17)</f>
        <v>17.606861538461537</v>
      </c>
      <c r="U99" s="117">
        <f>Lefty!T99</f>
        <v>19.041938461538461</v>
      </c>
    </row>
    <row r="100" spans="2:21">
      <c r="B100" s="114">
        <v>18</v>
      </c>
      <c r="C100" s="74">
        <f t="shared" si="47"/>
        <v>16.75</v>
      </c>
      <c r="D100" s="74">
        <f t="shared" si="48"/>
        <v>15.5</v>
      </c>
      <c r="E100" s="74">
        <f t="shared" si="49"/>
        <v>14.25</v>
      </c>
      <c r="F100" s="114">
        <v>13</v>
      </c>
      <c r="G100" s="74">
        <f t="shared" si="50"/>
        <v>11.75</v>
      </c>
      <c r="H100" s="74">
        <f t="shared" si="51"/>
        <v>10.5</v>
      </c>
      <c r="I100" s="74">
        <f t="shared" si="52"/>
        <v>9.25</v>
      </c>
      <c r="J100" s="114">
        <f t="shared" si="53"/>
        <v>8</v>
      </c>
      <c r="K100" s="74">
        <f t="shared" si="54"/>
        <v>7.0625</v>
      </c>
      <c r="L100" s="74">
        <f t="shared" si="55"/>
        <v>6.125</v>
      </c>
      <c r="M100" s="74">
        <f t="shared" si="56"/>
        <v>5.1875</v>
      </c>
      <c r="N100" s="114">
        <f t="shared" si="67"/>
        <v>4.25</v>
      </c>
      <c r="O100" s="74">
        <f t="shared" si="64"/>
        <v>7.4375</v>
      </c>
      <c r="P100" s="74">
        <f t="shared" si="65"/>
        <v>10.625</v>
      </c>
      <c r="Q100" s="74">
        <f t="shared" si="66"/>
        <v>13.8125</v>
      </c>
      <c r="R100" s="114">
        <v>17</v>
      </c>
      <c r="S100" s="129"/>
      <c r="T100" s="117">
        <f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17.426461538461538</v>
      </c>
      <c r="U100" s="117">
        <f>Lefty!T100</f>
        <v>18.603824175824176</v>
      </c>
    </row>
    <row r="101" spans="2:21">
      <c r="B101" s="114">
        <v>19</v>
      </c>
      <c r="C101" s="74">
        <f t="shared" si="47"/>
        <v>17.5</v>
      </c>
      <c r="D101" s="74">
        <f t="shared" si="48"/>
        <v>16</v>
      </c>
      <c r="E101" s="74">
        <f t="shared" si="49"/>
        <v>14.5</v>
      </c>
      <c r="F101" s="114">
        <v>13</v>
      </c>
      <c r="G101" s="74">
        <f t="shared" si="50"/>
        <v>11.5</v>
      </c>
      <c r="H101" s="74">
        <f t="shared" si="51"/>
        <v>10</v>
      </c>
      <c r="I101" s="74">
        <f t="shared" si="52"/>
        <v>8.5</v>
      </c>
      <c r="J101" s="114">
        <f t="shared" si="53"/>
        <v>7</v>
      </c>
      <c r="K101" s="74">
        <f t="shared" si="54"/>
        <v>5.875</v>
      </c>
      <c r="L101" s="74">
        <f t="shared" si="55"/>
        <v>4.75</v>
      </c>
      <c r="M101" s="74">
        <f t="shared" si="56"/>
        <v>3.625</v>
      </c>
      <c r="N101" s="114">
        <f t="shared" si="67"/>
        <v>2.5</v>
      </c>
      <c r="O101" s="74">
        <f t="shared" si="64"/>
        <v>6.125</v>
      </c>
      <c r="P101" s="74">
        <f t="shared" si="65"/>
        <v>9.75</v>
      </c>
      <c r="Q101" s="74">
        <f t="shared" si="66"/>
        <v>13.375</v>
      </c>
      <c r="R101" s="114">
        <v>17</v>
      </c>
      <c r="S101" s="129"/>
      <c r="T101" s="117">
        <f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17.310175824175822</v>
      </c>
      <c r="U101" s="117">
        <f>Lefty!T101</f>
        <v>18.709895604395605</v>
      </c>
    </row>
    <row r="102" spans="2:21">
      <c r="B102" s="114"/>
      <c r="C102" s="74"/>
      <c r="D102" s="74"/>
      <c r="E102" s="74"/>
      <c r="F102" s="114"/>
      <c r="G102" s="74"/>
      <c r="H102" s="74"/>
      <c r="I102" s="74"/>
      <c r="J102" s="114"/>
      <c r="K102" s="74"/>
      <c r="L102" s="74"/>
      <c r="M102" s="74"/>
      <c r="N102" s="114"/>
      <c r="O102" s="74"/>
      <c r="P102" s="74"/>
      <c r="Q102" s="74"/>
      <c r="R102" s="114"/>
      <c r="S102" s="129"/>
    </row>
    <row r="103" spans="2:21">
      <c r="B103" s="114">
        <v>13</v>
      </c>
      <c r="C103" s="74">
        <f t="shared" si="47"/>
        <v>13.25</v>
      </c>
      <c r="D103" s="74">
        <f t="shared" si="48"/>
        <v>13.5</v>
      </c>
      <c r="E103" s="74">
        <f t="shared" si="49"/>
        <v>13.75</v>
      </c>
      <c r="F103" s="114">
        <v>14</v>
      </c>
      <c r="G103" s="74">
        <f t="shared" si="50"/>
        <v>14.25</v>
      </c>
      <c r="H103" s="74">
        <f t="shared" si="51"/>
        <v>14.5</v>
      </c>
      <c r="I103" s="74">
        <f t="shared" si="52"/>
        <v>14.75</v>
      </c>
      <c r="J103" s="114">
        <f t="shared" si="53"/>
        <v>15</v>
      </c>
      <c r="K103" s="74">
        <f t="shared" si="54"/>
        <v>15.25</v>
      </c>
      <c r="L103" s="74">
        <f t="shared" si="55"/>
        <v>15.5</v>
      </c>
      <c r="M103" s="74">
        <f t="shared" si="56"/>
        <v>15.75</v>
      </c>
      <c r="N103" s="114">
        <f>SUM(J103,J103,-F103)</f>
        <v>16</v>
      </c>
      <c r="O103" s="74">
        <f t="shared" ref="O103:O111" si="68">SUM(0.25*(R103-N103),N103)</f>
        <v>16.25</v>
      </c>
      <c r="P103" s="74">
        <f t="shared" ref="P103:P111" si="69">SUM(0.5*(R103-N103),N103)</f>
        <v>16.5</v>
      </c>
      <c r="Q103" s="74">
        <f t="shared" ref="Q103:Q111" si="70">SUM(0.75*(R103-N103),N103)</f>
        <v>16.75</v>
      </c>
      <c r="R103" s="114">
        <v>17</v>
      </c>
      <c r="S103" s="129"/>
      <c r="T103" s="117">
        <f>SUM((CD20+CC19+CC18+CB17+CB16+CA15+CA14+BZ13+BZ12+BY11+BY10+BX9+BX8+BW7+BW6+BV5+BV4)*-0.132,17)</f>
        <v>16.74446153846154</v>
      </c>
      <c r="U103" s="117">
        <f>Lefty!T103</f>
        <v>18.17953846153846</v>
      </c>
    </row>
    <row r="104" spans="2:21">
      <c r="B104" s="114">
        <v>14</v>
      </c>
      <c r="C104" s="74">
        <f t="shared" si="47"/>
        <v>14</v>
      </c>
      <c r="D104" s="74">
        <f t="shared" si="48"/>
        <v>14</v>
      </c>
      <c r="E104" s="74">
        <f t="shared" si="49"/>
        <v>14</v>
      </c>
      <c r="F104" s="114">
        <v>14</v>
      </c>
      <c r="G104" s="74">
        <f t="shared" si="50"/>
        <v>14</v>
      </c>
      <c r="H104" s="74">
        <f t="shared" si="51"/>
        <v>14</v>
      </c>
      <c r="I104" s="74">
        <f t="shared" si="52"/>
        <v>14</v>
      </c>
      <c r="J104" s="114">
        <f t="shared" si="53"/>
        <v>14</v>
      </c>
      <c r="K104" s="74">
        <f t="shared" si="54"/>
        <v>14.15</v>
      </c>
      <c r="L104" s="74">
        <f t="shared" si="55"/>
        <v>14.3</v>
      </c>
      <c r="M104" s="74">
        <f t="shared" si="56"/>
        <v>14.45</v>
      </c>
      <c r="N104" s="114">
        <f>SUM(F104,-B104,J104,0.25*ABS(J104-F104),0.2*(17-F104))</f>
        <v>14.6</v>
      </c>
      <c r="O104" s="74">
        <f t="shared" si="68"/>
        <v>15.2</v>
      </c>
      <c r="P104" s="74">
        <f t="shared" si="69"/>
        <v>15.8</v>
      </c>
      <c r="Q104" s="74">
        <f t="shared" si="70"/>
        <v>16.399999999999999</v>
      </c>
      <c r="R104" s="114">
        <v>17</v>
      </c>
      <c r="S104" s="129"/>
      <c r="T104" s="117">
        <f>SUM((CB20+CB19+CB18+CB17+CB16+CB15+CB14+CB13+CB12+CA11+CA10+BZ9+BZ8+BY7+BX6+BW5+BV4)*-0.132,17)</f>
        <v>17.40446153846154</v>
      </c>
      <c r="U104" s="117">
        <f>Lefty!T104</f>
        <v>19.631538461538462</v>
      </c>
    </row>
    <row r="105" spans="2:21">
      <c r="B105" s="114">
        <v>15</v>
      </c>
      <c r="C105" s="74">
        <f t="shared" si="47"/>
        <v>14.75</v>
      </c>
      <c r="D105" s="74">
        <f t="shared" si="48"/>
        <v>14.5</v>
      </c>
      <c r="E105" s="74">
        <f t="shared" si="49"/>
        <v>14.25</v>
      </c>
      <c r="F105" s="114">
        <v>14</v>
      </c>
      <c r="G105" s="74">
        <f t="shared" si="50"/>
        <v>13.75</v>
      </c>
      <c r="H105" s="74">
        <f t="shared" si="51"/>
        <v>13.5</v>
      </c>
      <c r="I105" s="74">
        <f t="shared" si="52"/>
        <v>13.25</v>
      </c>
      <c r="J105" s="114">
        <f t="shared" si="53"/>
        <v>13</v>
      </c>
      <c r="K105" s="74">
        <f t="shared" si="54"/>
        <v>12.8125</v>
      </c>
      <c r="L105" s="74">
        <f t="shared" si="55"/>
        <v>12.625</v>
      </c>
      <c r="M105" s="74">
        <f t="shared" si="56"/>
        <v>12.4375</v>
      </c>
      <c r="N105" s="114">
        <f t="shared" ref="N105:N111" si="71">SUM(F105,-B105,J105,0.25*ABS(J105-F105))</f>
        <v>12.25</v>
      </c>
      <c r="O105" s="74">
        <f t="shared" si="68"/>
        <v>13.4375</v>
      </c>
      <c r="P105" s="74">
        <f t="shared" si="69"/>
        <v>14.625</v>
      </c>
      <c r="Q105" s="74">
        <f t="shared" si="70"/>
        <v>15.8125</v>
      </c>
      <c r="R105" s="114">
        <v>17</v>
      </c>
      <c r="S105" s="129"/>
      <c r="T105" s="117">
        <f>SUM((BZ20+CA19+CA18+CB17+CB16+CC15+CC14+CD13+CD12+CE11+CE10+CD9+CD8)*-0.132,(CC7+CB7+CA6+BZ6+BY5+BX5+BW4+BV4)*-0.132/2,17)</f>
        <v>16.480461538461537</v>
      </c>
      <c r="U105" s="117">
        <f>Lefty!T105</f>
        <v>19.235538461538461</v>
      </c>
    </row>
    <row r="106" spans="2:21">
      <c r="B106" s="114">
        <v>16</v>
      </c>
      <c r="C106" s="74">
        <f t="shared" si="47"/>
        <v>15.5</v>
      </c>
      <c r="D106" s="74">
        <f t="shared" si="48"/>
        <v>15</v>
      </c>
      <c r="E106" s="74">
        <f t="shared" si="49"/>
        <v>14.5</v>
      </c>
      <c r="F106" s="114">
        <v>14</v>
      </c>
      <c r="G106" s="74">
        <f t="shared" si="50"/>
        <v>13.5</v>
      </c>
      <c r="H106" s="74">
        <f t="shared" si="51"/>
        <v>13</v>
      </c>
      <c r="I106" s="74">
        <f t="shared" si="52"/>
        <v>12.5</v>
      </c>
      <c r="J106" s="114">
        <f t="shared" si="53"/>
        <v>12</v>
      </c>
      <c r="K106" s="74">
        <f t="shared" si="54"/>
        <v>11.625</v>
      </c>
      <c r="L106" s="74">
        <f t="shared" si="55"/>
        <v>11.25</v>
      </c>
      <c r="M106" s="74">
        <f t="shared" si="56"/>
        <v>10.875</v>
      </c>
      <c r="N106" s="114">
        <f t="shared" si="71"/>
        <v>10.5</v>
      </c>
      <c r="O106" s="74">
        <f t="shared" si="68"/>
        <v>12.125</v>
      </c>
      <c r="P106" s="74">
        <f t="shared" si="69"/>
        <v>13.75</v>
      </c>
      <c r="Q106" s="74">
        <f t="shared" si="70"/>
        <v>15.375</v>
      </c>
      <c r="R106" s="114">
        <v>17</v>
      </c>
      <c r="S106" s="129"/>
      <c r="T106" s="117">
        <f>SUM((BX20+BY19+BZ18+CA17+CB16+CC15+CD14+CE13+CF12+CG11+CG10+CH9+CH8)*-0.132,(CG7+CF7+CE7+CD6+CC6+CB6+CA5+BZ5+BY5+BX4+BW4+BV4)*-0.132/3,17)</f>
        <v>17.492461538461537</v>
      </c>
      <c r="U106" s="117">
        <f>Lefty!T106</f>
        <v>19.279538461538461</v>
      </c>
    </row>
    <row r="107" spans="2:21">
      <c r="B107" s="114">
        <v>17</v>
      </c>
      <c r="C107" s="74">
        <f t="shared" si="47"/>
        <v>16.25</v>
      </c>
      <c r="D107" s="74">
        <f t="shared" si="48"/>
        <v>15.5</v>
      </c>
      <c r="E107" s="74">
        <f t="shared" si="49"/>
        <v>14.75</v>
      </c>
      <c r="F107" s="114">
        <v>14</v>
      </c>
      <c r="G107" s="74">
        <f t="shared" si="50"/>
        <v>13.25</v>
      </c>
      <c r="H107" s="74">
        <f t="shared" si="51"/>
        <v>12.5</v>
      </c>
      <c r="I107" s="74">
        <f t="shared" si="52"/>
        <v>11.75</v>
      </c>
      <c r="J107" s="114">
        <f t="shared" si="53"/>
        <v>11</v>
      </c>
      <c r="K107" s="74">
        <f t="shared" si="54"/>
        <v>10.4375</v>
      </c>
      <c r="L107" s="74">
        <f t="shared" si="55"/>
        <v>9.875</v>
      </c>
      <c r="M107" s="74">
        <f t="shared" si="56"/>
        <v>9.3125</v>
      </c>
      <c r="N107" s="114">
        <f t="shared" si="71"/>
        <v>8.75</v>
      </c>
      <c r="O107" s="74">
        <f t="shared" si="68"/>
        <v>10.8125</v>
      </c>
      <c r="P107" s="74">
        <f t="shared" si="69"/>
        <v>12.875</v>
      </c>
      <c r="Q107" s="74">
        <f t="shared" si="70"/>
        <v>14.9375</v>
      </c>
      <c r="R107" s="114">
        <v>17</v>
      </c>
      <c r="S107" s="129"/>
      <c r="T107" s="117">
        <f>SUM((BV20+BY18+CB16+CE14+CH12+CI11+CJ10+CK9+CL8)*-0.132,(BW19+BX19+BZ17+CA17+CC15+CD15+CF13+CG13)*-0.132/2,(CK7+CJ7+CI7+CH7+CG6+CF6+CE6+CD6+CC5+CB5+CA5+BZ5+BY4+BX4+BW4+BV4)*-0.132/4,17)</f>
        <v>17.767461538461539</v>
      </c>
      <c r="U107" s="117">
        <f>Lefty!T107</f>
        <v>19.004538461538459</v>
      </c>
    </row>
    <row r="108" spans="2:21">
      <c r="B108" s="114">
        <v>18</v>
      </c>
      <c r="C108" s="74">
        <f t="shared" si="47"/>
        <v>17</v>
      </c>
      <c r="D108" s="74">
        <f t="shared" si="48"/>
        <v>16</v>
      </c>
      <c r="E108" s="74">
        <f t="shared" si="49"/>
        <v>15</v>
      </c>
      <c r="F108" s="114">
        <v>14</v>
      </c>
      <c r="G108" s="74">
        <f t="shared" si="50"/>
        <v>13</v>
      </c>
      <c r="H108" s="74">
        <f t="shared" si="51"/>
        <v>12</v>
      </c>
      <c r="I108" s="74">
        <f t="shared" si="52"/>
        <v>11</v>
      </c>
      <c r="J108" s="114">
        <f t="shared" si="53"/>
        <v>10</v>
      </c>
      <c r="K108" s="74">
        <f t="shared" si="54"/>
        <v>9.25</v>
      </c>
      <c r="L108" s="74">
        <f t="shared" si="55"/>
        <v>8.5</v>
      </c>
      <c r="M108" s="74">
        <f t="shared" si="56"/>
        <v>7.75</v>
      </c>
      <c r="N108" s="114">
        <f t="shared" si="71"/>
        <v>7</v>
      </c>
      <c r="O108" s="74">
        <f t="shared" si="68"/>
        <v>9.5</v>
      </c>
      <c r="P108" s="74">
        <f t="shared" si="69"/>
        <v>12</v>
      </c>
      <c r="Q108" s="74">
        <f t="shared" si="70"/>
        <v>14.5</v>
      </c>
      <c r="R108" s="114">
        <v>17</v>
      </c>
      <c r="S108" s="129"/>
      <c r="T108" s="117">
        <f>SUM((BT20+CM10+CP8)*-0.132,(BU19+BV19+BW18+BX18+BY17+BZ17+CA16+CB16+CC15+CD15+CE14+CF14+CG13+CH13+CI12+CJ12+CK11+CL11+CN9+CO9)*-0.132/2,(CO7+CN7+CM7+CL7+CK7+CJ6+CI6+CH6+CG6+CF6+CE5+CD5+CC5+CB5+CA5+BZ4+BY4+BX4+BW4+BV4)*-0.132/5,17)</f>
        <v>17.246061538461539</v>
      </c>
      <c r="U108" s="117">
        <f>Lefty!T108</f>
        <v>18.549138461538462</v>
      </c>
    </row>
    <row r="109" spans="2:21">
      <c r="B109" s="114">
        <v>19</v>
      </c>
      <c r="C109" s="74">
        <f t="shared" si="47"/>
        <v>17.75</v>
      </c>
      <c r="D109" s="74">
        <f t="shared" si="48"/>
        <v>16.5</v>
      </c>
      <c r="E109" s="74">
        <f t="shared" si="49"/>
        <v>15.25</v>
      </c>
      <c r="F109" s="114">
        <v>14</v>
      </c>
      <c r="G109" s="74">
        <f t="shared" si="50"/>
        <v>12.75</v>
      </c>
      <c r="H109" s="74">
        <f t="shared" si="51"/>
        <v>11.5</v>
      </c>
      <c r="I109" s="74">
        <f t="shared" si="52"/>
        <v>10.25</v>
      </c>
      <c r="J109" s="114">
        <f t="shared" si="53"/>
        <v>9</v>
      </c>
      <c r="K109" s="74">
        <f t="shared" si="54"/>
        <v>8.0625</v>
      </c>
      <c r="L109" s="74">
        <f t="shared" si="55"/>
        <v>7.125</v>
      </c>
      <c r="M109" s="74">
        <f t="shared" si="56"/>
        <v>6.1875</v>
      </c>
      <c r="N109" s="114">
        <f t="shared" si="71"/>
        <v>5.25</v>
      </c>
      <c r="O109" s="74">
        <f t="shared" si="68"/>
        <v>8.1875</v>
      </c>
      <c r="P109" s="74">
        <f t="shared" si="69"/>
        <v>11.125</v>
      </c>
      <c r="Q109" s="74">
        <f t="shared" si="70"/>
        <v>14.0625</v>
      </c>
      <c r="R109" s="114">
        <v>17</v>
      </c>
      <c r="S109" s="129"/>
      <c r="T109" s="117">
        <f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17.382461538461538</v>
      </c>
      <c r="U109" s="117">
        <f>Lefty!T109</f>
        <v>18.575538461538461</v>
      </c>
    </row>
    <row r="110" spans="2:21">
      <c r="B110" s="114">
        <v>20</v>
      </c>
      <c r="C110" s="74">
        <f t="shared" si="47"/>
        <v>18.5</v>
      </c>
      <c r="D110" s="74">
        <f t="shared" si="48"/>
        <v>17</v>
      </c>
      <c r="E110" s="74">
        <f t="shared" si="49"/>
        <v>15.5</v>
      </c>
      <c r="F110" s="114">
        <v>14</v>
      </c>
      <c r="G110" s="74">
        <f t="shared" si="50"/>
        <v>12.5</v>
      </c>
      <c r="H110" s="74">
        <f t="shared" si="51"/>
        <v>11</v>
      </c>
      <c r="I110" s="74">
        <f t="shared" si="52"/>
        <v>9.5</v>
      </c>
      <c r="J110" s="114">
        <f t="shared" si="53"/>
        <v>8</v>
      </c>
      <c r="K110" s="74">
        <f t="shared" si="54"/>
        <v>6.875</v>
      </c>
      <c r="L110" s="74">
        <f t="shared" si="55"/>
        <v>5.75</v>
      </c>
      <c r="M110" s="74">
        <f t="shared" si="56"/>
        <v>4.625</v>
      </c>
      <c r="N110" s="114">
        <f t="shared" si="71"/>
        <v>3.5</v>
      </c>
      <c r="O110" s="74">
        <f t="shared" si="68"/>
        <v>6.875</v>
      </c>
      <c r="P110" s="74">
        <f t="shared" si="69"/>
        <v>10.25</v>
      </c>
      <c r="Q110" s="74">
        <f t="shared" si="70"/>
        <v>13.625</v>
      </c>
      <c r="R110" s="114">
        <v>17</v>
      </c>
      <c r="S110" s="129"/>
      <c r="T110" s="117">
        <f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17.178175824175824</v>
      </c>
      <c r="U110" s="117">
        <f>Lefty!T110</f>
        <v>18.292681318681318</v>
      </c>
    </row>
    <row r="111" spans="2:21">
      <c r="B111" s="114">
        <v>21</v>
      </c>
      <c r="C111" s="74">
        <f t="shared" si="47"/>
        <v>19.25</v>
      </c>
      <c r="D111" s="74">
        <f t="shared" si="48"/>
        <v>17.5</v>
      </c>
      <c r="E111" s="74">
        <f t="shared" si="49"/>
        <v>15.75</v>
      </c>
      <c r="F111" s="114">
        <v>14</v>
      </c>
      <c r="G111" s="74">
        <f t="shared" si="50"/>
        <v>12.25</v>
      </c>
      <c r="H111" s="74">
        <f t="shared" si="51"/>
        <v>10.5</v>
      </c>
      <c r="I111" s="74">
        <f t="shared" si="52"/>
        <v>8.75</v>
      </c>
      <c r="J111" s="114">
        <f t="shared" si="53"/>
        <v>7</v>
      </c>
      <c r="K111" s="74">
        <f t="shared" si="54"/>
        <v>5.6875</v>
      </c>
      <c r="L111" s="74">
        <f t="shared" si="55"/>
        <v>4.375</v>
      </c>
      <c r="M111" s="74">
        <f t="shared" si="56"/>
        <v>3.0625</v>
      </c>
      <c r="N111" s="114">
        <f t="shared" si="71"/>
        <v>1.75</v>
      </c>
      <c r="O111" s="74">
        <f t="shared" si="68"/>
        <v>5.5625</v>
      </c>
      <c r="P111" s="74">
        <f t="shared" si="69"/>
        <v>9.375</v>
      </c>
      <c r="Q111" s="74">
        <f t="shared" si="70"/>
        <v>13.1875</v>
      </c>
      <c r="R111" s="114">
        <v>17</v>
      </c>
      <c r="S111" s="129"/>
      <c r="T111" s="117">
        <f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17.112961538461537</v>
      </c>
      <c r="U111" s="117">
        <f>Lefty!T111</f>
        <v>18.43253846153846</v>
      </c>
    </row>
    <row r="112" spans="2:21">
      <c r="B112" s="114"/>
      <c r="C112" s="74"/>
      <c r="D112" s="74"/>
      <c r="E112" s="74"/>
      <c r="F112" s="114"/>
      <c r="G112" s="74"/>
      <c r="H112" s="74"/>
      <c r="I112" s="74"/>
      <c r="J112" s="114"/>
      <c r="K112" s="74"/>
      <c r="L112" s="74"/>
      <c r="M112" s="74"/>
      <c r="N112" s="114"/>
      <c r="O112" s="74"/>
      <c r="P112" s="74"/>
      <c r="Q112" s="74"/>
      <c r="R112" s="114"/>
      <c r="S112" s="129"/>
    </row>
    <row r="113" spans="2:21">
      <c r="B113" s="114">
        <v>15</v>
      </c>
      <c r="C113" s="74">
        <f t="shared" si="47"/>
        <v>15</v>
      </c>
      <c r="D113" s="74">
        <f t="shared" si="48"/>
        <v>15</v>
      </c>
      <c r="E113" s="74">
        <f t="shared" si="49"/>
        <v>15</v>
      </c>
      <c r="F113" s="114">
        <v>15</v>
      </c>
      <c r="G113" s="74">
        <f t="shared" si="50"/>
        <v>15</v>
      </c>
      <c r="H113" s="74">
        <f t="shared" si="51"/>
        <v>15</v>
      </c>
      <c r="I113" s="74">
        <f t="shared" si="52"/>
        <v>15</v>
      </c>
      <c r="J113" s="114">
        <f t="shared" si="53"/>
        <v>15</v>
      </c>
      <c r="K113" s="74">
        <f t="shared" si="54"/>
        <v>15.1</v>
      </c>
      <c r="L113" s="74">
        <f t="shared" si="55"/>
        <v>15.2</v>
      </c>
      <c r="M113" s="74">
        <f t="shared" si="56"/>
        <v>15.3</v>
      </c>
      <c r="N113" s="114">
        <f>SUM(F113,-B113,J113,0.25*ABS(J113-F113),0.2*(17-F113))</f>
        <v>15.4</v>
      </c>
      <c r="O113" s="74">
        <f t="shared" ref="O113:O121" si="72">SUM(0.25*(R113-N113),N113)</f>
        <v>15.8</v>
      </c>
      <c r="P113" s="74">
        <f t="shared" ref="P113:P121" si="73">SUM(0.5*(R113-N113),N113)</f>
        <v>16.2</v>
      </c>
      <c r="Q113" s="74">
        <f t="shared" ref="Q113:Q121" si="74">SUM(0.75*(R113-N113),N113)</f>
        <v>16.600000000000001</v>
      </c>
      <c r="R113" s="114">
        <v>17</v>
      </c>
      <c r="S113" s="129"/>
      <c r="T113" s="117">
        <f>SUM((BZ20+BZ19+BZ18+BZ17+BZ16+BZ15+BZ14+BZ13+BZ12+BZ11+BZ10+BZ9+BY8+BX6+BW5+BV4+BY7)*-0.132,17)</f>
        <v>16.74446153846154</v>
      </c>
      <c r="U113" s="117">
        <f>Lefty!T113</f>
        <v>18.707538461538462</v>
      </c>
    </row>
    <row r="114" spans="2:21">
      <c r="B114" s="114">
        <v>16</v>
      </c>
      <c r="C114" s="74">
        <f t="shared" si="47"/>
        <v>15.75</v>
      </c>
      <c r="D114" s="74">
        <f t="shared" si="48"/>
        <v>15.5</v>
      </c>
      <c r="E114" s="74">
        <f t="shared" si="49"/>
        <v>15.25</v>
      </c>
      <c r="F114" s="114">
        <v>15</v>
      </c>
      <c r="G114" s="74">
        <f t="shared" si="50"/>
        <v>14.75</v>
      </c>
      <c r="H114" s="74">
        <f t="shared" si="51"/>
        <v>14.5</v>
      </c>
      <c r="I114" s="74">
        <f t="shared" si="52"/>
        <v>14.25</v>
      </c>
      <c r="J114" s="114">
        <f t="shared" si="53"/>
        <v>14</v>
      </c>
      <c r="K114" s="74">
        <f t="shared" si="54"/>
        <v>13.8125</v>
      </c>
      <c r="L114" s="74">
        <f t="shared" si="55"/>
        <v>13.625</v>
      </c>
      <c r="M114" s="74">
        <f t="shared" si="56"/>
        <v>13.4375</v>
      </c>
      <c r="N114" s="114">
        <f t="shared" ref="N114:N121" si="75">SUM(F114,-B114,J114,0.25*ABS(J114-F114))</f>
        <v>13.25</v>
      </c>
      <c r="O114" s="74">
        <f t="shared" si="72"/>
        <v>14.1875</v>
      </c>
      <c r="P114" s="74">
        <f t="shared" si="73"/>
        <v>15.125</v>
      </c>
      <c r="Q114" s="74">
        <f t="shared" si="74"/>
        <v>16.0625</v>
      </c>
      <c r="R114" s="114">
        <v>17</v>
      </c>
      <c r="S114" s="129"/>
      <c r="T114" s="117">
        <f>SUM((BX20+BY19+BY18+BZ17+BZ16+CA15+CA14+CB13+CB12+CC11+CC10+CB9+CB8+BW5+BV4)*-0.132,(CA7+BZ7+BY6+BX6)*-0.132/2,17)</f>
        <v>16.74446153846154</v>
      </c>
      <c r="U114" s="117">
        <f>Lefty!T114</f>
        <v>19.30153846153846</v>
      </c>
    </row>
    <row r="115" spans="2:21">
      <c r="B115" s="114">
        <v>17</v>
      </c>
      <c r="C115" s="74">
        <f t="shared" ref="C115:C188" si="76">SUM(0.25*(F115-B115),B115)</f>
        <v>16.5</v>
      </c>
      <c r="D115" s="74">
        <f t="shared" ref="D115:D188" si="77">SUM(0.5*(F115-B115)+B115)</f>
        <v>16</v>
      </c>
      <c r="E115" s="74">
        <f t="shared" ref="E115:E188" si="78">SUM(0.75*(F115-B115),B115)</f>
        <v>15.5</v>
      </c>
      <c r="F115" s="114">
        <v>15</v>
      </c>
      <c r="G115" s="74">
        <f t="shared" ref="G115:G188" si="79">SUM(0.25*(J115-F115),F115)</f>
        <v>14.5</v>
      </c>
      <c r="H115" s="74">
        <f t="shared" ref="H115:H188" si="80">SUM(0.5*(J115-F115),F115)</f>
        <v>14</v>
      </c>
      <c r="I115" s="74">
        <f t="shared" ref="I115:I188" si="81">SUM(0.75*(J115-F115),F115)</f>
        <v>13.5</v>
      </c>
      <c r="J115" s="114">
        <f t="shared" ref="J115:J188" si="82">SUM(F115,-B115,F115)</f>
        <v>13</v>
      </c>
      <c r="K115" s="74">
        <f t="shared" ref="K115:K188" si="83">SUM(0.25*(N115-J115),J115)</f>
        <v>12.625</v>
      </c>
      <c r="L115" s="74">
        <f t="shared" ref="L115:L188" si="84">SUM(0.5*(N115-J115),J115)</f>
        <v>12.25</v>
      </c>
      <c r="M115" s="74">
        <f t="shared" ref="M115:M188" si="85">SUM(0.75*(N115-J115),J115)</f>
        <v>11.875</v>
      </c>
      <c r="N115" s="114">
        <f t="shared" si="75"/>
        <v>11.5</v>
      </c>
      <c r="O115" s="74">
        <f t="shared" si="72"/>
        <v>12.875</v>
      </c>
      <c r="P115" s="74">
        <f t="shared" si="73"/>
        <v>14.25</v>
      </c>
      <c r="Q115" s="74">
        <f t="shared" si="74"/>
        <v>15.625</v>
      </c>
      <c r="R115" s="114">
        <v>17</v>
      </c>
      <c r="S115" s="129"/>
      <c r="T115" s="117">
        <f>SUM((BV20+BW19+BX18+BY17+BZ16+CA15+CB14+CC13+CD12+CE11+CE10+CF9+CF8)*-0.132,(CE7+CD7+CC7+CB6+CA6+BZ6)*-0.132/3,(BY5+BX5+BW4+BV4)*-0.132/2,17)</f>
        <v>16.59046153846154</v>
      </c>
      <c r="U115" s="117">
        <f>Lefty!T115</f>
        <v>19.367538461538462</v>
      </c>
    </row>
    <row r="116" spans="2:21">
      <c r="B116" s="114">
        <v>18</v>
      </c>
      <c r="C116" s="74">
        <f t="shared" si="76"/>
        <v>17.25</v>
      </c>
      <c r="D116" s="74">
        <f t="shared" si="77"/>
        <v>16.5</v>
      </c>
      <c r="E116" s="74">
        <f t="shared" si="78"/>
        <v>15.75</v>
      </c>
      <c r="F116" s="114">
        <v>15</v>
      </c>
      <c r="G116" s="74">
        <f t="shared" si="79"/>
        <v>14.25</v>
      </c>
      <c r="H116" s="74">
        <f t="shared" si="80"/>
        <v>13.5</v>
      </c>
      <c r="I116" s="74">
        <f t="shared" si="81"/>
        <v>12.75</v>
      </c>
      <c r="J116" s="114">
        <f t="shared" si="82"/>
        <v>12</v>
      </c>
      <c r="K116" s="74">
        <f t="shared" si="83"/>
        <v>11.4375</v>
      </c>
      <c r="L116" s="74">
        <f t="shared" si="84"/>
        <v>10.875</v>
      </c>
      <c r="M116" s="74">
        <f t="shared" si="85"/>
        <v>10.3125</v>
      </c>
      <c r="N116" s="114">
        <f t="shared" si="75"/>
        <v>9.75</v>
      </c>
      <c r="O116" s="74">
        <f t="shared" si="72"/>
        <v>11.5625</v>
      </c>
      <c r="P116" s="74">
        <f t="shared" si="73"/>
        <v>13.375</v>
      </c>
      <c r="Q116" s="74">
        <f t="shared" si="74"/>
        <v>15.1875</v>
      </c>
      <c r="R116" s="114">
        <v>17</v>
      </c>
      <c r="S116" s="129"/>
      <c r="T116" s="117">
        <f>SUM((BT20+BW18+BZ16+CC14+CF12+CG11+CH10+CI9+CJ8)*-0.132,(BU19+BV19+BX17+BY17+CA15+CB15+CD13+CE13)*-0.132/2,(CI7+CH7+CG7+CF7+CE6+CD6+CC6+CB6)*-0.132/4,(CA5+BZ5+BY5+BX4+BW4+BV4)*-0.132/3,17)</f>
        <v>16.953461538461539</v>
      </c>
      <c r="U116" s="117">
        <f>Lefty!T116</f>
        <v>18.78453846153846</v>
      </c>
    </row>
    <row r="117" spans="2:21">
      <c r="B117" s="114">
        <v>19</v>
      </c>
      <c r="C117" s="74">
        <f t="shared" si="76"/>
        <v>18</v>
      </c>
      <c r="D117" s="74">
        <f t="shared" si="77"/>
        <v>17</v>
      </c>
      <c r="E117" s="74">
        <f t="shared" si="78"/>
        <v>16</v>
      </c>
      <c r="F117" s="114">
        <v>15</v>
      </c>
      <c r="G117" s="74">
        <f t="shared" si="79"/>
        <v>14</v>
      </c>
      <c r="H117" s="74">
        <f t="shared" si="80"/>
        <v>13</v>
      </c>
      <c r="I117" s="74">
        <f t="shared" si="81"/>
        <v>12</v>
      </c>
      <c r="J117" s="114">
        <f t="shared" si="82"/>
        <v>11</v>
      </c>
      <c r="K117" s="74">
        <f t="shared" si="83"/>
        <v>10.25</v>
      </c>
      <c r="L117" s="74">
        <f t="shared" si="84"/>
        <v>9.5</v>
      </c>
      <c r="M117" s="74">
        <f t="shared" si="85"/>
        <v>8.75</v>
      </c>
      <c r="N117" s="114">
        <f t="shared" si="75"/>
        <v>8</v>
      </c>
      <c r="O117" s="74">
        <f t="shared" si="72"/>
        <v>10.25</v>
      </c>
      <c r="P117" s="74">
        <f t="shared" si="73"/>
        <v>12.5</v>
      </c>
      <c r="Q117" s="74">
        <f t="shared" si="74"/>
        <v>14.75</v>
      </c>
      <c r="R117" s="114">
        <v>17</v>
      </c>
      <c r="S117" s="129"/>
      <c r="T117" s="117">
        <f>SUM((BR20+CK10+CN8)*-0.132,(BS19+BT19+BU18+BV18+BW17+BX17+BY16+BZ16+CA15+CB15+CC14+CD14+CE13+CF13+CG12+CH12+CI11+CJ11+CL9+CM9)*-0.132/2,(CM7+CL7+CK7+CJ7+CI7+CH6+CG6+CF6+CE6+CD6)*-0.132/5,(CC5+CB5+CA5+BZ5+BY4+BX4+BW4+BV4)*-0.132/4,17)</f>
        <v>16.995261538461538</v>
      </c>
      <c r="U117" s="117">
        <f>Lefty!T117</f>
        <v>18.872538461538461</v>
      </c>
    </row>
    <row r="118" spans="2:21">
      <c r="B118" s="114">
        <v>20</v>
      </c>
      <c r="C118" s="74">
        <f t="shared" si="76"/>
        <v>18.75</v>
      </c>
      <c r="D118" s="74">
        <f t="shared" si="77"/>
        <v>17.5</v>
      </c>
      <c r="E118" s="74">
        <f t="shared" si="78"/>
        <v>16.25</v>
      </c>
      <c r="F118" s="114">
        <v>15</v>
      </c>
      <c r="G118" s="74">
        <f t="shared" si="79"/>
        <v>13.75</v>
      </c>
      <c r="H118" s="74">
        <f t="shared" si="80"/>
        <v>12.5</v>
      </c>
      <c r="I118" s="74">
        <f t="shared" si="81"/>
        <v>11.25</v>
      </c>
      <c r="J118" s="114">
        <f t="shared" si="82"/>
        <v>10</v>
      </c>
      <c r="K118" s="74">
        <f t="shared" si="83"/>
        <v>9.0625</v>
      </c>
      <c r="L118" s="74">
        <f t="shared" si="84"/>
        <v>8.125</v>
      </c>
      <c r="M118" s="74">
        <f t="shared" si="85"/>
        <v>7.1875</v>
      </c>
      <c r="N118" s="114">
        <f t="shared" si="75"/>
        <v>6.25</v>
      </c>
      <c r="O118" s="74">
        <f t="shared" si="72"/>
        <v>8.9375</v>
      </c>
      <c r="P118" s="74">
        <f t="shared" si="73"/>
        <v>11.625</v>
      </c>
      <c r="Q118" s="74">
        <f t="shared" si="74"/>
        <v>14.3125</v>
      </c>
      <c r="R118" s="114">
        <v>17</v>
      </c>
      <c r="S118" s="129"/>
      <c r="T118" s="117">
        <f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16.946861538461537</v>
      </c>
      <c r="U118" s="117">
        <f>Lefty!T118</f>
        <v>18.469938461538462</v>
      </c>
    </row>
    <row r="119" spans="2:21">
      <c r="B119" s="114">
        <v>21</v>
      </c>
      <c r="C119" s="74">
        <f t="shared" si="76"/>
        <v>19.5</v>
      </c>
      <c r="D119" s="74">
        <f t="shared" si="77"/>
        <v>18</v>
      </c>
      <c r="E119" s="74">
        <f t="shared" si="78"/>
        <v>16.5</v>
      </c>
      <c r="F119" s="114">
        <v>15</v>
      </c>
      <c r="G119" s="74">
        <f t="shared" si="79"/>
        <v>13.5</v>
      </c>
      <c r="H119" s="74">
        <f t="shared" si="80"/>
        <v>12</v>
      </c>
      <c r="I119" s="74">
        <f t="shared" si="81"/>
        <v>10.5</v>
      </c>
      <c r="J119" s="114">
        <f t="shared" si="82"/>
        <v>9</v>
      </c>
      <c r="K119" s="74">
        <f t="shared" si="83"/>
        <v>7.875</v>
      </c>
      <c r="L119" s="74">
        <f t="shared" si="84"/>
        <v>6.75</v>
      </c>
      <c r="M119" s="74">
        <f t="shared" si="85"/>
        <v>5.625</v>
      </c>
      <c r="N119" s="114">
        <f t="shared" si="75"/>
        <v>4.5</v>
      </c>
      <c r="O119" s="74">
        <f t="shared" si="72"/>
        <v>7.625</v>
      </c>
      <c r="P119" s="74">
        <f t="shared" si="73"/>
        <v>10.75</v>
      </c>
      <c r="Q119" s="74">
        <f t="shared" si="74"/>
        <v>13.875</v>
      </c>
      <c r="R119" s="114">
        <v>17</v>
      </c>
      <c r="S119" s="129"/>
      <c r="T119" s="117">
        <f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16.920461538461538</v>
      </c>
      <c r="U119" s="117">
        <f>Lefty!T119</f>
        <v>18.097824175824176</v>
      </c>
    </row>
    <row r="120" spans="2:21">
      <c r="B120" s="114">
        <v>22</v>
      </c>
      <c r="C120" s="74">
        <f t="shared" si="76"/>
        <v>20.25</v>
      </c>
      <c r="D120" s="74">
        <f t="shared" si="77"/>
        <v>18.5</v>
      </c>
      <c r="E120" s="74">
        <f t="shared" si="78"/>
        <v>16.75</v>
      </c>
      <c r="F120" s="114">
        <v>15</v>
      </c>
      <c r="G120" s="74">
        <f t="shared" si="79"/>
        <v>13.25</v>
      </c>
      <c r="H120" s="74">
        <f t="shared" si="80"/>
        <v>11.5</v>
      </c>
      <c r="I120" s="74">
        <f t="shared" si="81"/>
        <v>9.75</v>
      </c>
      <c r="J120" s="114">
        <f t="shared" si="82"/>
        <v>8</v>
      </c>
      <c r="K120" s="74">
        <f t="shared" si="83"/>
        <v>6.6875</v>
      </c>
      <c r="L120" s="74">
        <f t="shared" si="84"/>
        <v>5.375</v>
      </c>
      <c r="M120" s="74">
        <f t="shared" si="85"/>
        <v>4.0625</v>
      </c>
      <c r="N120" s="114">
        <f t="shared" si="75"/>
        <v>2.75</v>
      </c>
      <c r="O120" s="74">
        <f t="shared" si="72"/>
        <v>6.3125</v>
      </c>
      <c r="P120" s="74">
        <f t="shared" si="73"/>
        <v>9.875</v>
      </c>
      <c r="Q120" s="74">
        <f t="shared" si="74"/>
        <v>13.4375</v>
      </c>
      <c r="R120" s="114">
        <v>17</v>
      </c>
      <c r="S120" s="129"/>
      <c r="T120" s="117">
        <f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17.068175824175825</v>
      </c>
      <c r="U120" s="117">
        <f>Lefty!T120</f>
        <v>18.049895604395605</v>
      </c>
    </row>
    <row r="121" spans="2:21">
      <c r="B121" s="114">
        <v>23</v>
      </c>
      <c r="C121" s="74">
        <f t="shared" si="76"/>
        <v>21</v>
      </c>
      <c r="D121" s="74">
        <f t="shared" si="77"/>
        <v>19</v>
      </c>
      <c r="E121" s="74">
        <f t="shared" si="78"/>
        <v>17</v>
      </c>
      <c r="F121" s="114">
        <v>15</v>
      </c>
      <c r="G121" s="74">
        <f t="shared" si="79"/>
        <v>13</v>
      </c>
      <c r="H121" s="74">
        <f t="shared" si="80"/>
        <v>11</v>
      </c>
      <c r="I121" s="74">
        <f t="shared" si="81"/>
        <v>9</v>
      </c>
      <c r="J121" s="114">
        <f t="shared" si="82"/>
        <v>7</v>
      </c>
      <c r="K121" s="74">
        <f t="shared" si="83"/>
        <v>5.5</v>
      </c>
      <c r="L121" s="74">
        <f t="shared" si="84"/>
        <v>4</v>
      </c>
      <c r="M121" s="74">
        <f t="shared" si="85"/>
        <v>2.5</v>
      </c>
      <c r="N121" s="114">
        <f t="shared" si="75"/>
        <v>1</v>
      </c>
      <c r="O121" s="74">
        <f t="shared" si="72"/>
        <v>5</v>
      </c>
      <c r="P121" s="74">
        <f t="shared" si="73"/>
        <v>9</v>
      </c>
      <c r="Q121" s="74">
        <f t="shared" si="74"/>
        <v>13</v>
      </c>
      <c r="R121" s="114">
        <v>17</v>
      </c>
      <c r="S121" s="129"/>
      <c r="T121" s="126">
        <f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16.859961538461537</v>
      </c>
      <c r="U121" s="126">
        <f>Lefty!T121</f>
        <v>18.157538461538461</v>
      </c>
    </row>
    <row r="122" spans="2:21">
      <c r="B122" s="114"/>
      <c r="C122" s="74"/>
      <c r="D122" s="74"/>
      <c r="E122" s="74"/>
      <c r="F122" s="114"/>
      <c r="G122" s="74"/>
      <c r="H122" s="74"/>
      <c r="I122" s="74"/>
      <c r="J122" s="114"/>
      <c r="K122" s="74"/>
      <c r="L122" s="74"/>
      <c r="M122" s="74"/>
      <c r="N122" s="114"/>
      <c r="O122" s="74"/>
      <c r="P122" s="74"/>
      <c r="Q122" s="74"/>
      <c r="R122" s="114"/>
      <c r="S122" s="129"/>
    </row>
    <row r="123" spans="2:21">
      <c r="B123" s="114">
        <v>16</v>
      </c>
      <c r="C123" s="74">
        <f t="shared" si="76"/>
        <v>16</v>
      </c>
      <c r="D123" s="74">
        <f t="shared" si="77"/>
        <v>16</v>
      </c>
      <c r="E123" s="74">
        <f t="shared" si="78"/>
        <v>16</v>
      </c>
      <c r="F123" s="114">
        <v>16</v>
      </c>
      <c r="G123" s="74">
        <f t="shared" si="79"/>
        <v>16</v>
      </c>
      <c r="H123" s="74">
        <f t="shared" si="80"/>
        <v>16</v>
      </c>
      <c r="I123" s="74">
        <f t="shared" si="81"/>
        <v>16</v>
      </c>
      <c r="J123" s="114">
        <f t="shared" si="82"/>
        <v>16</v>
      </c>
      <c r="K123" s="74">
        <f t="shared" si="83"/>
        <v>16.05</v>
      </c>
      <c r="L123" s="74">
        <f t="shared" si="84"/>
        <v>16.100000000000001</v>
      </c>
      <c r="M123" s="74">
        <f t="shared" si="85"/>
        <v>16.149999999999999</v>
      </c>
      <c r="N123" s="114">
        <f>SUM(F123,-B123,J123,0.25*ABS(J123-F123),0.2*(17-F123))</f>
        <v>16.2</v>
      </c>
      <c r="O123" s="74">
        <f t="shared" ref="O123:O131" si="86">SUM(0.25*(R123-N123),N123)</f>
        <v>16.399999999999999</v>
      </c>
      <c r="P123" s="74">
        <f t="shared" ref="P123:P131" si="87">SUM(0.5*(R123-N123),N123)</f>
        <v>16.600000000000001</v>
      </c>
      <c r="Q123" s="74">
        <f t="shared" ref="Q123:Q131" si="88">SUM(0.75*(R123-N123),N123)</f>
        <v>16.8</v>
      </c>
      <c r="R123" s="114">
        <v>17</v>
      </c>
      <c r="S123" s="129"/>
      <c r="T123" s="117">
        <f>SUM((BX20+BX19+BX18+BX17+BX16+BX15+BX14+BX13+BX12+BX11+BX10+BX9+BX8+BW7+BW6+BV5+BV4)*-0.132,17)</f>
        <v>17.008461538461539</v>
      </c>
      <c r="U123" s="117">
        <f>Lefty!T123</f>
        <v>19.103538461538459</v>
      </c>
    </row>
    <row r="124" spans="2:21">
      <c r="B124" s="114">
        <v>17</v>
      </c>
      <c r="C124" s="74">
        <f t="shared" si="76"/>
        <v>16.75</v>
      </c>
      <c r="D124" s="74">
        <f t="shared" si="77"/>
        <v>16.5</v>
      </c>
      <c r="E124" s="74">
        <f t="shared" si="78"/>
        <v>16.25</v>
      </c>
      <c r="F124" s="114">
        <v>16</v>
      </c>
      <c r="G124" s="74">
        <f t="shared" si="79"/>
        <v>15.75</v>
      </c>
      <c r="H124" s="74">
        <f t="shared" si="80"/>
        <v>15.5</v>
      </c>
      <c r="I124" s="74">
        <f t="shared" si="81"/>
        <v>15.25</v>
      </c>
      <c r="J124" s="114">
        <f t="shared" si="82"/>
        <v>15</v>
      </c>
      <c r="K124" s="74">
        <f t="shared" si="83"/>
        <v>14.8125</v>
      </c>
      <c r="L124" s="74">
        <f t="shared" si="84"/>
        <v>14.625</v>
      </c>
      <c r="M124" s="74">
        <f t="shared" si="85"/>
        <v>14.4375</v>
      </c>
      <c r="N124" s="114">
        <f t="shared" ref="N124:N131" si="89">SUM(F124,-B124,J124,0.25*ABS(J124-F124))</f>
        <v>14.25</v>
      </c>
      <c r="O124" s="74">
        <f t="shared" si="86"/>
        <v>14.9375</v>
      </c>
      <c r="P124" s="74">
        <f t="shared" si="87"/>
        <v>15.625</v>
      </c>
      <c r="Q124" s="74">
        <f t="shared" si="88"/>
        <v>16.3125</v>
      </c>
      <c r="R124" s="114">
        <v>17</v>
      </c>
      <c r="S124" s="129"/>
      <c r="T124" s="117">
        <f>SUM((BV20+BW19+BW18+BX17+BX16+BY15+BY14+BZ13+BZ12+CA11+CA10+BZ9+BZ8+BY7+BX6+BW5+BV4)*-0.132,17)</f>
        <v>17.536461538461538</v>
      </c>
      <c r="U124" s="117">
        <f>Lefty!T124</f>
        <v>18.047538461538462</v>
      </c>
    </row>
    <row r="125" spans="2:21">
      <c r="B125" s="114">
        <v>18</v>
      </c>
      <c r="C125" s="74">
        <f t="shared" si="76"/>
        <v>17.5</v>
      </c>
      <c r="D125" s="74">
        <f t="shared" si="77"/>
        <v>17</v>
      </c>
      <c r="E125" s="74">
        <f t="shared" si="78"/>
        <v>16.5</v>
      </c>
      <c r="F125" s="114">
        <v>16</v>
      </c>
      <c r="G125" s="74">
        <f t="shared" si="79"/>
        <v>15.5</v>
      </c>
      <c r="H125" s="74">
        <f t="shared" si="80"/>
        <v>15</v>
      </c>
      <c r="I125" s="74">
        <f t="shared" si="81"/>
        <v>14.5</v>
      </c>
      <c r="J125" s="114">
        <f t="shared" si="82"/>
        <v>14</v>
      </c>
      <c r="K125" s="74">
        <f t="shared" si="83"/>
        <v>13.625</v>
      </c>
      <c r="L125" s="74">
        <f t="shared" si="84"/>
        <v>13.25</v>
      </c>
      <c r="M125" s="74">
        <f t="shared" si="85"/>
        <v>12.875</v>
      </c>
      <c r="N125" s="114">
        <f t="shared" si="89"/>
        <v>12.5</v>
      </c>
      <c r="O125" s="74">
        <f t="shared" si="86"/>
        <v>13.625</v>
      </c>
      <c r="P125" s="74">
        <f t="shared" si="87"/>
        <v>14.75</v>
      </c>
      <c r="Q125" s="74">
        <f t="shared" si="88"/>
        <v>15.875</v>
      </c>
      <c r="R125" s="114">
        <v>17</v>
      </c>
      <c r="S125" s="129"/>
      <c r="T125" s="117">
        <f>SUM((BT20+BU19+BV18+BW17+BX16+BY15+BZ14+CA13+CB12+CC11+CC10+CD9+CD8)*-0.132,(CC7+CB7+CA6+BZ6++BY5+BX5+BW4+BV4)*-0.132/2,17)</f>
        <v>17.008461538461539</v>
      </c>
      <c r="U125" s="117">
        <f>Lefty!T125</f>
        <v>18.311538461538461</v>
      </c>
    </row>
    <row r="126" spans="2:21">
      <c r="B126" s="114">
        <v>19</v>
      </c>
      <c r="C126" s="74">
        <f t="shared" si="76"/>
        <v>18.25</v>
      </c>
      <c r="D126" s="74">
        <f t="shared" si="77"/>
        <v>17.5</v>
      </c>
      <c r="E126" s="74">
        <f t="shared" si="78"/>
        <v>16.75</v>
      </c>
      <c r="F126" s="114">
        <v>16</v>
      </c>
      <c r="G126" s="74">
        <f t="shared" si="79"/>
        <v>15.25</v>
      </c>
      <c r="H126" s="74">
        <f t="shared" si="80"/>
        <v>14.5</v>
      </c>
      <c r="I126" s="74">
        <f t="shared" si="81"/>
        <v>13.75</v>
      </c>
      <c r="J126" s="114">
        <f t="shared" si="82"/>
        <v>13</v>
      </c>
      <c r="K126" s="74">
        <f t="shared" si="83"/>
        <v>12.4375</v>
      </c>
      <c r="L126" s="74">
        <f t="shared" si="84"/>
        <v>11.875</v>
      </c>
      <c r="M126" s="74">
        <f t="shared" si="85"/>
        <v>11.3125</v>
      </c>
      <c r="N126" s="114">
        <f t="shared" si="89"/>
        <v>10.75</v>
      </c>
      <c r="O126" s="74">
        <f t="shared" si="86"/>
        <v>12.3125</v>
      </c>
      <c r="P126" s="74">
        <f t="shared" si="87"/>
        <v>13.875</v>
      </c>
      <c r="Q126" s="74">
        <f t="shared" si="88"/>
        <v>15.4375</v>
      </c>
      <c r="R126" s="114">
        <v>17</v>
      </c>
      <c r="S126" s="129"/>
      <c r="T126" s="117">
        <f>SUM((BR20+BU18+BX16+CA14+CD12+CE11+CF10+CG9+CH8)*-0.132,(BS19+BT19+BV17+BW17+BY15+BZ15+CB13+CC13)*-0.132/2,(CG7+CF7+CE7+CD6+CC6+CB6+CA5+BZ5+BY5+BX4+BW4+BV4)*-0.132/3,17)</f>
        <v>16.832461538461537</v>
      </c>
      <c r="U126" s="117">
        <f>Lefty!T126</f>
        <v>18.355538461538462</v>
      </c>
    </row>
    <row r="127" spans="2:21">
      <c r="B127" s="114">
        <v>20</v>
      </c>
      <c r="C127" s="74">
        <f t="shared" si="76"/>
        <v>19</v>
      </c>
      <c r="D127" s="74">
        <f t="shared" si="77"/>
        <v>18</v>
      </c>
      <c r="E127" s="74">
        <f t="shared" si="78"/>
        <v>17</v>
      </c>
      <c r="F127" s="114">
        <v>16</v>
      </c>
      <c r="G127" s="74">
        <f t="shared" si="79"/>
        <v>15</v>
      </c>
      <c r="H127" s="74">
        <f t="shared" si="80"/>
        <v>14</v>
      </c>
      <c r="I127" s="74">
        <f t="shared" si="81"/>
        <v>13</v>
      </c>
      <c r="J127" s="114">
        <f t="shared" si="82"/>
        <v>12</v>
      </c>
      <c r="K127" s="74">
        <f t="shared" si="83"/>
        <v>11.25</v>
      </c>
      <c r="L127" s="74">
        <f t="shared" si="84"/>
        <v>10.5</v>
      </c>
      <c r="M127" s="74">
        <f t="shared" si="85"/>
        <v>9.75</v>
      </c>
      <c r="N127" s="114">
        <f t="shared" si="89"/>
        <v>9</v>
      </c>
      <c r="O127" s="74">
        <f t="shared" si="86"/>
        <v>11</v>
      </c>
      <c r="P127" s="74">
        <f t="shared" si="87"/>
        <v>13</v>
      </c>
      <c r="Q127" s="74">
        <f t="shared" si="88"/>
        <v>15</v>
      </c>
      <c r="R127" s="114">
        <v>17</v>
      </c>
      <c r="S127" s="129"/>
      <c r="T127" s="117">
        <f>SUM((BP20+CI10+CL8)*-0.132,(BQ19+BR19+BS18+BT18+BU17+BV17+BW16+BX16+BY15+BZ15+CA14+CB14+CC13+CD13+CE12+CF12+CG11+CH11+CJ9+CK9)*-0.132/2,(CK7+CJ7+CI7+CH7+CG6+CF6+CE6+CD6+CC5+CB5+CA5+BZ5+BY4+BX4+BW4+BV4)*-0.132/4,17)</f>
        <v>16.777461538461537</v>
      </c>
      <c r="U127" s="117">
        <f>Lefty!T127</f>
        <v>18.410538461538462</v>
      </c>
    </row>
    <row r="128" spans="2:21">
      <c r="B128" s="114">
        <v>21</v>
      </c>
      <c r="C128" s="74">
        <f t="shared" si="76"/>
        <v>19.75</v>
      </c>
      <c r="D128" s="74">
        <f t="shared" si="77"/>
        <v>18.5</v>
      </c>
      <c r="E128" s="74">
        <f t="shared" si="78"/>
        <v>17.25</v>
      </c>
      <c r="F128" s="114">
        <v>16</v>
      </c>
      <c r="G128" s="74">
        <f t="shared" si="79"/>
        <v>14.75</v>
      </c>
      <c r="H128" s="74">
        <f t="shared" si="80"/>
        <v>13.5</v>
      </c>
      <c r="I128" s="74">
        <f t="shared" si="81"/>
        <v>12.25</v>
      </c>
      <c r="J128" s="114">
        <f t="shared" si="82"/>
        <v>11</v>
      </c>
      <c r="K128" s="74">
        <f t="shared" si="83"/>
        <v>10.0625</v>
      </c>
      <c r="L128" s="74">
        <f t="shared" si="84"/>
        <v>9.125</v>
      </c>
      <c r="M128" s="74">
        <f t="shared" si="85"/>
        <v>8.1875</v>
      </c>
      <c r="N128" s="114">
        <f t="shared" si="89"/>
        <v>7.25</v>
      </c>
      <c r="O128" s="74">
        <f t="shared" si="86"/>
        <v>9.6875</v>
      </c>
      <c r="P128" s="74">
        <f t="shared" si="87"/>
        <v>12.125</v>
      </c>
      <c r="Q128" s="74">
        <f t="shared" si="88"/>
        <v>14.5625</v>
      </c>
      <c r="R128" s="114">
        <v>17</v>
      </c>
      <c r="S128" s="129"/>
      <c r="T128" s="117">
        <f>SUM((BN20+BO20+BP19+BQ19+BU17+BV17+BW16+BX16+CB14+CC14+CG12+CH12+CI11+CJ11+CK10+CL10+CM9+CN9+CO8+CP8)*-0.132/2,(BR18+BS18+BT18+BY15+BZ15+CA15+CD13+CE13+CF13)*-0.132/3,(CO7+CN7+CM7+CL7+CK7+CJ6+CI6+CH6+CG6+CF6+CE5+CD5+CC5+CB5+CA5+BZ4+BY4+BX4+BW4+BV4)*-0.132/5,17)</f>
        <v>16.93806153846154</v>
      </c>
      <c r="U128" s="117">
        <f>Lefty!T128</f>
        <v>18.153138461538461</v>
      </c>
    </row>
    <row r="129" spans="2:21">
      <c r="B129" s="114">
        <v>22</v>
      </c>
      <c r="C129" s="74">
        <f t="shared" si="76"/>
        <v>20.5</v>
      </c>
      <c r="D129" s="74">
        <f t="shared" si="77"/>
        <v>19</v>
      </c>
      <c r="E129" s="74">
        <f t="shared" si="78"/>
        <v>17.5</v>
      </c>
      <c r="F129" s="114">
        <v>16</v>
      </c>
      <c r="G129" s="74">
        <f t="shared" si="79"/>
        <v>14.5</v>
      </c>
      <c r="H129" s="74">
        <f t="shared" si="80"/>
        <v>13</v>
      </c>
      <c r="I129" s="74">
        <f t="shared" si="81"/>
        <v>11.5</v>
      </c>
      <c r="J129" s="114">
        <f t="shared" si="82"/>
        <v>10</v>
      </c>
      <c r="K129" s="74">
        <f t="shared" si="83"/>
        <v>8.875</v>
      </c>
      <c r="L129" s="74">
        <f t="shared" si="84"/>
        <v>7.75</v>
      </c>
      <c r="M129" s="74">
        <f t="shared" si="85"/>
        <v>6.625</v>
      </c>
      <c r="N129" s="114">
        <f t="shared" si="89"/>
        <v>5.5</v>
      </c>
      <c r="O129" s="74">
        <f t="shared" si="86"/>
        <v>8.375</v>
      </c>
      <c r="P129" s="74">
        <f t="shared" si="87"/>
        <v>11.25</v>
      </c>
      <c r="Q129" s="74">
        <f t="shared" si="88"/>
        <v>14.125</v>
      </c>
      <c r="R129" s="114">
        <v>17</v>
      </c>
      <c r="S129" s="129"/>
      <c r="T129" s="117">
        <f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16.89846153846154</v>
      </c>
      <c r="U129" s="117">
        <f>Lefty!T129</f>
        <v>17.71753846153846</v>
      </c>
    </row>
    <row r="130" spans="2:21">
      <c r="B130" s="114">
        <v>23</v>
      </c>
      <c r="C130" s="74">
        <f t="shared" si="76"/>
        <v>21.25</v>
      </c>
      <c r="D130" s="74">
        <f t="shared" si="77"/>
        <v>19.5</v>
      </c>
      <c r="E130" s="74">
        <f t="shared" si="78"/>
        <v>17.75</v>
      </c>
      <c r="F130" s="114">
        <v>16</v>
      </c>
      <c r="G130" s="74">
        <f t="shared" si="79"/>
        <v>14.25</v>
      </c>
      <c r="H130" s="74">
        <f t="shared" si="80"/>
        <v>12.5</v>
      </c>
      <c r="I130" s="74">
        <f t="shared" si="81"/>
        <v>10.75</v>
      </c>
      <c r="J130" s="114">
        <f t="shared" si="82"/>
        <v>9</v>
      </c>
      <c r="K130" s="74">
        <f t="shared" si="83"/>
        <v>7.6875</v>
      </c>
      <c r="L130" s="74">
        <f t="shared" si="84"/>
        <v>6.375</v>
      </c>
      <c r="M130" s="74">
        <f t="shared" si="85"/>
        <v>5.0625</v>
      </c>
      <c r="N130" s="114">
        <f t="shared" si="89"/>
        <v>3.75</v>
      </c>
      <c r="O130" s="74">
        <f t="shared" si="86"/>
        <v>7.0625</v>
      </c>
      <c r="P130" s="74">
        <f t="shared" si="87"/>
        <v>10.375</v>
      </c>
      <c r="Q130" s="74">
        <f t="shared" si="88"/>
        <v>13.6875</v>
      </c>
      <c r="R130" s="114">
        <v>17</v>
      </c>
      <c r="S130" s="129"/>
      <c r="T130" s="117">
        <f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16.584175824175823</v>
      </c>
      <c r="U130" s="117">
        <f>Lefty!T130</f>
        <v>17.709681318681319</v>
      </c>
    </row>
    <row r="131" spans="2:21">
      <c r="B131" s="114">
        <v>24</v>
      </c>
      <c r="C131" s="74">
        <f t="shared" si="76"/>
        <v>22</v>
      </c>
      <c r="D131" s="74">
        <f t="shared" si="77"/>
        <v>20</v>
      </c>
      <c r="E131" s="74">
        <f t="shared" si="78"/>
        <v>18</v>
      </c>
      <c r="F131" s="114">
        <v>16</v>
      </c>
      <c r="G131" s="74">
        <f t="shared" si="79"/>
        <v>14</v>
      </c>
      <c r="H131" s="74">
        <f t="shared" si="80"/>
        <v>12</v>
      </c>
      <c r="I131" s="74">
        <f t="shared" si="81"/>
        <v>10</v>
      </c>
      <c r="J131" s="114">
        <f t="shared" si="82"/>
        <v>8</v>
      </c>
      <c r="K131" s="74">
        <f t="shared" si="83"/>
        <v>6.5</v>
      </c>
      <c r="L131" s="74">
        <f t="shared" si="84"/>
        <v>5</v>
      </c>
      <c r="M131" s="74">
        <f t="shared" si="85"/>
        <v>3.5</v>
      </c>
      <c r="N131" s="114">
        <f t="shared" si="89"/>
        <v>2</v>
      </c>
      <c r="O131" s="74">
        <f t="shared" si="86"/>
        <v>5.75</v>
      </c>
      <c r="P131" s="74">
        <f t="shared" si="87"/>
        <v>9.5</v>
      </c>
      <c r="Q131" s="74">
        <f t="shared" si="88"/>
        <v>13.25</v>
      </c>
      <c r="R131" s="114">
        <v>17</v>
      </c>
      <c r="S131" s="129"/>
      <c r="T131" s="117">
        <f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16.518961538461539</v>
      </c>
      <c r="U131" s="117">
        <f>Lefty!T131</f>
        <v>17.71753846153846</v>
      </c>
    </row>
    <row r="132" spans="2:21">
      <c r="B132" s="114"/>
      <c r="C132" s="74"/>
      <c r="D132" s="74"/>
      <c r="E132" s="74"/>
      <c r="F132" s="114"/>
      <c r="G132" s="74"/>
      <c r="H132" s="74"/>
      <c r="I132" s="74"/>
      <c r="J132" s="114"/>
      <c r="K132" s="74"/>
      <c r="L132" s="74"/>
      <c r="M132" s="74"/>
      <c r="N132" s="114"/>
      <c r="O132" s="74"/>
      <c r="P132" s="74"/>
      <c r="Q132" s="74"/>
      <c r="R132" s="114"/>
      <c r="S132" s="129"/>
    </row>
    <row r="133" spans="2:21">
      <c r="B133" s="114">
        <v>17</v>
      </c>
      <c r="C133" s="74">
        <f t="shared" si="76"/>
        <v>17</v>
      </c>
      <c r="D133" s="74">
        <f t="shared" si="77"/>
        <v>17</v>
      </c>
      <c r="E133" s="74">
        <f t="shared" si="78"/>
        <v>17</v>
      </c>
      <c r="F133" s="114">
        <v>17</v>
      </c>
      <c r="G133" s="74">
        <f t="shared" si="79"/>
        <v>17</v>
      </c>
      <c r="H133" s="74">
        <f t="shared" si="80"/>
        <v>17</v>
      </c>
      <c r="I133" s="74">
        <f t="shared" si="81"/>
        <v>17</v>
      </c>
      <c r="J133" s="114">
        <f t="shared" si="82"/>
        <v>17</v>
      </c>
      <c r="K133" s="74">
        <f t="shared" si="83"/>
        <v>17</v>
      </c>
      <c r="L133" s="74">
        <f t="shared" si="84"/>
        <v>17</v>
      </c>
      <c r="M133" s="74">
        <f t="shared" si="85"/>
        <v>17</v>
      </c>
      <c r="N133" s="114">
        <f>SUM(F133,-B133,J133,0.25*ABS(J133-F133),0.2*(17-F133))</f>
        <v>17</v>
      </c>
      <c r="O133" s="74">
        <f t="shared" ref="O133:O142" si="90">SUM(0.25*(R133-N133),N133)</f>
        <v>17</v>
      </c>
      <c r="P133" s="74">
        <f t="shared" ref="P133:P142" si="91">SUM(0.5*(R133-N133),N133)</f>
        <v>17</v>
      </c>
      <c r="Q133" s="74">
        <f t="shared" ref="Q133:Q142" si="92">SUM(0.75*(R133-N133),N133)</f>
        <v>17</v>
      </c>
      <c r="R133" s="114">
        <v>17</v>
      </c>
      <c r="S133" s="129"/>
      <c r="T133" s="117">
        <f>SUM((BV20+BV19+BV18+BV17+BV16+BV15+BV14+BV13+BV12+BV11+BV10+BV9+BV8+BV7+BV6+BV5+BV4)*-0.132,17)</f>
        <v>16.74446153846154</v>
      </c>
      <c r="U133" s="117">
        <f>Lefty!T133</f>
        <v>17.651538461538461</v>
      </c>
    </row>
    <row r="134" spans="2:21">
      <c r="B134" s="114">
        <v>18</v>
      </c>
      <c r="C134" s="74">
        <f t="shared" si="76"/>
        <v>17.75</v>
      </c>
      <c r="D134" s="74">
        <f t="shared" si="77"/>
        <v>17.5</v>
      </c>
      <c r="E134" s="74">
        <f t="shared" si="78"/>
        <v>17.25</v>
      </c>
      <c r="F134" s="114">
        <v>17</v>
      </c>
      <c r="G134" s="74">
        <f t="shared" si="79"/>
        <v>16.75</v>
      </c>
      <c r="H134" s="74">
        <f t="shared" si="80"/>
        <v>16.5</v>
      </c>
      <c r="I134" s="74">
        <f t="shared" si="81"/>
        <v>16.25</v>
      </c>
      <c r="J134" s="114">
        <f t="shared" si="82"/>
        <v>16</v>
      </c>
      <c r="K134" s="74">
        <f t="shared" si="83"/>
        <v>15.8125</v>
      </c>
      <c r="L134" s="74">
        <f t="shared" si="84"/>
        <v>15.625</v>
      </c>
      <c r="M134" s="74">
        <f t="shared" si="85"/>
        <v>15.4375</v>
      </c>
      <c r="N134" s="114">
        <f t="shared" ref="N134:N142" si="93">SUM(F134,-B134,J134,0.25*ABS(J134-F134))</f>
        <v>15.25</v>
      </c>
      <c r="O134" s="74">
        <f t="shared" si="90"/>
        <v>15.6875</v>
      </c>
      <c r="P134" s="74">
        <f t="shared" si="91"/>
        <v>16.125</v>
      </c>
      <c r="Q134" s="74">
        <f t="shared" si="92"/>
        <v>16.5625</v>
      </c>
      <c r="R134" s="114">
        <v>17</v>
      </c>
      <c r="S134" s="129"/>
      <c r="T134" s="117">
        <f>SUM((BT20+BU19+BU18+BV17+BV16+BW15+BW14+BX13+BX12+BY11+BY10+BX9+BX8+BW7+BW6+BV5+BV4)*-0.132,17)</f>
        <v>16.74446153846154</v>
      </c>
      <c r="U134" s="117">
        <f>Lefty!T134</f>
        <v>17.783538461538463</v>
      </c>
    </row>
    <row r="135" spans="2:21">
      <c r="B135" s="114">
        <v>19</v>
      </c>
      <c r="C135" s="74">
        <f t="shared" si="76"/>
        <v>18.5</v>
      </c>
      <c r="D135" s="74">
        <f t="shared" si="77"/>
        <v>18</v>
      </c>
      <c r="E135" s="74">
        <f t="shared" si="78"/>
        <v>17.5</v>
      </c>
      <c r="F135" s="114">
        <v>17</v>
      </c>
      <c r="G135" s="74">
        <f t="shared" si="79"/>
        <v>16.5</v>
      </c>
      <c r="H135" s="74">
        <f t="shared" si="80"/>
        <v>16</v>
      </c>
      <c r="I135" s="74">
        <f t="shared" si="81"/>
        <v>15.5</v>
      </c>
      <c r="J135" s="114">
        <f t="shared" si="82"/>
        <v>15</v>
      </c>
      <c r="K135" s="74">
        <f t="shared" si="83"/>
        <v>14.625</v>
      </c>
      <c r="L135" s="74">
        <f t="shared" si="84"/>
        <v>14.25</v>
      </c>
      <c r="M135" s="74">
        <f t="shared" si="85"/>
        <v>13.875</v>
      </c>
      <c r="N135" s="114">
        <f t="shared" si="93"/>
        <v>13.5</v>
      </c>
      <c r="O135" s="74">
        <f t="shared" si="90"/>
        <v>14.375</v>
      </c>
      <c r="P135" s="74">
        <f t="shared" si="91"/>
        <v>15.25</v>
      </c>
      <c r="Q135" s="74">
        <f t="shared" si="92"/>
        <v>16.125</v>
      </c>
      <c r="R135" s="114">
        <v>17</v>
      </c>
      <c r="S135" s="129"/>
      <c r="T135" s="117">
        <f>SUM((BR20+BS19+BT18+BU17+BV16+BW15+BX14+BY13+BZ12+CA11+CA10+CB9+CB8+BW5+BV4)*-0.132,(CA7+BZ7+BY6+BX6)*-0.132/2,17)</f>
        <v>16.480461538461537</v>
      </c>
      <c r="U135" s="117">
        <f>Lefty!T135</f>
        <v>18.37753846153846</v>
      </c>
    </row>
    <row r="136" spans="2:21">
      <c r="B136" s="114">
        <v>20</v>
      </c>
      <c r="C136" s="74">
        <f t="shared" si="76"/>
        <v>19.25</v>
      </c>
      <c r="D136" s="74">
        <f t="shared" si="77"/>
        <v>18.5</v>
      </c>
      <c r="E136" s="74">
        <f t="shared" si="78"/>
        <v>17.75</v>
      </c>
      <c r="F136" s="114">
        <v>17</v>
      </c>
      <c r="G136" s="74">
        <f t="shared" si="79"/>
        <v>16.25</v>
      </c>
      <c r="H136" s="74">
        <f t="shared" si="80"/>
        <v>15.5</v>
      </c>
      <c r="I136" s="74">
        <f t="shared" si="81"/>
        <v>14.75</v>
      </c>
      <c r="J136" s="114">
        <f t="shared" si="82"/>
        <v>14</v>
      </c>
      <c r="K136" s="74">
        <f t="shared" si="83"/>
        <v>13.4375</v>
      </c>
      <c r="L136" s="74">
        <f t="shared" si="84"/>
        <v>12.875</v>
      </c>
      <c r="M136" s="74">
        <f t="shared" si="85"/>
        <v>12.3125</v>
      </c>
      <c r="N136" s="114">
        <f t="shared" si="93"/>
        <v>11.75</v>
      </c>
      <c r="O136" s="74">
        <f t="shared" si="90"/>
        <v>13.0625</v>
      </c>
      <c r="P136" s="74">
        <f t="shared" si="91"/>
        <v>14.375</v>
      </c>
      <c r="Q136" s="74">
        <f t="shared" si="92"/>
        <v>15.6875</v>
      </c>
      <c r="R136" s="114">
        <v>17</v>
      </c>
      <c r="S136" s="129"/>
      <c r="T136" s="117">
        <f>SUM((BP20+BS18+BV16+BY14+CB12+CC11+CD10+CE9+CF8)*-0.132,(BQ19+BR19+BT17+BU17+BW15+BX15+BZ13+CA13)*-0.132/2,(CE7+CD7+CC7+CB6+CA6+BZ6)*-0.132/3,(BY5+BX5+BW4+BV4)*-0.132/2,17)</f>
        <v>16.59046153846154</v>
      </c>
      <c r="U136" s="117">
        <f>Lefty!T136</f>
        <v>17.981538461538463</v>
      </c>
    </row>
    <row r="137" spans="2:21">
      <c r="B137" s="114">
        <v>21</v>
      </c>
      <c r="C137" s="74">
        <f t="shared" si="76"/>
        <v>20</v>
      </c>
      <c r="D137" s="74">
        <f t="shared" si="77"/>
        <v>19</v>
      </c>
      <c r="E137" s="74">
        <f t="shared" si="78"/>
        <v>18</v>
      </c>
      <c r="F137" s="114">
        <v>17</v>
      </c>
      <c r="G137" s="74">
        <f t="shared" si="79"/>
        <v>16</v>
      </c>
      <c r="H137" s="74">
        <f t="shared" si="80"/>
        <v>15</v>
      </c>
      <c r="I137" s="74">
        <f t="shared" si="81"/>
        <v>14</v>
      </c>
      <c r="J137" s="114">
        <f t="shared" si="82"/>
        <v>13</v>
      </c>
      <c r="K137" s="74">
        <f t="shared" si="83"/>
        <v>12.25</v>
      </c>
      <c r="L137" s="74">
        <f t="shared" si="84"/>
        <v>11.5</v>
      </c>
      <c r="M137" s="74">
        <f t="shared" si="85"/>
        <v>10.75</v>
      </c>
      <c r="N137" s="114">
        <f t="shared" si="93"/>
        <v>10</v>
      </c>
      <c r="O137" s="74">
        <f t="shared" si="90"/>
        <v>11.75</v>
      </c>
      <c r="P137" s="74">
        <f t="shared" si="91"/>
        <v>13.5</v>
      </c>
      <c r="Q137" s="74">
        <f t="shared" si="92"/>
        <v>15.25</v>
      </c>
      <c r="R137" s="114">
        <v>17</v>
      </c>
      <c r="S137" s="129"/>
      <c r="T137" s="117">
        <f>SUM((BN20+BO20+BP19+BQ19+BS17+BT17+BU16+BV16+BW15+BX15+BY14+BZ14+CA13+CB13+CC12+CD12+CE11+CF11+CH9+CI9)*-0.132/2,(BR18+CG10+CJ8)*-0.132,(CI7+CH7+CG7+CF7+CE6+CD6+CC6+CB6)*-0.132/4,(CA5+BZ5+BY5+BX4+BW4+BV4)*-0.132/3,17)</f>
        <v>16.557461538461538</v>
      </c>
      <c r="U137" s="117">
        <f>Lefty!T137</f>
        <v>17.926538461538463</v>
      </c>
    </row>
    <row r="138" spans="2:21">
      <c r="B138" s="114">
        <v>22</v>
      </c>
      <c r="C138" s="74">
        <f t="shared" si="76"/>
        <v>20.75</v>
      </c>
      <c r="D138" s="74">
        <f t="shared" si="77"/>
        <v>19.5</v>
      </c>
      <c r="E138" s="74">
        <f t="shared" si="78"/>
        <v>18.25</v>
      </c>
      <c r="F138" s="114">
        <v>17</v>
      </c>
      <c r="G138" s="74">
        <f t="shared" si="79"/>
        <v>15.75</v>
      </c>
      <c r="H138" s="74">
        <f t="shared" si="80"/>
        <v>14.5</v>
      </c>
      <c r="I138" s="74">
        <f t="shared" si="81"/>
        <v>13.25</v>
      </c>
      <c r="J138" s="114">
        <f t="shared" si="82"/>
        <v>12</v>
      </c>
      <c r="K138" s="74">
        <f t="shared" si="83"/>
        <v>11.0625</v>
      </c>
      <c r="L138" s="74">
        <f t="shared" si="84"/>
        <v>10.125</v>
      </c>
      <c r="M138" s="74">
        <f t="shared" si="85"/>
        <v>9.1875</v>
      </c>
      <c r="N138" s="114">
        <f t="shared" si="93"/>
        <v>8.25</v>
      </c>
      <c r="O138" s="74">
        <f t="shared" si="90"/>
        <v>10.4375</v>
      </c>
      <c r="P138" s="74">
        <f t="shared" si="91"/>
        <v>12.625</v>
      </c>
      <c r="Q138" s="74">
        <f t="shared" si="92"/>
        <v>14.8125</v>
      </c>
      <c r="R138" s="114">
        <v>17</v>
      </c>
      <c r="S138" s="129"/>
      <c r="T138" s="117">
        <f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16.225261538461538</v>
      </c>
      <c r="U138" s="117">
        <f>Lefty!T138</f>
        <v>18.080538461538463</v>
      </c>
    </row>
    <row r="139" spans="2:21">
      <c r="B139" s="114">
        <v>23</v>
      </c>
      <c r="C139" s="74">
        <f t="shared" si="76"/>
        <v>21.5</v>
      </c>
      <c r="D139" s="74">
        <f t="shared" si="77"/>
        <v>20</v>
      </c>
      <c r="E139" s="74">
        <f t="shared" si="78"/>
        <v>18.5</v>
      </c>
      <c r="F139" s="114">
        <v>17</v>
      </c>
      <c r="G139" s="74">
        <f t="shared" si="79"/>
        <v>15.5</v>
      </c>
      <c r="H139" s="74">
        <f t="shared" si="80"/>
        <v>14</v>
      </c>
      <c r="I139" s="74">
        <f t="shared" si="81"/>
        <v>12.5</v>
      </c>
      <c r="J139" s="114">
        <f t="shared" si="82"/>
        <v>11</v>
      </c>
      <c r="K139" s="74">
        <f t="shared" si="83"/>
        <v>9.875</v>
      </c>
      <c r="L139" s="74">
        <f t="shared" si="84"/>
        <v>8.75</v>
      </c>
      <c r="M139" s="74">
        <f t="shared" si="85"/>
        <v>7.625</v>
      </c>
      <c r="N139" s="114">
        <f t="shared" si="93"/>
        <v>6.5</v>
      </c>
      <c r="O139" s="74">
        <f t="shared" si="90"/>
        <v>9.125</v>
      </c>
      <c r="P139" s="74">
        <f t="shared" si="91"/>
        <v>11.75</v>
      </c>
      <c r="Q139" s="74">
        <f t="shared" si="92"/>
        <v>14.375</v>
      </c>
      <c r="R139" s="114">
        <v>17</v>
      </c>
      <c r="S139" s="129"/>
      <c r="T139" s="117">
        <f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16.308861538461539</v>
      </c>
      <c r="U139" s="117">
        <f>Lefty!T139</f>
        <v>17.787938461538463</v>
      </c>
    </row>
    <row r="140" spans="2:21">
      <c r="B140" s="114">
        <v>24</v>
      </c>
      <c r="C140" s="74">
        <f t="shared" si="76"/>
        <v>22.25</v>
      </c>
      <c r="D140" s="74">
        <f t="shared" si="77"/>
        <v>20.5</v>
      </c>
      <c r="E140" s="74">
        <f t="shared" si="78"/>
        <v>18.75</v>
      </c>
      <c r="F140" s="114">
        <v>17</v>
      </c>
      <c r="G140" s="74">
        <f t="shared" si="79"/>
        <v>15.25</v>
      </c>
      <c r="H140" s="74">
        <f t="shared" si="80"/>
        <v>13.5</v>
      </c>
      <c r="I140" s="74">
        <f t="shared" si="81"/>
        <v>11.75</v>
      </c>
      <c r="J140" s="114">
        <f t="shared" si="82"/>
        <v>10</v>
      </c>
      <c r="K140" s="74">
        <f t="shared" si="83"/>
        <v>8.6875</v>
      </c>
      <c r="L140" s="74">
        <f t="shared" si="84"/>
        <v>7.375</v>
      </c>
      <c r="M140" s="74">
        <f t="shared" si="85"/>
        <v>6.0625</v>
      </c>
      <c r="N140" s="114">
        <f t="shared" si="93"/>
        <v>4.75</v>
      </c>
      <c r="O140" s="74">
        <f t="shared" si="90"/>
        <v>7.8125</v>
      </c>
      <c r="P140" s="74">
        <f t="shared" si="91"/>
        <v>10.875</v>
      </c>
      <c r="Q140" s="74">
        <f t="shared" si="92"/>
        <v>13.9375</v>
      </c>
      <c r="R140" s="114">
        <v>17</v>
      </c>
      <c r="S140" s="129"/>
      <c r="T140" s="117">
        <f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16.216461538461537</v>
      </c>
      <c r="U140" s="117">
        <f>Lefty!T140</f>
        <v>17.404824175824178</v>
      </c>
    </row>
    <row r="141" spans="2:21">
      <c r="B141" s="114">
        <v>25</v>
      </c>
      <c r="C141" s="74">
        <f t="shared" si="76"/>
        <v>23</v>
      </c>
      <c r="D141" s="74">
        <f t="shared" si="77"/>
        <v>21</v>
      </c>
      <c r="E141" s="74">
        <f t="shared" si="78"/>
        <v>19</v>
      </c>
      <c r="F141" s="114">
        <v>17</v>
      </c>
      <c r="G141" s="74">
        <f t="shared" si="79"/>
        <v>15</v>
      </c>
      <c r="H141" s="74">
        <f t="shared" si="80"/>
        <v>13</v>
      </c>
      <c r="I141" s="74">
        <f t="shared" si="81"/>
        <v>11</v>
      </c>
      <c r="J141" s="114">
        <f t="shared" si="82"/>
        <v>9</v>
      </c>
      <c r="K141" s="74">
        <f t="shared" si="83"/>
        <v>7.5</v>
      </c>
      <c r="L141" s="74">
        <f t="shared" si="84"/>
        <v>6</v>
      </c>
      <c r="M141" s="74">
        <f t="shared" si="85"/>
        <v>4.5</v>
      </c>
      <c r="N141" s="114">
        <f t="shared" si="93"/>
        <v>3</v>
      </c>
      <c r="O141" s="74">
        <f t="shared" si="90"/>
        <v>6.5</v>
      </c>
      <c r="P141" s="74">
        <f t="shared" si="91"/>
        <v>10</v>
      </c>
      <c r="Q141" s="74">
        <f t="shared" si="92"/>
        <v>13.5</v>
      </c>
      <c r="R141" s="114">
        <v>17</v>
      </c>
      <c r="S141" s="129"/>
      <c r="T141" s="117">
        <f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16.067175824175823</v>
      </c>
      <c r="U141" s="117">
        <f>Lefty!T141</f>
        <v>17.180895604395605</v>
      </c>
    </row>
    <row r="142" spans="2:21">
      <c r="B142" s="114">
        <v>26</v>
      </c>
      <c r="C142" s="74">
        <f t="shared" si="76"/>
        <v>23.75</v>
      </c>
      <c r="D142" s="74">
        <f t="shared" si="77"/>
        <v>21.5</v>
      </c>
      <c r="E142" s="74">
        <f t="shared" si="78"/>
        <v>19.25</v>
      </c>
      <c r="F142" s="114">
        <v>17</v>
      </c>
      <c r="G142" s="74">
        <f t="shared" si="79"/>
        <v>14.75</v>
      </c>
      <c r="H142" s="74">
        <f t="shared" si="80"/>
        <v>12.5</v>
      </c>
      <c r="I142" s="74">
        <f t="shared" si="81"/>
        <v>10.25</v>
      </c>
      <c r="J142" s="114">
        <f t="shared" si="82"/>
        <v>8</v>
      </c>
      <c r="K142" s="74">
        <f t="shared" si="83"/>
        <v>6.3125</v>
      </c>
      <c r="L142" s="74">
        <f t="shared" si="84"/>
        <v>4.625</v>
      </c>
      <c r="M142" s="74">
        <f t="shared" si="85"/>
        <v>2.9375</v>
      </c>
      <c r="N142" s="114">
        <f t="shared" si="93"/>
        <v>1.25</v>
      </c>
      <c r="O142" s="74">
        <f t="shared" si="90"/>
        <v>5.1875</v>
      </c>
      <c r="P142" s="74">
        <f t="shared" si="91"/>
        <v>9.125</v>
      </c>
      <c r="Q142" s="74">
        <f t="shared" si="92"/>
        <v>13.0625</v>
      </c>
      <c r="R142" s="114">
        <v>17</v>
      </c>
      <c r="S142" s="129"/>
      <c r="T142" s="126">
        <f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16.054761538461538</v>
      </c>
      <c r="U142" s="126">
        <f>Lefty!T142</f>
        <v>17.286338461538463</v>
      </c>
    </row>
    <row r="143" spans="2:21">
      <c r="B143" s="114"/>
      <c r="C143" s="74"/>
      <c r="D143" s="74"/>
      <c r="E143" s="74"/>
      <c r="F143" s="114"/>
      <c r="G143" s="74"/>
      <c r="H143" s="74"/>
      <c r="I143" s="74"/>
      <c r="J143" s="114"/>
      <c r="K143" s="74"/>
      <c r="L143" s="74"/>
      <c r="M143" s="74"/>
      <c r="N143" s="114"/>
      <c r="O143" s="74"/>
      <c r="P143" s="74"/>
      <c r="Q143" s="74"/>
      <c r="R143" s="114"/>
      <c r="S143" s="129"/>
    </row>
    <row r="144" spans="2:21">
      <c r="B144" s="114">
        <v>19</v>
      </c>
      <c r="C144" s="74">
        <f t="shared" si="76"/>
        <v>18.75</v>
      </c>
      <c r="D144" s="74">
        <f t="shared" si="77"/>
        <v>18.5</v>
      </c>
      <c r="E144" s="74">
        <f t="shared" si="78"/>
        <v>18.25</v>
      </c>
      <c r="F144" s="114">
        <v>18</v>
      </c>
      <c r="G144" s="74">
        <f t="shared" si="79"/>
        <v>17.75</v>
      </c>
      <c r="H144" s="74">
        <f t="shared" si="80"/>
        <v>17.5</v>
      </c>
      <c r="I144" s="74">
        <f t="shared" si="81"/>
        <v>17.25</v>
      </c>
      <c r="J144" s="114">
        <f t="shared" si="82"/>
        <v>17</v>
      </c>
      <c r="K144" s="74">
        <f t="shared" si="83"/>
        <v>16.8125</v>
      </c>
      <c r="L144" s="74">
        <f t="shared" si="84"/>
        <v>16.625</v>
      </c>
      <c r="M144" s="74">
        <f t="shared" si="85"/>
        <v>16.4375</v>
      </c>
      <c r="N144" s="114">
        <f t="shared" ref="N144:N152" si="94">SUM(F144,-B144,J144,0.25*ABS(J144-F144))</f>
        <v>16.25</v>
      </c>
      <c r="O144" s="74">
        <f t="shared" ref="O144:O152" si="95">SUM(0.25*(R144-N144),N144)</f>
        <v>16.4375</v>
      </c>
      <c r="P144" s="74">
        <f t="shared" ref="P144:P152" si="96">SUM(0.5*(R144-N144),N144)</f>
        <v>16.625</v>
      </c>
      <c r="Q144" s="74">
        <f t="shared" ref="Q144:Q152" si="97">SUM(0.75*(R144-N144),N144)</f>
        <v>16.8125</v>
      </c>
      <c r="R144" s="114">
        <v>17</v>
      </c>
      <c r="S144" s="129"/>
      <c r="T144" s="117">
        <f>SUM((BR20+BS19+BS18+BT17+BT16+BU15+BU14+BV13+BV12+BW11+BW10+BX9+BX8+BW7+BW6+BV5+BV4)*-0.132,17)</f>
        <v>16.348461538461539</v>
      </c>
      <c r="U144" s="117">
        <f>Lefty!T144</f>
        <v>17.651538461538461</v>
      </c>
    </row>
    <row r="145" spans="2:21">
      <c r="B145" s="114">
        <v>20</v>
      </c>
      <c r="C145" s="74">
        <f t="shared" si="76"/>
        <v>19.5</v>
      </c>
      <c r="D145" s="74">
        <f t="shared" si="77"/>
        <v>19</v>
      </c>
      <c r="E145" s="74">
        <f t="shared" si="78"/>
        <v>18.5</v>
      </c>
      <c r="F145" s="114">
        <v>18</v>
      </c>
      <c r="G145" s="74">
        <f t="shared" si="79"/>
        <v>17.5</v>
      </c>
      <c r="H145" s="74">
        <f t="shared" si="80"/>
        <v>17</v>
      </c>
      <c r="I145" s="74">
        <f t="shared" si="81"/>
        <v>16.5</v>
      </c>
      <c r="J145" s="114">
        <f t="shared" si="82"/>
        <v>16</v>
      </c>
      <c r="K145" s="74">
        <f t="shared" si="83"/>
        <v>15.625</v>
      </c>
      <c r="L145" s="74">
        <f t="shared" si="84"/>
        <v>15.25</v>
      </c>
      <c r="M145" s="74">
        <f t="shared" si="85"/>
        <v>14.875</v>
      </c>
      <c r="N145" s="114">
        <f t="shared" si="94"/>
        <v>14.5</v>
      </c>
      <c r="O145" s="74">
        <f t="shared" si="95"/>
        <v>15.125</v>
      </c>
      <c r="P145" s="74">
        <f t="shared" si="96"/>
        <v>15.75</v>
      </c>
      <c r="Q145" s="74">
        <f t="shared" si="97"/>
        <v>16.375</v>
      </c>
      <c r="R145" s="114">
        <v>17</v>
      </c>
      <c r="S145" s="129"/>
      <c r="T145" s="117">
        <f>SUM((BP20+BQ19+BR18+BS17+BT16+BU15+BV14+BW13+BX12+BY11+BY10+BZ9+BZ8+BY7+BX6+BW5+BV4)*-0.132,17)</f>
        <v>16.612461538461538</v>
      </c>
      <c r="U145" s="117">
        <f>Lefty!T145</f>
        <v>17.783538461538463</v>
      </c>
    </row>
    <row r="146" spans="2:21">
      <c r="B146" s="114">
        <v>21</v>
      </c>
      <c r="C146" s="74">
        <f t="shared" si="76"/>
        <v>20.25</v>
      </c>
      <c r="D146" s="74">
        <f t="shared" si="77"/>
        <v>19.5</v>
      </c>
      <c r="E146" s="74">
        <f t="shared" si="78"/>
        <v>18.75</v>
      </c>
      <c r="F146" s="114">
        <v>18</v>
      </c>
      <c r="G146" s="74">
        <f t="shared" si="79"/>
        <v>17.25</v>
      </c>
      <c r="H146" s="74">
        <f t="shared" si="80"/>
        <v>16.5</v>
      </c>
      <c r="I146" s="74">
        <f t="shared" si="81"/>
        <v>15.75</v>
      </c>
      <c r="J146" s="114">
        <f t="shared" si="82"/>
        <v>15</v>
      </c>
      <c r="K146" s="74">
        <f t="shared" si="83"/>
        <v>14.4375</v>
      </c>
      <c r="L146" s="74">
        <f t="shared" si="84"/>
        <v>13.875</v>
      </c>
      <c r="M146" s="74">
        <f t="shared" si="85"/>
        <v>13.3125</v>
      </c>
      <c r="N146" s="114">
        <f t="shared" si="94"/>
        <v>12.75</v>
      </c>
      <c r="O146" s="74">
        <f t="shared" si="95"/>
        <v>13.8125</v>
      </c>
      <c r="P146" s="74">
        <f t="shared" si="96"/>
        <v>14.875</v>
      </c>
      <c r="Q146" s="74">
        <f t="shared" si="97"/>
        <v>15.9375</v>
      </c>
      <c r="R146" s="114">
        <v>17</v>
      </c>
      <c r="S146" s="129"/>
      <c r="T146" s="117">
        <f>SUM((BN20+BQ18+BT16+BW14+BZ12+CA11+CB10+CC9+CD8)*-0.132,(BO19+BP19+BR17+BS17+BU15+BV15+BX13+BY13)*-0.132/2,(CC7+CB7+CA6+BZ6+BY5+BX5+BW4+BV4)*-0.132/2,17)</f>
        <v>16.480461538461537</v>
      </c>
      <c r="U146" s="117">
        <f>Lefty!T146</f>
        <v>17.71753846153846</v>
      </c>
    </row>
    <row r="147" spans="2:21">
      <c r="B147" s="114">
        <v>22</v>
      </c>
      <c r="C147" s="74">
        <f t="shared" si="76"/>
        <v>21</v>
      </c>
      <c r="D147" s="74">
        <f t="shared" si="77"/>
        <v>20</v>
      </c>
      <c r="E147" s="74">
        <f t="shared" si="78"/>
        <v>19</v>
      </c>
      <c r="F147" s="114">
        <v>18</v>
      </c>
      <c r="G147" s="74">
        <f t="shared" si="79"/>
        <v>17</v>
      </c>
      <c r="H147" s="74">
        <f t="shared" si="80"/>
        <v>16</v>
      </c>
      <c r="I147" s="74">
        <f t="shared" si="81"/>
        <v>15</v>
      </c>
      <c r="J147" s="114">
        <f t="shared" si="82"/>
        <v>14</v>
      </c>
      <c r="K147" s="74">
        <f t="shared" si="83"/>
        <v>13.25</v>
      </c>
      <c r="L147" s="74">
        <f t="shared" si="84"/>
        <v>12.5</v>
      </c>
      <c r="M147" s="74">
        <f t="shared" si="85"/>
        <v>11.75</v>
      </c>
      <c r="N147" s="114">
        <f t="shared" si="94"/>
        <v>11</v>
      </c>
      <c r="O147" s="74">
        <f t="shared" si="95"/>
        <v>12.5</v>
      </c>
      <c r="P147" s="74">
        <f t="shared" si="96"/>
        <v>14</v>
      </c>
      <c r="Q147" s="74">
        <f t="shared" si="97"/>
        <v>15.5</v>
      </c>
      <c r="R147" s="114">
        <v>17</v>
      </c>
      <c r="S147" s="129"/>
      <c r="T147" s="117">
        <f>SUM((BL20+BM20+BN19+BO19+BQ17+BR17+BS16+BT16+BU15+BV15+BX13+BY13)*-0.132/2,(BP18+BW14+BZ12+CD8+CC9+CB10+CA11)*-0.132,(CC7+CB7+CA6+BZ6+BY5+BX5+BW4+BV4)*-0.132/2,17)</f>
        <v>16.348461538461539</v>
      </c>
      <c r="U147" s="117">
        <f>Lefty!T147</f>
        <v>17.783538461538463</v>
      </c>
    </row>
    <row r="148" spans="2:21">
      <c r="B148" s="114">
        <v>23</v>
      </c>
      <c r="C148" s="74">
        <f t="shared" si="76"/>
        <v>21.75</v>
      </c>
      <c r="D148" s="74">
        <f t="shared" si="77"/>
        <v>20.5</v>
      </c>
      <c r="E148" s="74">
        <f t="shared" si="78"/>
        <v>19.25</v>
      </c>
      <c r="F148" s="114">
        <v>18</v>
      </c>
      <c r="G148" s="74">
        <f t="shared" si="79"/>
        <v>16.75</v>
      </c>
      <c r="H148" s="74">
        <f t="shared" si="80"/>
        <v>15.5</v>
      </c>
      <c r="I148" s="74">
        <f t="shared" si="81"/>
        <v>14.25</v>
      </c>
      <c r="J148" s="114">
        <f t="shared" si="82"/>
        <v>13</v>
      </c>
      <c r="K148" s="74">
        <f t="shared" si="83"/>
        <v>12.0625</v>
      </c>
      <c r="L148" s="74">
        <f t="shared" si="84"/>
        <v>11.125</v>
      </c>
      <c r="M148" s="74">
        <f t="shared" si="85"/>
        <v>10.1875</v>
      </c>
      <c r="N148" s="114">
        <f t="shared" si="94"/>
        <v>9.25</v>
      </c>
      <c r="O148" s="74">
        <f t="shared" si="95"/>
        <v>11.1875</v>
      </c>
      <c r="P148" s="74">
        <f t="shared" si="96"/>
        <v>13.125</v>
      </c>
      <c r="Q148" s="74">
        <f t="shared" si="97"/>
        <v>15.0625</v>
      </c>
      <c r="R148" s="114">
        <v>17</v>
      </c>
      <c r="S148" s="129"/>
      <c r="T148" s="117">
        <f>SUM((BJ20+BK20+BL19+BM19+BQ17+BR17+BS16+BT16+BX14+BY14+CC12+CD12+CE11+CF11+CG10+CH10+CI9+CJ9+CK8+CL8)*-0.132/2,(BN18+BO18+BP18+BU15+BV15+BW15+BZ13+CA13+CB13)*-0.132/3,(CK7+CJ7+CI7+CH7++CG6+CF6+CE6+CD6+CC5+CB5+CA5+BZ5+BY4+BX4+BW4+BV4)*-0.132/4,17)</f>
        <v>16.073461538461537</v>
      </c>
      <c r="U148" s="117">
        <f>Lefty!T148</f>
        <v>17.838538461538462</v>
      </c>
    </row>
    <row r="149" spans="2:21">
      <c r="B149" s="114">
        <v>24</v>
      </c>
      <c r="C149" s="74">
        <f t="shared" si="76"/>
        <v>22.5</v>
      </c>
      <c r="D149" s="74">
        <f t="shared" si="77"/>
        <v>21</v>
      </c>
      <c r="E149" s="74">
        <f t="shared" si="78"/>
        <v>19.5</v>
      </c>
      <c r="F149" s="114">
        <v>18</v>
      </c>
      <c r="G149" s="74">
        <f t="shared" si="79"/>
        <v>16.5</v>
      </c>
      <c r="H149" s="74">
        <f t="shared" si="80"/>
        <v>15</v>
      </c>
      <c r="I149" s="74">
        <f t="shared" si="81"/>
        <v>13.5</v>
      </c>
      <c r="J149" s="114">
        <f t="shared" si="82"/>
        <v>12</v>
      </c>
      <c r="K149" s="74">
        <f t="shared" si="83"/>
        <v>10.875</v>
      </c>
      <c r="L149" s="74">
        <f t="shared" si="84"/>
        <v>9.75</v>
      </c>
      <c r="M149" s="74">
        <f t="shared" si="85"/>
        <v>8.625</v>
      </c>
      <c r="N149" s="114">
        <f t="shared" si="94"/>
        <v>7.5</v>
      </c>
      <c r="O149" s="74">
        <f t="shared" si="95"/>
        <v>9.875</v>
      </c>
      <c r="P149" s="74">
        <f t="shared" si="96"/>
        <v>12.25</v>
      </c>
      <c r="Q149" s="74">
        <f t="shared" si="97"/>
        <v>14.625</v>
      </c>
      <c r="R149" s="114">
        <v>17</v>
      </c>
      <c r="S149" s="129"/>
      <c r="T149" s="117">
        <f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15.750061538461537</v>
      </c>
      <c r="U149" s="117">
        <f>Lefty!T149</f>
        <v>17.537138461538461</v>
      </c>
    </row>
    <row r="150" spans="2:21">
      <c r="B150" s="114">
        <v>25</v>
      </c>
      <c r="C150" s="74">
        <f t="shared" si="76"/>
        <v>23.25</v>
      </c>
      <c r="D150" s="74">
        <f t="shared" si="77"/>
        <v>21.5</v>
      </c>
      <c r="E150" s="74">
        <f t="shared" si="78"/>
        <v>19.75</v>
      </c>
      <c r="F150" s="114">
        <v>18</v>
      </c>
      <c r="G150" s="74">
        <f t="shared" si="79"/>
        <v>16.25</v>
      </c>
      <c r="H150" s="74">
        <f t="shared" si="80"/>
        <v>14.5</v>
      </c>
      <c r="I150" s="74">
        <f t="shared" si="81"/>
        <v>12.75</v>
      </c>
      <c r="J150" s="114">
        <f t="shared" si="82"/>
        <v>11</v>
      </c>
      <c r="K150" s="74">
        <f t="shared" si="83"/>
        <v>9.6875</v>
      </c>
      <c r="L150" s="74">
        <f t="shared" si="84"/>
        <v>8.375</v>
      </c>
      <c r="M150" s="74">
        <f t="shared" si="85"/>
        <v>7.0625</v>
      </c>
      <c r="N150" s="114">
        <f t="shared" si="94"/>
        <v>5.75</v>
      </c>
      <c r="O150" s="74">
        <f t="shared" si="95"/>
        <v>8.5625</v>
      </c>
      <c r="P150" s="74">
        <f t="shared" si="96"/>
        <v>11.375</v>
      </c>
      <c r="Q150" s="74">
        <f t="shared" si="97"/>
        <v>14.1875</v>
      </c>
      <c r="R150" s="114">
        <v>17</v>
      </c>
      <c r="S150" s="129"/>
      <c r="T150" s="117">
        <f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16.194461538461539</v>
      </c>
      <c r="U150" s="117">
        <f>Lefty!T150</f>
        <v>17.167538461538463</v>
      </c>
    </row>
    <row r="151" spans="2:21">
      <c r="B151" s="114">
        <v>26</v>
      </c>
      <c r="C151" s="74">
        <f t="shared" si="76"/>
        <v>24</v>
      </c>
      <c r="D151" s="74">
        <f t="shared" si="77"/>
        <v>22</v>
      </c>
      <c r="E151" s="74">
        <f t="shared" si="78"/>
        <v>20</v>
      </c>
      <c r="F151" s="114">
        <v>18</v>
      </c>
      <c r="G151" s="74">
        <f t="shared" si="79"/>
        <v>16</v>
      </c>
      <c r="H151" s="74">
        <f t="shared" si="80"/>
        <v>14</v>
      </c>
      <c r="I151" s="74">
        <f t="shared" si="81"/>
        <v>12</v>
      </c>
      <c r="J151" s="114">
        <f t="shared" si="82"/>
        <v>10</v>
      </c>
      <c r="K151" s="74">
        <f t="shared" si="83"/>
        <v>8.5</v>
      </c>
      <c r="L151" s="74">
        <f t="shared" si="84"/>
        <v>7</v>
      </c>
      <c r="M151" s="74">
        <f t="shared" si="85"/>
        <v>5.5</v>
      </c>
      <c r="N151" s="114">
        <f t="shared" si="94"/>
        <v>4</v>
      </c>
      <c r="O151" s="74">
        <f t="shared" si="95"/>
        <v>7.25</v>
      </c>
      <c r="P151" s="74">
        <f t="shared" si="96"/>
        <v>10.5</v>
      </c>
      <c r="Q151" s="74">
        <f t="shared" si="97"/>
        <v>13.75</v>
      </c>
      <c r="R151" s="114">
        <v>17</v>
      </c>
      <c r="S151" s="129"/>
      <c r="T151" s="117">
        <f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15.913175824175823</v>
      </c>
      <c r="U151" s="117">
        <f>Lefty!T151</f>
        <v>16.98368131868132</v>
      </c>
    </row>
    <row r="152" spans="2:21">
      <c r="B152" s="114">
        <v>27</v>
      </c>
      <c r="C152" s="74">
        <f t="shared" si="76"/>
        <v>24.75</v>
      </c>
      <c r="D152" s="74">
        <f t="shared" si="77"/>
        <v>22.5</v>
      </c>
      <c r="E152" s="74">
        <f t="shared" si="78"/>
        <v>20.25</v>
      </c>
      <c r="F152" s="114">
        <v>18</v>
      </c>
      <c r="G152" s="74">
        <f t="shared" si="79"/>
        <v>15.75</v>
      </c>
      <c r="H152" s="74">
        <f t="shared" si="80"/>
        <v>13.5</v>
      </c>
      <c r="I152" s="74">
        <f t="shared" si="81"/>
        <v>11.25</v>
      </c>
      <c r="J152" s="114">
        <f t="shared" si="82"/>
        <v>9</v>
      </c>
      <c r="K152" s="74">
        <f t="shared" si="83"/>
        <v>7.3125</v>
      </c>
      <c r="L152" s="74">
        <f t="shared" si="84"/>
        <v>5.625</v>
      </c>
      <c r="M152" s="74">
        <f t="shared" si="85"/>
        <v>3.9375</v>
      </c>
      <c r="N152" s="114">
        <f t="shared" si="94"/>
        <v>2.25</v>
      </c>
      <c r="O152" s="74">
        <f t="shared" si="95"/>
        <v>5.9375</v>
      </c>
      <c r="P152" s="74">
        <f t="shared" si="96"/>
        <v>9.625</v>
      </c>
      <c r="Q152" s="74">
        <f t="shared" si="97"/>
        <v>13.3125</v>
      </c>
      <c r="R152" s="114">
        <v>17</v>
      </c>
      <c r="S152" s="129"/>
      <c r="T152" s="117">
        <f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15.781961538461537</v>
      </c>
      <c r="U152" s="117">
        <f>Lefty!T152</f>
        <v>16.938738461538463</v>
      </c>
    </row>
    <row r="153" spans="2:21">
      <c r="B153" s="114"/>
      <c r="C153" s="74"/>
      <c r="D153" s="74"/>
      <c r="E153" s="74"/>
      <c r="F153" s="114"/>
      <c r="G153" s="74"/>
      <c r="H153" s="74"/>
      <c r="I153" s="74"/>
      <c r="J153" s="114"/>
      <c r="K153" s="74"/>
      <c r="L153" s="74"/>
      <c r="M153" s="74"/>
      <c r="N153" s="114"/>
      <c r="O153" s="74"/>
      <c r="P153" s="74"/>
      <c r="Q153" s="74"/>
      <c r="R153" s="114"/>
      <c r="S153" s="129"/>
    </row>
    <row r="154" spans="2:21">
      <c r="B154" s="114">
        <v>20</v>
      </c>
      <c r="C154" s="74">
        <f t="shared" si="76"/>
        <v>19.75</v>
      </c>
      <c r="D154" s="74">
        <f t="shared" si="77"/>
        <v>19.5</v>
      </c>
      <c r="E154" s="74">
        <f t="shared" si="78"/>
        <v>19.25</v>
      </c>
      <c r="F154" s="114">
        <v>19</v>
      </c>
      <c r="G154" s="74">
        <f t="shared" si="79"/>
        <v>18.75</v>
      </c>
      <c r="H154" s="74">
        <f t="shared" si="80"/>
        <v>18.5</v>
      </c>
      <c r="I154" s="74">
        <f t="shared" si="81"/>
        <v>18.25</v>
      </c>
      <c r="J154" s="114">
        <f t="shared" si="82"/>
        <v>18</v>
      </c>
      <c r="K154" s="74">
        <f t="shared" si="83"/>
        <v>17.8125</v>
      </c>
      <c r="L154" s="74">
        <f t="shared" si="84"/>
        <v>17.625</v>
      </c>
      <c r="M154" s="74">
        <f t="shared" si="85"/>
        <v>17.4375</v>
      </c>
      <c r="N154" s="114">
        <f t="shared" ref="N154:N163" si="98">SUM(F154,-B154,J154,0.25*ABS(J154-F154))</f>
        <v>17.25</v>
      </c>
      <c r="O154" s="74">
        <f t="shared" ref="O154:O163" si="99">SUM(0.25*(R154-N154),N154)</f>
        <v>17.1875</v>
      </c>
      <c r="P154" s="74">
        <f t="shared" ref="P154:P163" si="100">SUM(0.5*(R154-N154),N154)</f>
        <v>17.125</v>
      </c>
      <c r="Q154" s="74">
        <f t="shared" ref="Q154:Q163" si="101">SUM(0.75*(R154-N154),N154)</f>
        <v>17.0625</v>
      </c>
      <c r="R154" s="114">
        <v>17</v>
      </c>
      <c r="S154" s="129"/>
      <c r="T154" s="117">
        <f>SUM((BP20+BQ19+BQ18+BR17+BR16+BS15+BS14+BT13+BT12+BU11+BU10+BU9+BV8+BV7+BV6+BV5+BV4)*-0.132,17)</f>
        <v>16.480461538461537</v>
      </c>
      <c r="U154" s="117">
        <f>Lefty!T154</f>
        <v>17.25553846153846</v>
      </c>
    </row>
    <row r="155" spans="2:21">
      <c r="B155" s="114">
        <v>21</v>
      </c>
      <c r="C155" s="74">
        <f t="shared" si="76"/>
        <v>20.5</v>
      </c>
      <c r="D155" s="74">
        <f t="shared" si="77"/>
        <v>20</v>
      </c>
      <c r="E155" s="74">
        <f t="shared" si="78"/>
        <v>19.5</v>
      </c>
      <c r="F155" s="114">
        <v>19</v>
      </c>
      <c r="G155" s="74">
        <f t="shared" si="79"/>
        <v>18.5</v>
      </c>
      <c r="H155" s="74">
        <f t="shared" si="80"/>
        <v>18</v>
      </c>
      <c r="I155" s="74">
        <f t="shared" si="81"/>
        <v>17.5</v>
      </c>
      <c r="J155" s="114">
        <f t="shared" si="82"/>
        <v>17</v>
      </c>
      <c r="K155" s="74">
        <f t="shared" si="83"/>
        <v>16.625</v>
      </c>
      <c r="L155" s="74">
        <f t="shared" si="84"/>
        <v>16.25</v>
      </c>
      <c r="M155" s="74">
        <f t="shared" si="85"/>
        <v>15.875</v>
      </c>
      <c r="N155" s="114">
        <f t="shared" si="98"/>
        <v>15.5</v>
      </c>
      <c r="O155" s="74">
        <f t="shared" si="99"/>
        <v>15.875</v>
      </c>
      <c r="P155" s="74">
        <f t="shared" si="100"/>
        <v>16.25</v>
      </c>
      <c r="Q155" s="74">
        <f t="shared" si="101"/>
        <v>16.625</v>
      </c>
      <c r="R155" s="114">
        <v>17</v>
      </c>
      <c r="S155" s="129"/>
      <c r="T155" s="117">
        <f>SUM((BN20+BO19++BP18+BQ17+BR16+BS15+BT14+BU13+BV12+BW11+BW10+BX9+BX8+BW7+BW6+BV5+BV4)*-0.132,17)</f>
        <v>16.348461538461539</v>
      </c>
      <c r="U155" s="117">
        <f>Lefty!T155</f>
        <v>16.991538461538461</v>
      </c>
    </row>
    <row r="156" spans="2:21">
      <c r="B156" s="114">
        <v>22</v>
      </c>
      <c r="C156" s="74">
        <f t="shared" si="76"/>
        <v>21.25</v>
      </c>
      <c r="D156" s="74">
        <f t="shared" si="77"/>
        <v>20.5</v>
      </c>
      <c r="E156" s="74">
        <f t="shared" si="78"/>
        <v>19.75</v>
      </c>
      <c r="F156" s="114">
        <v>19</v>
      </c>
      <c r="G156" s="74">
        <f t="shared" si="79"/>
        <v>18.25</v>
      </c>
      <c r="H156" s="74">
        <f t="shared" si="80"/>
        <v>17.5</v>
      </c>
      <c r="I156" s="74">
        <f t="shared" si="81"/>
        <v>16.75</v>
      </c>
      <c r="J156" s="114">
        <f t="shared" si="82"/>
        <v>16</v>
      </c>
      <c r="K156" s="74">
        <f t="shared" si="83"/>
        <v>15.4375</v>
      </c>
      <c r="L156" s="74">
        <f t="shared" si="84"/>
        <v>14.875</v>
      </c>
      <c r="M156" s="74">
        <f t="shared" si="85"/>
        <v>14.3125</v>
      </c>
      <c r="N156" s="114">
        <f t="shared" si="98"/>
        <v>13.75</v>
      </c>
      <c r="O156" s="74">
        <f t="shared" si="99"/>
        <v>14.5625</v>
      </c>
      <c r="P156" s="74">
        <f t="shared" si="100"/>
        <v>15.375</v>
      </c>
      <c r="Q156" s="74">
        <f t="shared" si="101"/>
        <v>16.1875</v>
      </c>
      <c r="R156" s="114">
        <v>17</v>
      </c>
      <c r="S156" s="129"/>
      <c r="T156" s="117">
        <f>SUM((BL20+BO18+BR16+BU14+BX12+BY11+BZ10+CA9+CB8+BW5+BV4)*-0.132,(BM19+BN19+BP17+BQ17+BS15+BT15+BV13+BW13+CA7+BZ7+BY6+BX6)*-0.132/2,17)</f>
        <v>16.414461538461538</v>
      </c>
      <c r="U156" s="117">
        <f>Lefty!T156</f>
        <v>17.585538461538462</v>
      </c>
    </row>
    <row r="157" spans="2:21">
      <c r="B157" s="114">
        <v>23</v>
      </c>
      <c r="C157" s="74">
        <f t="shared" si="76"/>
        <v>22</v>
      </c>
      <c r="D157" s="74">
        <f t="shared" si="77"/>
        <v>21</v>
      </c>
      <c r="E157" s="74">
        <f t="shared" si="78"/>
        <v>20</v>
      </c>
      <c r="F157" s="114">
        <v>19</v>
      </c>
      <c r="G157" s="74">
        <f t="shared" si="79"/>
        <v>18</v>
      </c>
      <c r="H157" s="74">
        <f t="shared" si="80"/>
        <v>17</v>
      </c>
      <c r="I157" s="74">
        <f t="shared" si="81"/>
        <v>16</v>
      </c>
      <c r="J157" s="114">
        <f t="shared" si="82"/>
        <v>15</v>
      </c>
      <c r="K157" s="74">
        <f t="shared" si="83"/>
        <v>14.25</v>
      </c>
      <c r="L157" s="74">
        <f t="shared" si="84"/>
        <v>13.5</v>
      </c>
      <c r="M157" s="74">
        <f t="shared" si="85"/>
        <v>12.75</v>
      </c>
      <c r="N157" s="114">
        <f t="shared" si="98"/>
        <v>12</v>
      </c>
      <c r="O157" s="74">
        <f t="shared" si="99"/>
        <v>13.25</v>
      </c>
      <c r="P157" s="74">
        <f t="shared" si="100"/>
        <v>14.5</v>
      </c>
      <c r="Q157" s="74">
        <f t="shared" si="101"/>
        <v>15.75</v>
      </c>
      <c r="R157" s="114">
        <v>17</v>
      </c>
      <c r="S157" s="129"/>
      <c r="T157" s="117">
        <f>SUM((BJ20+CC10+CF8)*-0.132,(BK19+BL19+BM18+BN18+BO17+BP17+BQ16+BR16+BS15+BT15+BU14+BV14+BW13+BX13+BY12+BZ12+CA11+CB11+CD9+CE9+BY5+BX5+BW4+BV4)*-0.132/2,(CE7+CD7+CC7+CB6+CA6+BZ6)*-0.132/3,17)</f>
        <v>16.326461538461537</v>
      </c>
      <c r="U157" s="117">
        <f>Lefty!T157</f>
        <v>17.25553846153846</v>
      </c>
    </row>
    <row r="158" spans="2:21">
      <c r="B158" s="114">
        <v>24</v>
      </c>
      <c r="C158" s="74">
        <f t="shared" si="76"/>
        <v>22.75</v>
      </c>
      <c r="D158" s="74">
        <f t="shared" si="77"/>
        <v>21.5</v>
      </c>
      <c r="E158" s="74">
        <f t="shared" si="78"/>
        <v>20.25</v>
      </c>
      <c r="F158" s="114">
        <v>19</v>
      </c>
      <c r="G158" s="74">
        <f t="shared" si="79"/>
        <v>17.75</v>
      </c>
      <c r="H158" s="74">
        <f t="shared" si="80"/>
        <v>16.5</v>
      </c>
      <c r="I158" s="74">
        <f t="shared" si="81"/>
        <v>15.25</v>
      </c>
      <c r="J158" s="114">
        <f t="shared" si="82"/>
        <v>14</v>
      </c>
      <c r="K158" s="74">
        <f t="shared" si="83"/>
        <v>13.0625</v>
      </c>
      <c r="L158" s="74">
        <f t="shared" si="84"/>
        <v>12.125</v>
      </c>
      <c r="M158" s="74">
        <f t="shared" si="85"/>
        <v>11.1875</v>
      </c>
      <c r="N158" s="114">
        <f t="shared" si="98"/>
        <v>10.25</v>
      </c>
      <c r="O158" s="74">
        <f t="shared" si="99"/>
        <v>11.9375</v>
      </c>
      <c r="P158" s="74">
        <f t="shared" si="100"/>
        <v>13.625</v>
      </c>
      <c r="Q158" s="74">
        <f t="shared" si="101"/>
        <v>15.3125</v>
      </c>
      <c r="R158" s="114">
        <v>17</v>
      </c>
      <c r="S158" s="129"/>
      <c r="T158" s="117">
        <f>SUM((BH20+BI20+BJ19+BK19+BO17+BP17+BQ16+BR16+BV14+BW14+CA12+CB12+CC11+CD11+CE10+CF10+CG9+CH9+CI8+CJ8)*-0.132/2,(BL18+BM18+BN18+BS15+BT15+BU15+BX13+BY13+BZ13)*-0.132/3,(CI7+CH7+CG7+CF7+CE6+CD6+CC6+CB6)*-0.132/4,(CA5+BZ5+BY5+BX4+BW4+BV4)*-0.132/3,17)</f>
        <v>16.139461538461539</v>
      </c>
      <c r="U158" s="117">
        <f>Lefty!T158</f>
        <v>17.200538461538461</v>
      </c>
    </row>
    <row r="159" spans="2:21">
      <c r="B159" s="114">
        <v>25</v>
      </c>
      <c r="C159" s="74">
        <f t="shared" si="76"/>
        <v>23.5</v>
      </c>
      <c r="D159" s="74">
        <f t="shared" si="77"/>
        <v>22</v>
      </c>
      <c r="E159" s="74">
        <f t="shared" si="78"/>
        <v>20.5</v>
      </c>
      <c r="F159" s="114">
        <v>19</v>
      </c>
      <c r="G159" s="74">
        <f t="shared" si="79"/>
        <v>17.5</v>
      </c>
      <c r="H159" s="74">
        <f t="shared" si="80"/>
        <v>16</v>
      </c>
      <c r="I159" s="74">
        <f t="shared" si="81"/>
        <v>14.5</v>
      </c>
      <c r="J159" s="114">
        <f t="shared" si="82"/>
        <v>13</v>
      </c>
      <c r="K159" s="74">
        <f t="shared" si="83"/>
        <v>11.875</v>
      </c>
      <c r="L159" s="74">
        <f t="shared" si="84"/>
        <v>10.75</v>
      </c>
      <c r="M159" s="74">
        <f t="shared" si="85"/>
        <v>9.625</v>
      </c>
      <c r="N159" s="114">
        <f t="shared" si="98"/>
        <v>8.5</v>
      </c>
      <c r="O159" s="74">
        <f t="shared" si="99"/>
        <v>10.625</v>
      </c>
      <c r="P159" s="74">
        <f t="shared" si="100"/>
        <v>12.75</v>
      </c>
      <c r="Q159" s="74">
        <f t="shared" si="101"/>
        <v>14.875</v>
      </c>
      <c r="R159" s="114">
        <v>17</v>
      </c>
      <c r="S159" s="129"/>
      <c r="T159" s="117">
        <f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15.895261538461538</v>
      </c>
      <c r="U159" s="117">
        <f>Lefty!T159</f>
        <v>17.31053846153846</v>
      </c>
    </row>
    <row r="160" spans="2:21">
      <c r="B160" s="114">
        <v>26</v>
      </c>
      <c r="C160" s="74">
        <f t="shared" si="76"/>
        <v>24.25</v>
      </c>
      <c r="D160" s="74">
        <f t="shared" si="77"/>
        <v>22.5</v>
      </c>
      <c r="E160" s="74">
        <f t="shared" si="78"/>
        <v>20.75</v>
      </c>
      <c r="F160" s="114">
        <v>19</v>
      </c>
      <c r="G160" s="74">
        <f t="shared" si="79"/>
        <v>17.25</v>
      </c>
      <c r="H160" s="74">
        <f t="shared" si="80"/>
        <v>15.5</v>
      </c>
      <c r="I160" s="74">
        <f t="shared" si="81"/>
        <v>13.75</v>
      </c>
      <c r="J160" s="114">
        <f t="shared" si="82"/>
        <v>12</v>
      </c>
      <c r="K160" s="74">
        <f t="shared" si="83"/>
        <v>10.6875</v>
      </c>
      <c r="L160" s="74">
        <f t="shared" si="84"/>
        <v>9.375</v>
      </c>
      <c r="M160" s="74">
        <f t="shared" si="85"/>
        <v>8.0625</v>
      </c>
      <c r="N160" s="114">
        <f t="shared" si="98"/>
        <v>6.75</v>
      </c>
      <c r="O160" s="74">
        <f t="shared" si="99"/>
        <v>9.3125</v>
      </c>
      <c r="P160" s="74">
        <f t="shared" si="100"/>
        <v>11.875</v>
      </c>
      <c r="Q160" s="74">
        <f t="shared" si="101"/>
        <v>14.4375</v>
      </c>
      <c r="R160" s="114">
        <v>17</v>
      </c>
      <c r="S160" s="129"/>
      <c r="T160" s="117">
        <f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15.615861538461537</v>
      </c>
      <c r="U160" s="117">
        <f>Lefty!T160</f>
        <v>17.138938461538462</v>
      </c>
    </row>
    <row r="161" spans="2:21">
      <c r="B161" s="114">
        <v>27</v>
      </c>
      <c r="C161" s="74">
        <f t="shared" si="76"/>
        <v>25</v>
      </c>
      <c r="D161" s="74">
        <f t="shared" si="77"/>
        <v>23</v>
      </c>
      <c r="E161" s="74">
        <f t="shared" si="78"/>
        <v>21</v>
      </c>
      <c r="F161" s="114">
        <v>19</v>
      </c>
      <c r="G161" s="74">
        <f t="shared" si="79"/>
        <v>17</v>
      </c>
      <c r="H161" s="74">
        <f t="shared" si="80"/>
        <v>15</v>
      </c>
      <c r="I161" s="74">
        <f t="shared" si="81"/>
        <v>13</v>
      </c>
      <c r="J161" s="114">
        <f t="shared" si="82"/>
        <v>11</v>
      </c>
      <c r="K161" s="74">
        <f t="shared" si="83"/>
        <v>9.5</v>
      </c>
      <c r="L161" s="74">
        <f t="shared" si="84"/>
        <v>8</v>
      </c>
      <c r="M161" s="74">
        <f t="shared" si="85"/>
        <v>6.5</v>
      </c>
      <c r="N161" s="114">
        <f t="shared" si="98"/>
        <v>5</v>
      </c>
      <c r="O161" s="74">
        <f t="shared" si="99"/>
        <v>8</v>
      </c>
      <c r="P161" s="74">
        <f t="shared" si="100"/>
        <v>11</v>
      </c>
      <c r="Q161" s="74">
        <f t="shared" si="101"/>
        <v>14</v>
      </c>
      <c r="R161" s="114">
        <v>17</v>
      </c>
      <c r="S161" s="129"/>
      <c r="T161" s="117">
        <f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15.732461538461537</v>
      </c>
      <c r="U161" s="117">
        <f>Lefty!T161</f>
        <v>16.964824175824177</v>
      </c>
    </row>
    <row r="162" spans="2:21">
      <c r="B162" s="114">
        <v>28</v>
      </c>
      <c r="C162" s="74">
        <f t="shared" si="76"/>
        <v>25.75</v>
      </c>
      <c r="D162" s="74">
        <f t="shared" si="77"/>
        <v>23.5</v>
      </c>
      <c r="E162" s="74">
        <f t="shared" si="78"/>
        <v>21.25</v>
      </c>
      <c r="F162" s="114">
        <v>19</v>
      </c>
      <c r="G162" s="74">
        <f t="shared" si="79"/>
        <v>16.75</v>
      </c>
      <c r="H162" s="74">
        <f t="shared" si="80"/>
        <v>14.5</v>
      </c>
      <c r="I162" s="74">
        <f t="shared" si="81"/>
        <v>12.25</v>
      </c>
      <c r="J162" s="114">
        <f t="shared" si="82"/>
        <v>10</v>
      </c>
      <c r="K162" s="74">
        <f t="shared" si="83"/>
        <v>8.3125</v>
      </c>
      <c r="L162" s="74">
        <f t="shared" si="84"/>
        <v>6.625</v>
      </c>
      <c r="M162" s="74">
        <f t="shared" si="85"/>
        <v>4.9375</v>
      </c>
      <c r="N162" s="114">
        <f t="shared" si="98"/>
        <v>3.25</v>
      </c>
      <c r="O162" s="74">
        <f t="shared" si="99"/>
        <v>6.6875</v>
      </c>
      <c r="P162" s="74">
        <f t="shared" si="100"/>
        <v>10.125</v>
      </c>
      <c r="Q162" s="74">
        <f t="shared" si="101"/>
        <v>13.5625</v>
      </c>
      <c r="R162" s="114">
        <v>17</v>
      </c>
      <c r="S162" s="129"/>
      <c r="T162" s="117">
        <f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15.486375824175823</v>
      </c>
      <c r="U162" s="117">
        <f>Lefty!T162</f>
        <v>16.782695604395606</v>
      </c>
    </row>
    <row r="163" spans="2:21">
      <c r="B163" s="114">
        <v>29</v>
      </c>
      <c r="C163" s="74">
        <f t="shared" si="76"/>
        <v>26.5</v>
      </c>
      <c r="D163" s="74">
        <f t="shared" si="77"/>
        <v>24</v>
      </c>
      <c r="E163" s="74">
        <f t="shared" si="78"/>
        <v>21.5</v>
      </c>
      <c r="F163" s="114">
        <v>19</v>
      </c>
      <c r="G163" s="74">
        <f t="shared" si="79"/>
        <v>16.5</v>
      </c>
      <c r="H163" s="74">
        <f t="shared" si="80"/>
        <v>14</v>
      </c>
      <c r="I163" s="74">
        <f t="shared" si="81"/>
        <v>11.5</v>
      </c>
      <c r="J163" s="114">
        <f t="shared" si="82"/>
        <v>9</v>
      </c>
      <c r="K163" s="74">
        <f t="shared" si="83"/>
        <v>7.125</v>
      </c>
      <c r="L163" s="74">
        <f t="shared" si="84"/>
        <v>5.25</v>
      </c>
      <c r="M163" s="74">
        <f t="shared" si="85"/>
        <v>3.375</v>
      </c>
      <c r="N163" s="114">
        <f t="shared" si="98"/>
        <v>1.5</v>
      </c>
      <c r="O163" s="74">
        <f t="shared" si="99"/>
        <v>5.375</v>
      </c>
      <c r="P163" s="74">
        <f t="shared" si="100"/>
        <v>9.25</v>
      </c>
      <c r="Q163" s="74">
        <f t="shared" si="101"/>
        <v>13.125</v>
      </c>
      <c r="R163" s="114">
        <v>17</v>
      </c>
      <c r="S163" s="129"/>
      <c r="T163" s="126">
        <f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15.51151868131868</v>
      </c>
      <c r="U163" s="126">
        <f>Lefty!T163</f>
        <v>16.883424175824178</v>
      </c>
    </row>
    <row r="164" spans="2:21">
      <c r="B164" s="114"/>
      <c r="C164" s="74"/>
      <c r="D164" s="74"/>
      <c r="E164" s="74"/>
      <c r="F164" s="114"/>
      <c r="G164" s="74"/>
      <c r="H164" s="74"/>
      <c r="I164" s="74"/>
      <c r="J164" s="114"/>
      <c r="K164" s="74"/>
      <c r="L164" s="74"/>
      <c r="M164" s="74"/>
      <c r="N164" s="114"/>
      <c r="O164" s="74"/>
      <c r="P164" s="74"/>
      <c r="Q164" s="74"/>
      <c r="R164" s="114"/>
      <c r="S164" s="129"/>
    </row>
    <row r="165" spans="2:21">
      <c r="B165" s="114">
        <v>21</v>
      </c>
      <c r="C165" s="74">
        <f t="shared" si="76"/>
        <v>20.75</v>
      </c>
      <c r="D165" s="74">
        <f t="shared" si="77"/>
        <v>20.5</v>
      </c>
      <c r="E165" s="74">
        <f t="shared" si="78"/>
        <v>20.25</v>
      </c>
      <c r="F165" s="114">
        <v>20</v>
      </c>
      <c r="G165" s="74">
        <f t="shared" si="79"/>
        <v>19.75</v>
      </c>
      <c r="H165" s="74">
        <f t="shared" si="80"/>
        <v>19.5</v>
      </c>
      <c r="I165" s="74">
        <f t="shared" si="81"/>
        <v>19.25</v>
      </c>
      <c r="J165" s="114">
        <f t="shared" si="82"/>
        <v>19</v>
      </c>
      <c r="K165" s="74">
        <f t="shared" si="83"/>
        <v>18.75</v>
      </c>
      <c r="L165" s="74">
        <f t="shared" si="84"/>
        <v>18.5</v>
      </c>
      <c r="M165" s="74">
        <f t="shared" si="85"/>
        <v>18.25</v>
      </c>
      <c r="N165" s="114">
        <f>SUM(J165,J165,-F165)</f>
        <v>18</v>
      </c>
      <c r="O165" s="74">
        <f t="shared" ref="O165:O174" si="102">SUM(0.25*(R165-N165),N165)</f>
        <v>17.75</v>
      </c>
      <c r="P165" s="74">
        <f t="shared" ref="P165:P174" si="103">SUM(0.5*(R165-N165),N165)</f>
        <v>17.5</v>
      </c>
      <c r="Q165" s="74">
        <f t="shared" ref="Q165:Q174" si="104">SUM(0.75*(R165-N165),N165)</f>
        <v>17.25</v>
      </c>
      <c r="R165" s="114">
        <v>17</v>
      </c>
      <c r="S165" s="129"/>
      <c r="T165" s="117">
        <f>SUM((BP20+BQ19+BQ18+BR17+BR16+BS15+BS14+BT13+BT12+BU11+BU10+BU9+BV8+BV7+BV6+BV5+BV4)*-0.132,17)</f>
        <v>16.480461538461537</v>
      </c>
      <c r="U165" s="117">
        <f>Lefty!T165</f>
        <v>17.25553846153846</v>
      </c>
    </row>
    <row r="166" spans="2:21">
      <c r="B166" s="114">
        <v>22</v>
      </c>
      <c r="C166" s="74">
        <f t="shared" si="76"/>
        <v>21.5</v>
      </c>
      <c r="D166" s="74">
        <f t="shared" si="77"/>
        <v>21</v>
      </c>
      <c r="E166" s="74">
        <f t="shared" si="78"/>
        <v>20.5</v>
      </c>
      <c r="F166" s="114">
        <v>20</v>
      </c>
      <c r="G166" s="74">
        <f t="shared" si="79"/>
        <v>19.5</v>
      </c>
      <c r="H166" s="74">
        <f t="shared" si="80"/>
        <v>19</v>
      </c>
      <c r="I166" s="74">
        <f t="shared" si="81"/>
        <v>18.5</v>
      </c>
      <c r="J166" s="114">
        <f t="shared" si="82"/>
        <v>18</v>
      </c>
      <c r="K166" s="74">
        <f t="shared" si="83"/>
        <v>17.625</v>
      </c>
      <c r="L166" s="74">
        <f t="shared" si="84"/>
        <v>17.25</v>
      </c>
      <c r="M166" s="74">
        <f t="shared" si="85"/>
        <v>16.875</v>
      </c>
      <c r="N166" s="114">
        <f t="shared" ref="N166:N174" si="105">SUM(F166,-B166,J166,0.25*ABS(J166-F166))</f>
        <v>16.5</v>
      </c>
      <c r="O166" s="74">
        <f t="shared" si="102"/>
        <v>16.625</v>
      </c>
      <c r="P166" s="74">
        <f t="shared" si="103"/>
        <v>16.75</v>
      </c>
      <c r="Q166" s="74">
        <f t="shared" si="104"/>
        <v>16.875</v>
      </c>
      <c r="R166" s="114">
        <v>17</v>
      </c>
      <c r="S166" s="129"/>
      <c r="T166" s="117">
        <f>SUM((BL20+BM19+BN18+BO17+BP16+BQ15+BR14+BS13+BT12+BU11+BU10+BU9+BV8+BV7+BV6+BV5+BV4)*-0.132,17)</f>
        <v>15.820461538461538</v>
      </c>
      <c r="U166" s="117">
        <f>Lefty!T166</f>
        <v>17.387538461538462</v>
      </c>
    </row>
    <row r="167" spans="2:21">
      <c r="B167" s="114">
        <v>23</v>
      </c>
      <c r="C167" s="74">
        <f t="shared" si="76"/>
        <v>22.25</v>
      </c>
      <c r="D167" s="74">
        <f t="shared" si="77"/>
        <v>21.5</v>
      </c>
      <c r="E167" s="74">
        <f t="shared" si="78"/>
        <v>20.75</v>
      </c>
      <c r="F167" s="114">
        <v>20</v>
      </c>
      <c r="G167" s="74">
        <f t="shared" si="79"/>
        <v>19.25</v>
      </c>
      <c r="H167" s="74">
        <f t="shared" si="80"/>
        <v>18.5</v>
      </c>
      <c r="I167" s="74">
        <f t="shared" si="81"/>
        <v>17.75</v>
      </c>
      <c r="J167" s="114">
        <f t="shared" si="82"/>
        <v>17</v>
      </c>
      <c r="K167" s="74">
        <f t="shared" si="83"/>
        <v>16.4375</v>
      </c>
      <c r="L167" s="74">
        <f t="shared" si="84"/>
        <v>15.875</v>
      </c>
      <c r="M167" s="74">
        <f t="shared" si="85"/>
        <v>15.3125</v>
      </c>
      <c r="N167" s="114">
        <f t="shared" si="105"/>
        <v>14.75</v>
      </c>
      <c r="O167" s="74">
        <f t="shared" si="102"/>
        <v>15.3125</v>
      </c>
      <c r="P167" s="74">
        <f t="shared" si="103"/>
        <v>15.875</v>
      </c>
      <c r="Q167" s="74">
        <f t="shared" si="104"/>
        <v>16.4375</v>
      </c>
      <c r="R167" s="114">
        <v>17</v>
      </c>
      <c r="S167" s="129"/>
      <c r="T167" s="117">
        <f>SUM((BJ20+BM18+BP16+BS14+BV12+BW11+BX10+BY9+BZ8+BY7+BX6+BW5+BV4)*-0.132,(BK19+BL19+BN17+BO17+BQ15+BR15+BT13+BU13)*-0.132/2,17)</f>
        <v>15.820461538461538</v>
      </c>
      <c r="U167" s="117">
        <f>Lefty!T167</f>
        <v>16.991538461538461</v>
      </c>
    </row>
    <row r="168" spans="2:21">
      <c r="B168" s="114">
        <v>24</v>
      </c>
      <c r="C168" s="74">
        <f t="shared" si="76"/>
        <v>23</v>
      </c>
      <c r="D168" s="74">
        <f t="shared" si="77"/>
        <v>22</v>
      </c>
      <c r="E168" s="74">
        <f t="shared" si="78"/>
        <v>21</v>
      </c>
      <c r="F168" s="114">
        <v>20</v>
      </c>
      <c r="G168" s="74">
        <f t="shared" si="79"/>
        <v>19</v>
      </c>
      <c r="H168" s="74">
        <f t="shared" si="80"/>
        <v>18</v>
      </c>
      <c r="I168" s="74">
        <f t="shared" si="81"/>
        <v>17</v>
      </c>
      <c r="J168" s="114">
        <f t="shared" si="82"/>
        <v>16</v>
      </c>
      <c r="K168" s="74">
        <f t="shared" si="83"/>
        <v>15.25</v>
      </c>
      <c r="L168" s="74">
        <f t="shared" si="84"/>
        <v>14.5</v>
      </c>
      <c r="M168" s="74">
        <f t="shared" si="85"/>
        <v>13.75</v>
      </c>
      <c r="N168" s="114">
        <f t="shared" si="105"/>
        <v>13</v>
      </c>
      <c r="O168" s="74">
        <f t="shared" si="102"/>
        <v>14</v>
      </c>
      <c r="P168" s="74">
        <f t="shared" si="103"/>
        <v>15</v>
      </c>
      <c r="Q168" s="74">
        <f t="shared" si="104"/>
        <v>16</v>
      </c>
      <c r="R168" s="114">
        <v>17</v>
      </c>
      <c r="S168" s="129"/>
      <c r="T168" s="117">
        <f>SUM(BH20*-0.132,(BJ19+BI19+BK18+BL18+BM17+BN17+BP16+BO16+BT14+BU14+BY12+BZ12+CA11+CB11+CC10+CD10+CE9+CF9+CG8+CH8)*-0.132/2,(BQ15+BR15+BS15+BV13+BW13+BX13+CG7+CF7+CE7+CD6+CC6+CB6+CA5+BZ5+BY5+BX4+BW4+BV4)*-0.132/3,17)</f>
        <v>16.150461538461538</v>
      </c>
      <c r="U168" s="117">
        <f>Lefty!T168</f>
        <v>17.233538461538462</v>
      </c>
    </row>
    <row r="169" spans="2:21">
      <c r="B169" s="114">
        <v>25</v>
      </c>
      <c r="C169" s="74">
        <f t="shared" si="76"/>
        <v>23.75</v>
      </c>
      <c r="D169" s="74">
        <f t="shared" si="77"/>
        <v>22.5</v>
      </c>
      <c r="E169" s="74">
        <f t="shared" si="78"/>
        <v>21.25</v>
      </c>
      <c r="F169" s="114">
        <v>20</v>
      </c>
      <c r="G169" s="74">
        <f t="shared" si="79"/>
        <v>18.75</v>
      </c>
      <c r="H169" s="74">
        <f t="shared" si="80"/>
        <v>17.5</v>
      </c>
      <c r="I169" s="74">
        <f t="shared" si="81"/>
        <v>16.25</v>
      </c>
      <c r="J169" s="114">
        <f t="shared" si="82"/>
        <v>15</v>
      </c>
      <c r="K169" s="74">
        <f t="shared" si="83"/>
        <v>14.0625</v>
      </c>
      <c r="L169" s="74">
        <f t="shared" si="84"/>
        <v>13.125</v>
      </c>
      <c r="M169" s="74">
        <f t="shared" si="85"/>
        <v>12.1875</v>
      </c>
      <c r="N169" s="114">
        <f t="shared" si="105"/>
        <v>11.25</v>
      </c>
      <c r="O169" s="74">
        <f t="shared" si="102"/>
        <v>12.6875</v>
      </c>
      <c r="P169" s="74">
        <f t="shared" si="103"/>
        <v>14.125</v>
      </c>
      <c r="Q169" s="74">
        <f t="shared" si="104"/>
        <v>15.5625</v>
      </c>
      <c r="R169" s="114">
        <v>17</v>
      </c>
      <c r="S169" s="129"/>
      <c r="T169" s="117">
        <f>SUM((BF20+BG20+BH19+BI19+BM17+BN17+BO16+BP16+BT14+BU14+BY12+BZ12+CA11+CB11+CC10+CD10+CE9+CF9+CG8+CH8)*-0.132/2,(BJ18+BK18+BL18+BQ15+BR15+BS15+BV13+BW13+BX13)*-0.132/3,(CG7+CF7+CE7+CD6+CC6+CB6+CA5+BZ5+BY5+BX4+BW4+BV4)*-0.132/3,17)</f>
        <v>16.062461538461537</v>
      </c>
      <c r="U169" s="117">
        <f>Lefty!T169</f>
        <v>17.233538461538462</v>
      </c>
    </row>
    <row r="170" spans="2:21">
      <c r="B170" s="114">
        <v>26</v>
      </c>
      <c r="C170" s="74">
        <f t="shared" si="76"/>
        <v>24.5</v>
      </c>
      <c r="D170" s="74">
        <f t="shared" si="77"/>
        <v>23</v>
      </c>
      <c r="E170" s="74">
        <f t="shared" si="78"/>
        <v>21.5</v>
      </c>
      <c r="F170" s="114">
        <v>20</v>
      </c>
      <c r="G170" s="74">
        <f t="shared" si="79"/>
        <v>18.5</v>
      </c>
      <c r="H170" s="74">
        <f t="shared" si="80"/>
        <v>17</v>
      </c>
      <c r="I170" s="74">
        <f t="shared" si="81"/>
        <v>15.5</v>
      </c>
      <c r="J170" s="114">
        <f t="shared" si="82"/>
        <v>14</v>
      </c>
      <c r="K170" s="74">
        <f t="shared" si="83"/>
        <v>12.875</v>
      </c>
      <c r="L170" s="74">
        <f t="shared" si="84"/>
        <v>11.75</v>
      </c>
      <c r="M170" s="74">
        <f t="shared" si="85"/>
        <v>10.625</v>
      </c>
      <c r="N170" s="114">
        <f t="shared" si="105"/>
        <v>9.5</v>
      </c>
      <c r="O170" s="74">
        <f t="shared" si="102"/>
        <v>11.375</v>
      </c>
      <c r="P170" s="74">
        <f t="shared" si="103"/>
        <v>13.25</v>
      </c>
      <c r="Q170" s="74">
        <f t="shared" si="104"/>
        <v>15.125</v>
      </c>
      <c r="R170" s="114">
        <v>17</v>
      </c>
      <c r="S170" s="129"/>
      <c r="T170" s="117">
        <f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15.611461538461537</v>
      </c>
      <c r="U170" s="117">
        <f>Lefty!T170</f>
        <v>17.134538461538462</v>
      </c>
    </row>
    <row r="171" spans="2:21">
      <c r="B171" s="114">
        <v>27</v>
      </c>
      <c r="C171" s="74">
        <f t="shared" si="76"/>
        <v>25.25</v>
      </c>
      <c r="D171" s="74">
        <f t="shared" si="77"/>
        <v>23.5</v>
      </c>
      <c r="E171" s="74">
        <f t="shared" si="78"/>
        <v>21.75</v>
      </c>
      <c r="F171" s="114">
        <v>20</v>
      </c>
      <c r="G171" s="74">
        <f t="shared" si="79"/>
        <v>18.25</v>
      </c>
      <c r="H171" s="74">
        <f t="shared" si="80"/>
        <v>16.5</v>
      </c>
      <c r="I171" s="74">
        <f t="shared" si="81"/>
        <v>14.75</v>
      </c>
      <c r="J171" s="114">
        <f t="shared" si="82"/>
        <v>13</v>
      </c>
      <c r="K171" s="74">
        <f t="shared" si="83"/>
        <v>11.6875</v>
      </c>
      <c r="L171" s="74">
        <f t="shared" si="84"/>
        <v>10.375</v>
      </c>
      <c r="M171" s="74">
        <f t="shared" si="85"/>
        <v>9.0625</v>
      </c>
      <c r="N171" s="114">
        <f t="shared" si="105"/>
        <v>7.75</v>
      </c>
      <c r="O171" s="74">
        <f t="shared" si="102"/>
        <v>10.0625</v>
      </c>
      <c r="P171" s="74">
        <f t="shared" si="103"/>
        <v>12.375</v>
      </c>
      <c r="Q171" s="74">
        <f t="shared" si="104"/>
        <v>14.6875</v>
      </c>
      <c r="R171" s="114">
        <v>17</v>
      </c>
      <c r="S171" s="129"/>
      <c r="T171" s="117">
        <f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15.354061538461536</v>
      </c>
      <c r="U171" s="117">
        <f>Lefty!T171</f>
        <v>17.09713846153846</v>
      </c>
    </row>
    <row r="172" spans="2:21">
      <c r="B172" s="114">
        <v>28</v>
      </c>
      <c r="C172" s="74">
        <f t="shared" si="76"/>
        <v>26</v>
      </c>
      <c r="D172" s="74">
        <f t="shared" si="77"/>
        <v>24</v>
      </c>
      <c r="E172" s="74">
        <f t="shared" si="78"/>
        <v>22</v>
      </c>
      <c r="F172" s="114">
        <v>20</v>
      </c>
      <c r="G172" s="74">
        <f t="shared" si="79"/>
        <v>18</v>
      </c>
      <c r="H172" s="74">
        <f t="shared" si="80"/>
        <v>16</v>
      </c>
      <c r="I172" s="74">
        <f t="shared" si="81"/>
        <v>14</v>
      </c>
      <c r="J172" s="114">
        <f t="shared" si="82"/>
        <v>12</v>
      </c>
      <c r="K172" s="74">
        <f t="shared" si="83"/>
        <v>10.5</v>
      </c>
      <c r="L172" s="74">
        <f t="shared" si="84"/>
        <v>9</v>
      </c>
      <c r="M172" s="74">
        <f t="shared" si="85"/>
        <v>7.5</v>
      </c>
      <c r="N172" s="114">
        <f t="shared" si="105"/>
        <v>6</v>
      </c>
      <c r="O172" s="74">
        <f t="shared" si="102"/>
        <v>8.75</v>
      </c>
      <c r="P172" s="74">
        <f t="shared" si="103"/>
        <v>11.5</v>
      </c>
      <c r="Q172" s="74">
        <f t="shared" si="104"/>
        <v>14.25</v>
      </c>
      <c r="R172" s="114">
        <v>17</v>
      </c>
      <c r="S172" s="129"/>
      <c r="T172" s="117">
        <f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15.424461538461538</v>
      </c>
      <c r="U172" s="117">
        <f>Lefty!T172</f>
        <v>16.859538461538463</v>
      </c>
    </row>
    <row r="173" spans="2:21">
      <c r="B173" s="114">
        <v>29</v>
      </c>
      <c r="C173" s="74">
        <f t="shared" si="76"/>
        <v>26.75</v>
      </c>
      <c r="D173" s="74">
        <f t="shared" si="77"/>
        <v>24.5</v>
      </c>
      <c r="E173" s="74">
        <f t="shared" si="78"/>
        <v>22.25</v>
      </c>
      <c r="F173" s="114">
        <v>20</v>
      </c>
      <c r="G173" s="74">
        <f t="shared" si="79"/>
        <v>17.75</v>
      </c>
      <c r="H173" s="74">
        <f t="shared" si="80"/>
        <v>15.5</v>
      </c>
      <c r="I173" s="74">
        <f t="shared" si="81"/>
        <v>13.25</v>
      </c>
      <c r="J173" s="114">
        <f t="shared" si="82"/>
        <v>11</v>
      </c>
      <c r="K173" s="74">
        <f t="shared" si="83"/>
        <v>9.3125</v>
      </c>
      <c r="L173" s="74">
        <f t="shared" si="84"/>
        <v>7.625</v>
      </c>
      <c r="M173" s="74">
        <f t="shared" si="85"/>
        <v>5.9375</v>
      </c>
      <c r="N173" s="114">
        <f t="shared" si="105"/>
        <v>4.25</v>
      </c>
      <c r="O173" s="74">
        <f t="shared" si="102"/>
        <v>7.4375</v>
      </c>
      <c r="P173" s="74">
        <f t="shared" si="103"/>
        <v>10.625</v>
      </c>
      <c r="Q173" s="74">
        <f t="shared" si="104"/>
        <v>13.8125</v>
      </c>
      <c r="R173" s="114">
        <v>17</v>
      </c>
      <c r="S173" s="129"/>
      <c r="T173" s="117">
        <f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15.319175824175822</v>
      </c>
      <c r="U173" s="117">
        <f>Lefty!T173</f>
        <v>16.873681318681321</v>
      </c>
    </row>
    <row r="174" spans="2:21">
      <c r="B174" s="114">
        <v>30</v>
      </c>
      <c r="C174" s="74">
        <f t="shared" si="76"/>
        <v>27.5</v>
      </c>
      <c r="D174" s="74">
        <f t="shared" si="77"/>
        <v>25</v>
      </c>
      <c r="E174" s="74">
        <f t="shared" si="78"/>
        <v>22.5</v>
      </c>
      <c r="F174" s="114">
        <v>20</v>
      </c>
      <c r="G174" s="74">
        <f t="shared" si="79"/>
        <v>17.5</v>
      </c>
      <c r="H174" s="74">
        <f t="shared" si="80"/>
        <v>15</v>
      </c>
      <c r="I174" s="74">
        <f t="shared" si="81"/>
        <v>12.5</v>
      </c>
      <c r="J174" s="114">
        <f t="shared" si="82"/>
        <v>10</v>
      </c>
      <c r="K174" s="74">
        <f t="shared" si="83"/>
        <v>8.125</v>
      </c>
      <c r="L174" s="74">
        <f t="shared" si="84"/>
        <v>6.25</v>
      </c>
      <c r="M174" s="74">
        <f t="shared" si="85"/>
        <v>4.375</v>
      </c>
      <c r="N174" s="114">
        <f t="shared" si="105"/>
        <v>2.5</v>
      </c>
      <c r="O174" s="74">
        <f t="shared" si="102"/>
        <v>6.125</v>
      </c>
      <c r="P174" s="74">
        <f t="shared" si="103"/>
        <v>9.75</v>
      </c>
      <c r="Q174" s="74">
        <f t="shared" si="104"/>
        <v>13.375</v>
      </c>
      <c r="R174" s="114">
        <v>17</v>
      </c>
      <c r="S174" s="129"/>
      <c r="T174" s="117">
        <f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15.315561538461537</v>
      </c>
      <c r="U174" s="117">
        <f>Lefty!T174</f>
        <v>16.813338461538461</v>
      </c>
    </row>
    <row r="175" spans="2:21">
      <c r="B175" s="114"/>
      <c r="C175" s="74"/>
      <c r="D175" s="74"/>
      <c r="E175" s="74"/>
      <c r="F175" s="114"/>
      <c r="G175" s="74"/>
      <c r="H175" s="74"/>
      <c r="I175" s="74"/>
      <c r="J175" s="114"/>
      <c r="K175" s="74"/>
      <c r="L175" s="74"/>
      <c r="M175" s="74"/>
      <c r="N175" s="114"/>
      <c r="O175" s="74"/>
      <c r="P175" s="74"/>
      <c r="Q175" s="74"/>
      <c r="R175" s="114"/>
      <c r="S175" s="129"/>
    </row>
    <row r="176" spans="2:21">
      <c r="B176" s="114">
        <v>23</v>
      </c>
      <c r="C176" s="74">
        <f t="shared" si="76"/>
        <v>22.5</v>
      </c>
      <c r="D176" s="74">
        <f t="shared" si="77"/>
        <v>22</v>
      </c>
      <c r="E176" s="74">
        <f t="shared" si="78"/>
        <v>21.5</v>
      </c>
      <c r="F176" s="114">
        <v>21</v>
      </c>
      <c r="G176" s="74">
        <f t="shared" si="79"/>
        <v>20.5</v>
      </c>
      <c r="H176" s="74">
        <f t="shared" si="80"/>
        <v>20</v>
      </c>
      <c r="I176" s="74">
        <f t="shared" si="81"/>
        <v>19.5</v>
      </c>
      <c r="J176" s="114">
        <f t="shared" si="82"/>
        <v>19</v>
      </c>
      <c r="K176" s="74">
        <f t="shared" si="83"/>
        <v>18.625</v>
      </c>
      <c r="L176" s="74">
        <f t="shared" si="84"/>
        <v>18.25</v>
      </c>
      <c r="M176" s="74">
        <f t="shared" si="85"/>
        <v>17.875</v>
      </c>
      <c r="N176" s="114">
        <f t="shared" ref="N176:N197" si="106">SUM(F176,-B176,J176,0.25*ABS(J176-F176))</f>
        <v>17.5</v>
      </c>
      <c r="O176" s="74">
        <f t="shared" ref="O176:O185" si="107">SUM(0.25*(R176-N176),N176)</f>
        <v>17.375</v>
      </c>
      <c r="P176" s="74">
        <f t="shared" ref="P176:P185" si="108">SUM(0.5*(R176-N176),N176)</f>
        <v>17.25</v>
      </c>
      <c r="Q176" s="74">
        <f t="shared" ref="Q176:Q185" si="109">SUM(0.75*(R176-N176),N176)</f>
        <v>17.125</v>
      </c>
      <c r="R176" s="114">
        <v>17</v>
      </c>
      <c r="S176" s="129"/>
      <c r="T176" s="117">
        <f>SUM((BJ20+BK19+BL18+BM17+BN16+BO15+BP14+BQ13+BR12+BS11+BT10+BU9+BV8+BW7+BW6+BV5+BV4)*-0.132,17)</f>
        <v>15.556461538461537</v>
      </c>
      <c r="U176" s="117">
        <f>Lefty!T176</f>
        <v>16.59553846153846</v>
      </c>
    </row>
    <row r="177" spans="2:21">
      <c r="B177" s="114">
        <v>24</v>
      </c>
      <c r="C177" s="74">
        <f t="shared" si="76"/>
        <v>23.25</v>
      </c>
      <c r="D177" s="74">
        <f t="shared" si="77"/>
        <v>22.5</v>
      </c>
      <c r="E177" s="74">
        <f t="shared" si="78"/>
        <v>21.75</v>
      </c>
      <c r="F177" s="114">
        <v>21</v>
      </c>
      <c r="G177" s="74">
        <f t="shared" si="79"/>
        <v>20.25</v>
      </c>
      <c r="H177" s="74">
        <f t="shared" si="80"/>
        <v>19.5</v>
      </c>
      <c r="I177" s="74">
        <f t="shared" si="81"/>
        <v>18.75</v>
      </c>
      <c r="J177" s="114">
        <f t="shared" si="82"/>
        <v>18</v>
      </c>
      <c r="K177" s="74">
        <f t="shared" si="83"/>
        <v>17.4375</v>
      </c>
      <c r="L177" s="74">
        <f t="shared" si="84"/>
        <v>16.875</v>
      </c>
      <c r="M177" s="74">
        <f t="shared" si="85"/>
        <v>16.3125</v>
      </c>
      <c r="N177" s="114">
        <f t="shared" si="106"/>
        <v>15.75</v>
      </c>
      <c r="O177" s="74">
        <f t="shared" si="107"/>
        <v>16.0625</v>
      </c>
      <c r="P177" s="74">
        <f t="shared" si="108"/>
        <v>16.375</v>
      </c>
      <c r="Q177" s="74">
        <f t="shared" si="109"/>
        <v>16.6875</v>
      </c>
      <c r="R177" s="114">
        <v>17</v>
      </c>
      <c r="S177" s="129"/>
      <c r="T177" s="117">
        <f>SUM((BH20+BK18+BN16+BQ14+BT12+BU11+BV10+BW9+BX8+BW7+BW6+BV5+BV4)*-0.132,(BI19+BJ19+BL17+BM17+BO15+BP15+BR13+BS13)*-0.132/2,17)</f>
        <v>15.820461538461537</v>
      </c>
      <c r="U177" s="117">
        <f>Lefty!T177</f>
        <v>16.59553846153846</v>
      </c>
    </row>
    <row r="178" spans="2:21">
      <c r="B178" s="114">
        <v>25</v>
      </c>
      <c r="C178" s="74">
        <f t="shared" si="76"/>
        <v>24</v>
      </c>
      <c r="D178" s="74">
        <f t="shared" si="77"/>
        <v>23</v>
      </c>
      <c r="E178" s="74">
        <f t="shared" si="78"/>
        <v>22</v>
      </c>
      <c r="F178" s="114">
        <v>21</v>
      </c>
      <c r="G178" s="74">
        <f t="shared" si="79"/>
        <v>20</v>
      </c>
      <c r="H178" s="74">
        <f t="shared" si="80"/>
        <v>19</v>
      </c>
      <c r="I178" s="74">
        <f t="shared" si="81"/>
        <v>18</v>
      </c>
      <c r="J178" s="114">
        <f t="shared" si="82"/>
        <v>17</v>
      </c>
      <c r="K178" s="74">
        <f t="shared" si="83"/>
        <v>16.25</v>
      </c>
      <c r="L178" s="74">
        <f t="shared" si="84"/>
        <v>15.5</v>
      </c>
      <c r="M178" s="74">
        <f t="shared" si="85"/>
        <v>14.75</v>
      </c>
      <c r="N178" s="114">
        <f t="shared" si="106"/>
        <v>14</v>
      </c>
      <c r="O178" s="74">
        <f t="shared" si="107"/>
        <v>14.75</v>
      </c>
      <c r="P178" s="74">
        <f t="shared" si="108"/>
        <v>15.5</v>
      </c>
      <c r="Q178" s="74">
        <f t="shared" si="109"/>
        <v>16.25</v>
      </c>
      <c r="R178" s="114">
        <v>17</v>
      </c>
      <c r="S178" s="129"/>
      <c r="T178" s="117">
        <f>SUM((BG19+BH19+BI18+BJ18+BK17+BL17+BM16+BN16+BO15+BP15+BQ14+BR14+BS13+BT13+BU12+BV12+BW11+BX11+BZ9+CA9+CA7+BZ7+BY6+BX6)*-0.132/2,(BF20+BY10+CB8+BW5+BV4)*-0.132,17)</f>
        <v>15.556461538461537</v>
      </c>
      <c r="U178" s="117">
        <f>Lefty!T178</f>
        <v>17.123538461538462</v>
      </c>
    </row>
    <row r="179" spans="2:21">
      <c r="B179" s="114">
        <v>26</v>
      </c>
      <c r="C179" s="74">
        <f t="shared" si="76"/>
        <v>24.75</v>
      </c>
      <c r="D179" s="74">
        <f t="shared" si="77"/>
        <v>23.5</v>
      </c>
      <c r="E179" s="74">
        <f t="shared" si="78"/>
        <v>22.25</v>
      </c>
      <c r="F179" s="114">
        <v>21</v>
      </c>
      <c r="G179" s="74">
        <f t="shared" si="79"/>
        <v>19.75</v>
      </c>
      <c r="H179" s="74">
        <f t="shared" si="80"/>
        <v>18.5</v>
      </c>
      <c r="I179" s="74">
        <f t="shared" si="81"/>
        <v>17.25</v>
      </c>
      <c r="J179" s="114">
        <f t="shared" si="82"/>
        <v>16</v>
      </c>
      <c r="K179" s="74">
        <f t="shared" si="83"/>
        <v>15.0625</v>
      </c>
      <c r="L179" s="74">
        <f t="shared" si="84"/>
        <v>14.125</v>
      </c>
      <c r="M179" s="74">
        <f t="shared" si="85"/>
        <v>13.1875</v>
      </c>
      <c r="N179" s="114">
        <f t="shared" si="106"/>
        <v>12.25</v>
      </c>
      <c r="O179" s="74">
        <f t="shared" si="107"/>
        <v>13.4375</v>
      </c>
      <c r="P179" s="74">
        <f t="shared" si="108"/>
        <v>14.625</v>
      </c>
      <c r="Q179" s="74">
        <f t="shared" si="109"/>
        <v>15.8125</v>
      </c>
      <c r="R179" s="114">
        <v>17</v>
      </c>
      <c r="S179" s="129"/>
      <c r="T179" s="117">
        <f>SUM((BD20+BE20+BF19+BG19+BK17+BL17+BM16+BN16+BR14+BS14+BW12+BX12+BY11+BZ11+CA10+CB10+CC9+CD9+CE8+CF8+BY5+BX5+BW4+BV4)*-0.132/2,(BH18+BI18+BJ18+BO15+BP15+BQ15+BT13+BU13+BV13+CE7+CD7+CC7+CB6+CA6+BZ6)*-0.132/3,17)</f>
        <v>15.468461538461536</v>
      </c>
      <c r="U179" s="117">
        <f>Lefty!T179</f>
        <v>17.05753846153846</v>
      </c>
    </row>
    <row r="180" spans="2:21">
      <c r="B180" s="114">
        <v>27</v>
      </c>
      <c r="C180" s="74">
        <f t="shared" si="76"/>
        <v>25.5</v>
      </c>
      <c r="D180" s="74">
        <f t="shared" si="77"/>
        <v>24</v>
      </c>
      <c r="E180" s="74">
        <f t="shared" si="78"/>
        <v>22.5</v>
      </c>
      <c r="F180" s="114">
        <v>21</v>
      </c>
      <c r="G180" s="74">
        <f t="shared" si="79"/>
        <v>19.5</v>
      </c>
      <c r="H180" s="74">
        <f t="shared" si="80"/>
        <v>18</v>
      </c>
      <c r="I180" s="74">
        <f t="shared" si="81"/>
        <v>16.5</v>
      </c>
      <c r="J180" s="114">
        <f t="shared" si="82"/>
        <v>15</v>
      </c>
      <c r="K180" s="74">
        <f t="shared" si="83"/>
        <v>13.875</v>
      </c>
      <c r="L180" s="74">
        <f t="shared" si="84"/>
        <v>12.75</v>
      </c>
      <c r="M180" s="74">
        <f t="shared" si="85"/>
        <v>11.625</v>
      </c>
      <c r="N180" s="114">
        <f t="shared" si="106"/>
        <v>10.5</v>
      </c>
      <c r="O180" s="74">
        <f t="shared" si="107"/>
        <v>12.125</v>
      </c>
      <c r="P180" s="74">
        <f t="shared" si="108"/>
        <v>13.75</v>
      </c>
      <c r="Q180" s="74">
        <f t="shared" si="109"/>
        <v>15.375</v>
      </c>
      <c r="R180" s="114">
        <v>17</v>
      </c>
      <c r="S180" s="129"/>
      <c r="T180" s="117">
        <f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15.149461538461537</v>
      </c>
      <c r="U180" s="117">
        <f>Lefty!T180</f>
        <v>17.046538461538461</v>
      </c>
    </row>
    <row r="181" spans="2:21">
      <c r="B181" s="114">
        <v>28</v>
      </c>
      <c r="C181" s="74">
        <f t="shared" si="76"/>
        <v>26.25</v>
      </c>
      <c r="D181" s="74">
        <f t="shared" si="77"/>
        <v>24.5</v>
      </c>
      <c r="E181" s="74">
        <f t="shared" si="78"/>
        <v>22.75</v>
      </c>
      <c r="F181" s="114">
        <v>21</v>
      </c>
      <c r="G181" s="74">
        <f t="shared" si="79"/>
        <v>19.25</v>
      </c>
      <c r="H181" s="74">
        <f t="shared" si="80"/>
        <v>17.5</v>
      </c>
      <c r="I181" s="74">
        <f t="shared" si="81"/>
        <v>15.75</v>
      </c>
      <c r="J181" s="114">
        <f t="shared" si="82"/>
        <v>14</v>
      </c>
      <c r="K181" s="74">
        <f t="shared" si="83"/>
        <v>12.6875</v>
      </c>
      <c r="L181" s="74">
        <f t="shared" si="84"/>
        <v>11.375</v>
      </c>
      <c r="M181" s="74">
        <f t="shared" si="85"/>
        <v>10.0625</v>
      </c>
      <c r="N181" s="114">
        <f t="shared" si="106"/>
        <v>8.75</v>
      </c>
      <c r="O181" s="74">
        <f t="shared" si="107"/>
        <v>10.8125</v>
      </c>
      <c r="P181" s="74">
        <f t="shared" si="108"/>
        <v>12.875</v>
      </c>
      <c r="Q181" s="74">
        <f t="shared" si="109"/>
        <v>14.9375</v>
      </c>
      <c r="R181" s="114">
        <v>17</v>
      </c>
      <c r="S181" s="129"/>
      <c r="T181" s="117">
        <f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15.367261538461538</v>
      </c>
      <c r="U181" s="117">
        <f>Lefty!T181</f>
        <v>17.189538461538461</v>
      </c>
    </row>
    <row r="182" spans="2:21">
      <c r="B182" s="114">
        <v>29</v>
      </c>
      <c r="C182" s="74">
        <f t="shared" si="76"/>
        <v>27</v>
      </c>
      <c r="D182" s="74">
        <f t="shared" si="77"/>
        <v>25</v>
      </c>
      <c r="E182" s="74">
        <f t="shared" si="78"/>
        <v>23</v>
      </c>
      <c r="F182" s="114">
        <v>21</v>
      </c>
      <c r="G182" s="74">
        <f t="shared" si="79"/>
        <v>19</v>
      </c>
      <c r="H182" s="74">
        <f t="shared" si="80"/>
        <v>17</v>
      </c>
      <c r="I182" s="74">
        <f t="shared" si="81"/>
        <v>15</v>
      </c>
      <c r="J182" s="114">
        <f t="shared" si="82"/>
        <v>13</v>
      </c>
      <c r="K182" s="74">
        <f t="shared" si="83"/>
        <v>11.5</v>
      </c>
      <c r="L182" s="74">
        <f t="shared" si="84"/>
        <v>10</v>
      </c>
      <c r="M182" s="74">
        <f t="shared" si="85"/>
        <v>8.5</v>
      </c>
      <c r="N182" s="114">
        <f t="shared" si="106"/>
        <v>7</v>
      </c>
      <c r="O182" s="74">
        <f t="shared" si="107"/>
        <v>9.5</v>
      </c>
      <c r="P182" s="74">
        <f t="shared" si="108"/>
        <v>12</v>
      </c>
      <c r="Q182" s="74">
        <f t="shared" si="109"/>
        <v>14.5</v>
      </c>
      <c r="R182" s="114">
        <v>17</v>
      </c>
      <c r="S182" s="129"/>
      <c r="T182" s="117">
        <f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15.351861538461538</v>
      </c>
      <c r="U182" s="117">
        <f>Lefty!T182</f>
        <v>17.138938461538462</v>
      </c>
    </row>
    <row r="183" spans="2:21">
      <c r="B183" s="114">
        <v>30</v>
      </c>
      <c r="C183" s="74">
        <f t="shared" si="76"/>
        <v>27.75</v>
      </c>
      <c r="D183" s="74">
        <f t="shared" si="77"/>
        <v>25.5</v>
      </c>
      <c r="E183" s="74">
        <f t="shared" si="78"/>
        <v>23.25</v>
      </c>
      <c r="F183" s="114">
        <v>21</v>
      </c>
      <c r="G183" s="74">
        <f t="shared" si="79"/>
        <v>18.75</v>
      </c>
      <c r="H183" s="74">
        <f t="shared" si="80"/>
        <v>16.5</v>
      </c>
      <c r="I183" s="74">
        <f t="shared" si="81"/>
        <v>14.25</v>
      </c>
      <c r="J183" s="114">
        <f t="shared" si="82"/>
        <v>12</v>
      </c>
      <c r="K183" s="74">
        <f t="shared" si="83"/>
        <v>10.3125</v>
      </c>
      <c r="L183" s="74">
        <f t="shared" si="84"/>
        <v>8.625</v>
      </c>
      <c r="M183" s="74">
        <f t="shared" si="85"/>
        <v>6.9375</v>
      </c>
      <c r="N183" s="114">
        <f t="shared" si="106"/>
        <v>5.25</v>
      </c>
      <c r="O183" s="74">
        <f t="shared" si="107"/>
        <v>8.1875</v>
      </c>
      <c r="P183" s="74">
        <f t="shared" si="108"/>
        <v>11.125</v>
      </c>
      <c r="Q183" s="74">
        <f t="shared" si="109"/>
        <v>14.0625</v>
      </c>
      <c r="R183" s="114">
        <v>17</v>
      </c>
      <c r="S183" s="129"/>
      <c r="T183" s="117">
        <f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15.285861538461537</v>
      </c>
      <c r="U183" s="117">
        <f>Lefty!T183</f>
        <v>16.929624175824177</v>
      </c>
    </row>
    <row r="184" spans="2:21">
      <c r="B184" s="114">
        <v>31</v>
      </c>
      <c r="C184" s="74">
        <f t="shared" si="76"/>
        <v>28.5</v>
      </c>
      <c r="D184" s="74">
        <f t="shared" si="77"/>
        <v>26</v>
      </c>
      <c r="E184" s="74">
        <f t="shared" si="78"/>
        <v>23.5</v>
      </c>
      <c r="F184" s="114">
        <v>21</v>
      </c>
      <c r="G184" s="74">
        <f t="shared" si="79"/>
        <v>18.5</v>
      </c>
      <c r="H184" s="74">
        <f t="shared" si="80"/>
        <v>16</v>
      </c>
      <c r="I184" s="74">
        <f t="shared" si="81"/>
        <v>13.5</v>
      </c>
      <c r="J184" s="114">
        <f t="shared" si="82"/>
        <v>11</v>
      </c>
      <c r="K184" s="74">
        <f t="shared" si="83"/>
        <v>9.125</v>
      </c>
      <c r="L184" s="74">
        <f t="shared" si="84"/>
        <v>7.25</v>
      </c>
      <c r="M184" s="74">
        <f t="shared" si="85"/>
        <v>5.375</v>
      </c>
      <c r="N184" s="114">
        <f t="shared" si="106"/>
        <v>3.5</v>
      </c>
      <c r="O184" s="74">
        <f t="shared" si="107"/>
        <v>6.875</v>
      </c>
      <c r="P184" s="74">
        <f t="shared" si="108"/>
        <v>10.25</v>
      </c>
      <c r="Q184" s="74">
        <f t="shared" si="109"/>
        <v>13.625</v>
      </c>
      <c r="R184" s="114">
        <v>17</v>
      </c>
      <c r="S184" s="129"/>
      <c r="T184" s="117">
        <f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15.204775824175822</v>
      </c>
      <c r="U184" s="117">
        <f>Lefty!T184</f>
        <v>16.835495604395604</v>
      </c>
    </row>
    <row r="185" spans="2:21">
      <c r="B185" s="114">
        <v>32</v>
      </c>
      <c r="C185" s="74">
        <f t="shared" si="76"/>
        <v>29.25</v>
      </c>
      <c r="D185" s="74">
        <f t="shared" si="77"/>
        <v>26.5</v>
      </c>
      <c r="E185" s="74">
        <f t="shared" si="78"/>
        <v>23.75</v>
      </c>
      <c r="F185" s="114">
        <v>21</v>
      </c>
      <c r="G185" s="74">
        <f t="shared" si="79"/>
        <v>18.25</v>
      </c>
      <c r="H185" s="74">
        <f t="shared" si="80"/>
        <v>15.5</v>
      </c>
      <c r="I185" s="74">
        <f t="shared" si="81"/>
        <v>12.75</v>
      </c>
      <c r="J185" s="114">
        <f t="shared" si="82"/>
        <v>10</v>
      </c>
      <c r="K185" s="74">
        <f t="shared" si="83"/>
        <v>7.9375</v>
      </c>
      <c r="L185" s="74">
        <f t="shared" si="84"/>
        <v>5.875</v>
      </c>
      <c r="M185" s="74">
        <f t="shared" si="85"/>
        <v>3.8125</v>
      </c>
      <c r="N185" s="114">
        <f t="shared" si="106"/>
        <v>1.75</v>
      </c>
      <c r="O185" s="74">
        <f t="shared" si="107"/>
        <v>5.5625</v>
      </c>
      <c r="P185" s="74">
        <f t="shared" si="108"/>
        <v>9.375</v>
      </c>
      <c r="Q185" s="74">
        <f t="shared" si="109"/>
        <v>13.1875</v>
      </c>
      <c r="R185" s="114">
        <v>17</v>
      </c>
      <c r="S185" s="129"/>
      <c r="T185" s="126">
        <f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15.228975824175823</v>
      </c>
      <c r="U185" s="126">
        <f>Lefty!T185</f>
        <v>16.736495604395607</v>
      </c>
    </row>
    <row r="186" spans="2:21">
      <c r="B186" s="114"/>
      <c r="C186" s="74"/>
      <c r="D186" s="74"/>
      <c r="E186" s="74"/>
      <c r="F186" s="114"/>
      <c r="G186" s="74"/>
      <c r="H186" s="74"/>
      <c r="I186" s="74"/>
      <c r="J186" s="114"/>
      <c r="K186" s="74"/>
      <c r="L186" s="74"/>
      <c r="M186" s="74"/>
      <c r="N186" s="114"/>
      <c r="O186" s="74"/>
      <c r="P186" s="74"/>
      <c r="Q186" s="74"/>
      <c r="R186" s="114"/>
      <c r="S186" s="129"/>
    </row>
    <row r="187" spans="2:21">
      <c r="B187" s="114">
        <v>24</v>
      </c>
      <c r="C187" s="74">
        <f t="shared" si="76"/>
        <v>23.5</v>
      </c>
      <c r="D187" s="74">
        <f t="shared" si="77"/>
        <v>23</v>
      </c>
      <c r="E187" s="74">
        <f t="shared" si="78"/>
        <v>22.5</v>
      </c>
      <c r="F187" s="114">
        <v>22</v>
      </c>
      <c r="G187" s="74">
        <f t="shared" si="79"/>
        <v>21.5</v>
      </c>
      <c r="H187" s="74">
        <f t="shared" si="80"/>
        <v>21</v>
      </c>
      <c r="I187" s="74">
        <f t="shared" si="81"/>
        <v>20.5</v>
      </c>
      <c r="J187" s="114">
        <f t="shared" si="82"/>
        <v>20</v>
      </c>
      <c r="K187" s="74">
        <f t="shared" si="83"/>
        <v>19.625</v>
      </c>
      <c r="L187" s="74">
        <f t="shared" si="84"/>
        <v>19.25</v>
      </c>
      <c r="M187" s="74">
        <f t="shared" si="85"/>
        <v>18.875</v>
      </c>
      <c r="N187" s="114">
        <f t="shared" si="106"/>
        <v>18.5</v>
      </c>
      <c r="O187" s="74">
        <f t="shared" ref="O187:O197" si="110">SUM(0.25*(R187-N187),N187)</f>
        <v>18.125</v>
      </c>
      <c r="P187" s="74">
        <f t="shared" ref="P187:P197" si="111">SUM(0.5*(R187-N187),N187)</f>
        <v>17.75</v>
      </c>
      <c r="Q187" s="74">
        <f t="shared" ref="Q187:Q197" si="112">SUM(0.75*(R187-N187),N187)</f>
        <v>17.375</v>
      </c>
      <c r="R187" s="114">
        <v>17</v>
      </c>
      <c r="S187" s="129"/>
      <c r="T187" s="117">
        <f>SUM((BH20+BI19+BJ18+BK17+BL16+BM15+BN14+BO13+BP12+BQ11+BR10+BS9+BT8+BU7+BU6+BV5+BV4)*-0.132,17)</f>
        <v>15.952461538461538</v>
      </c>
      <c r="U187" s="117">
        <f>Lefty!T187</f>
        <v>16.991538461538461</v>
      </c>
    </row>
    <row r="188" spans="2:21">
      <c r="B188" s="114">
        <v>25</v>
      </c>
      <c r="C188" s="74">
        <f t="shared" si="76"/>
        <v>24.25</v>
      </c>
      <c r="D188" s="74">
        <f t="shared" si="77"/>
        <v>23.5</v>
      </c>
      <c r="E188" s="74">
        <f t="shared" si="78"/>
        <v>22.75</v>
      </c>
      <c r="F188" s="114">
        <v>22</v>
      </c>
      <c r="G188" s="74">
        <f t="shared" si="79"/>
        <v>21.25</v>
      </c>
      <c r="H188" s="74">
        <f t="shared" si="80"/>
        <v>20.5</v>
      </c>
      <c r="I188" s="74">
        <f t="shared" si="81"/>
        <v>19.75</v>
      </c>
      <c r="J188" s="114">
        <f t="shared" si="82"/>
        <v>19</v>
      </c>
      <c r="K188" s="74">
        <f t="shared" si="83"/>
        <v>18.4375</v>
      </c>
      <c r="L188" s="74">
        <f t="shared" si="84"/>
        <v>17.875</v>
      </c>
      <c r="M188" s="74">
        <f t="shared" si="85"/>
        <v>17.3125</v>
      </c>
      <c r="N188" s="114">
        <f t="shared" si="106"/>
        <v>16.75</v>
      </c>
      <c r="O188" s="74">
        <f t="shared" si="110"/>
        <v>16.8125</v>
      </c>
      <c r="P188" s="74">
        <f t="shared" si="111"/>
        <v>16.875</v>
      </c>
      <c r="Q188" s="74">
        <f t="shared" si="112"/>
        <v>16.9375</v>
      </c>
      <c r="R188" s="114">
        <v>17</v>
      </c>
      <c r="S188" s="129"/>
      <c r="T188" s="117">
        <f>SUM((BF20+BI18+BL16+BO14+BR12+BS11+BU9+BT10+BV8+BW7+BV6+BV5+BV4)*-0.132,(BG19+BH19+BJ17+BK17+BM15+BN15+BP13+BQ13)*-0.132/2,17)</f>
        <v>15.622461538461538</v>
      </c>
      <c r="U188" s="117">
        <f>Lefty!T188</f>
        <v>16.661538461538463</v>
      </c>
    </row>
    <row r="189" spans="2:21">
      <c r="B189" s="114">
        <v>26</v>
      </c>
      <c r="C189" s="74">
        <f t="shared" ref="C189:C227" si="113">SUM(0.25*(F189-B189),B189)</f>
        <v>25</v>
      </c>
      <c r="D189" s="74">
        <f t="shared" ref="D189:D227" si="114">SUM(0.5*(F189-B189)+B189)</f>
        <v>24</v>
      </c>
      <c r="E189" s="74">
        <f t="shared" ref="E189:E227" si="115">SUM(0.75*(F189-B189),B189)</f>
        <v>23</v>
      </c>
      <c r="F189" s="114">
        <v>22</v>
      </c>
      <c r="G189" s="74">
        <f t="shared" ref="G189:G227" si="116">SUM(0.25*(J189-F189),F189)</f>
        <v>21</v>
      </c>
      <c r="H189" s="74">
        <f t="shared" ref="H189:H227" si="117">SUM(0.5*(J189-F189),F189)</f>
        <v>20</v>
      </c>
      <c r="I189" s="74">
        <f t="shared" ref="I189:I227" si="118">SUM(0.75*(J189-F189),F189)</f>
        <v>19</v>
      </c>
      <c r="J189" s="114">
        <f t="shared" ref="J189:J227" si="119">SUM(F189,-B189,F189)</f>
        <v>18</v>
      </c>
      <c r="K189" s="74">
        <f t="shared" ref="K189:K227" si="120">SUM(0.25*(N189-J189),J189)</f>
        <v>17.25</v>
      </c>
      <c r="L189" s="74">
        <f t="shared" ref="L189:L227" si="121">SUM(0.5*(N189-J189),J189)</f>
        <v>16.5</v>
      </c>
      <c r="M189" s="74">
        <f t="shared" ref="M189:M227" si="122">SUM(0.75*(N189-J189),J189)</f>
        <v>15.75</v>
      </c>
      <c r="N189" s="114">
        <f t="shared" si="106"/>
        <v>15</v>
      </c>
      <c r="O189" s="74">
        <f t="shared" si="110"/>
        <v>15.5</v>
      </c>
      <c r="P189" s="74">
        <f t="shared" si="111"/>
        <v>16</v>
      </c>
      <c r="Q189" s="74">
        <f t="shared" si="112"/>
        <v>16.5</v>
      </c>
      <c r="R189" s="114">
        <v>17</v>
      </c>
      <c r="S189" s="129"/>
      <c r="T189" s="117">
        <f>SUM((BE19+BF19+BG18+BH18+BI17+BJ17+BK16+BL16+BM15+BN15+BO14+BP14+BQ13+BR13+BS12+BT12+BU11+BV11+BX9+BY9)*-0.132/2,(BD10+BW10+BZ8+BY7+BX6+BW5+BV4)*-0.132,17)</f>
        <v>15.427846153846154</v>
      </c>
      <c r="U189" s="117">
        <f>Lefty!T189</f>
        <v>16.790153846153846</v>
      </c>
    </row>
    <row r="190" spans="2:21">
      <c r="B190" s="114">
        <v>27</v>
      </c>
      <c r="C190" s="74">
        <f t="shared" si="113"/>
        <v>25.75</v>
      </c>
      <c r="D190" s="74">
        <f t="shared" si="114"/>
        <v>24.5</v>
      </c>
      <c r="E190" s="74">
        <f t="shared" si="115"/>
        <v>23.25</v>
      </c>
      <c r="F190" s="114">
        <v>22</v>
      </c>
      <c r="G190" s="74">
        <f t="shared" si="116"/>
        <v>20.75</v>
      </c>
      <c r="H190" s="74">
        <f t="shared" si="117"/>
        <v>19.5</v>
      </c>
      <c r="I190" s="74">
        <f t="shared" si="118"/>
        <v>18.25</v>
      </c>
      <c r="J190" s="114">
        <f t="shared" si="119"/>
        <v>17</v>
      </c>
      <c r="K190" s="74">
        <f t="shared" si="120"/>
        <v>16.0625</v>
      </c>
      <c r="L190" s="74">
        <f t="shared" si="121"/>
        <v>15.125</v>
      </c>
      <c r="M190" s="74">
        <f t="shared" si="122"/>
        <v>14.1875</v>
      </c>
      <c r="N190" s="114">
        <f t="shared" si="106"/>
        <v>13.25</v>
      </c>
      <c r="O190" s="74">
        <f t="shared" si="110"/>
        <v>14.1875</v>
      </c>
      <c r="P190" s="74">
        <f t="shared" si="111"/>
        <v>15.125</v>
      </c>
      <c r="Q190" s="74">
        <f t="shared" si="112"/>
        <v>16.0625</v>
      </c>
      <c r="R190" s="114">
        <v>17</v>
      </c>
      <c r="S190" s="129"/>
      <c r="T190" s="117">
        <f>SUM((BB20+BC20+BD19+BE19+BI17+BJ17+BK16+BL16+BP14+BQ14+BU12+BV12+BW11+BX11+BY10+BZ10+CA9+CB9+CC8+CD8+CC7+CB7+CA6+BZ6+BY5+BX5+BW4+BV4)*-0.132/2,(BF18+BG18+BH18+BM15+BN15+BO15+BR13+BS13+BT13)*-0.132/3,17)</f>
        <v>14.940461538461538</v>
      </c>
      <c r="U190" s="117">
        <f>Lefty!T190</f>
        <v>16.74953846153846</v>
      </c>
    </row>
    <row r="191" spans="2:21">
      <c r="B191" s="114">
        <v>28</v>
      </c>
      <c r="C191" s="74">
        <f t="shared" si="113"/>
        <v>26.5</v>
      </c>
      <c r="D191" s="74">
        <f t="shared" si="114"/>
        <v>25</v>
      </c>
      <c r="E191" s="74">
        <f t="shared" si="115"/>
        <v>23.5</v>
      </c>
      <c r="F191" s="114">
        <v>22</v>
      </c>
      <c r="G191" s="74">
        <f t="shared" si="116"/>
        <v>20.5</v>
      </c>
      <c r="H191" s="74">
        <f t="shared" si="117"/>
        <v>19</v>
      </c>
      <c r="I191" s="74">
        <f t="shared" si="118"/>
        <v>17.5</v>
      </c>
      <c r="J191" s="114">
        <f t="shared" si="119"/>
        <v>16</v>
      </c>
      <c r="K191" s="74">
        <f t="shared" si="120"/>
        <v>14.875</v>
      </c>
      <c r="L191" s="74">
        <f t="shared" si="121"/>
        <v>13.75</v>
      </c>
      <c r="M191" s="74">
        <f t="shared" si="122"/>
        <v>12.625</v>
      </c>
      <c r="N191" s="114">
        <f t="shared" si="106"/>
        <v>11.5</v>
      </c>
      <c r="O191" s="74">
        <f t="shared" si="110"/>
        <v>12.875</v>
      </c>
      <c r="P191" s="74">
        <f t="shared" si="111"/>
        <v>14.25</v>
      </c>
      <c r="Q191" s="74">
        <f t="shared" si="112"/>
        <v>15.625</v>
      </c>
      <c r="R191" s="114">
        <v>17</v>
      </c>
      <c r="S191" s="129"/>
      <c r="T191" s="117">
        <f>SUM((AZ20+BA20++BE18+BF18+CB10+CC10+CG8+CH8)*-0.132/2,(BB19+BC19+BD19+BG17+BH17+BI17+BJ16+BK16+BL16+BM15+BN15+BO15+BP14+BQ14+BR14+BS13+BT13+BU13+BV12+BW12+BX12+BY11+BZ11+CA11+CD9+CE9+CF9+CG7+CF7+CE7+CD6+CC6+CB6+CA5+BZ5+BY5+BX4+BW4+BV4)*-0.132/3,17)</f>
        <v>15.622461538461538</v>
      </c>
      <c r="U191" s="117">
        <f>Lefty!T191</f>
        <v>17.189538461538461</v>
      </c>
    </row>
    <row r="192" spans="2:21">
      <c r="B192" s="114">
        <v>29</v>
      </c>
      <c r="C192" s="74">
        <f t="shared" si="113"/>
        <v>27.25</v>
      </c>
      <c r="D192" s="74">
        <f t="shared" si="114"/>
        <v>25.5</v>
      </c>
      <c r="E192" s="74">
        <f t="shared" si="115"/>
        <v>23.75</v>
      </c>
      <c r="F192" s="114">
        <v>22</v>
      </c>
      <c r="G192" s="74">
        <f t="shared" si="116"/>
        <v>20.25</v>
      </c>
      <c r="H192" s="74">
        <f t="shared" si="117"/>
        <v>18.5</v>
      </c>
      <c r="I192" s="74">
        <f t="shared" si="118"/>
        <v>16.75</v>
      </c>
      <c r="J192" s="114">
        <f t="shared" si="119"/>
        <v>15</v>
      </c>
      <c r="K192" s="74">
        <f t="shared" si="120"/>
        <v>13.6875</v>
      </c>
      <c r="L192" s="74">
        <f t="shared" si="121"/>
        <v>12.375</v>
      </c>
      <c r="M192" s="74">
        <f t="shared" si="122"/>
        <v>11.0625</v>
      </c>
      <c r="N192" s="114">
        <f t="shared" si="106"/>
        <v>9.75</v>
      </c>
      <c r="O192" s="74">
        <f t="shared" si="110"/>
        <v>11.5625</v>
      </c>
      <c r="P192" s="74">
        <f t="shared" si="111"/>
        <v>13.375</v>
      </c>
      <c r="Q192" s="74">
        <f t="shared" si="112"/>
        <v>15.1875</v>
      </c>
      <c r="R192" s="114">
        <v>17</v>
      </c>
      <c r="S192" s="129"/>
      <c r="T192" s="117">
        <f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15.292461538461536</v>
      </c>
      <c r="U192" s="117">
        <f>Lefty!T192</f>
        <v>17.134538461538462</v>
      </c>
    </row>
    <row r="193" spans="2:21">
      <c r="B193" s="114">
        <v>30</v>
      </c>
      <c r="C193" s="74">
        <f t="shared" si="113"/>
        <v>28</v>
      </c>
      <c r="D193" s="74">
        <f t="shared" si="114"/>
        <v>26</v>
      </c>
      <c r="E193" s="74">
        <f t="shared" si="115"/>
        <v>24</v>
      </c>
      <c r="F193" s="114">
        <v>22</v>
      </c>
      <c r="G193" s="74">
        <f t="shared" si="116"/>
        <v>20</v>
      </c>
      <c r="H193" s="74">
        <f t="shared" si="117"/>
        <v>18</v>
      </c>
      <c r="I193" s="74">
        <f t="shared" si="118"/>
        <v>16</v>
      </c>
      <c r="J193" s="114">
        <f t="shared" si="119"/>
        <v>14</v>
      </c>
      <c r="K193" s="74">
        <f t="shared" si="120"/>
        <v>12.5</v>
      </c>
      <c r="L193" s="74">
        <f t="shared" si="121"/>
        <v>11</v>
      </c>
      <c r="M193" s="74">
        <f t="shared" si="122"/>
        <v>9.5</v>
      </c>
      <c r="N193" s="114">
        <f t="shared" si="106"/>
        <v>8</v>
      </c>
      <c r="O193" s="74">
        <f t="shared" si="110"/>
        <v>10.25</v>
      </c>
      <c r="P193" s="74">
        <f t="shared" si="111"/>
        <v>12.5</v>
      </c>
      <c r="Q193" s="74">
        <f t="shared" si="112"/>
        <v>14.75</v>
      </c>
      <c r="R193" s="114">
        <v>17</v>
      </c>
      <c r="S193" s="129"/>
      <c r="T193" s="117">
        <f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15.332061538461538</v>
      </c>
      <c r="U193" s="117">
        <f>Lefty!T193</f>
        <v>17.207138461538463</v>
      </c>
    </row>
    <row r="194" spans="2:21">
      <c r="B194" s="114">
        <v>31</v>
      </c>
      <c r="C194" s="74">
        <f t="shared" si="113"/>
        <v>28.75</v>
      </c>
      <c r="D194" s="74">
        <f t="shared" si="114"/>
        <v>26.5</v>
      </c>
      <c r="E194" s="74">
        <f t="shared" si="115"/>
        <v>24.25</v>
      </c>
      <c r="F194" s="114">
        <v>22</v>
      </c>
      <c r="G194" s="74">
        <f t="shared" si="116"/>
        <v>19.75</v>
      </c>
      <c r="H194" s="74">
        <f t="shared" si="117"/>
        <v>17.5</v>
      </c>
      <c r="I194" s="74">
        <f t="shared" si="118"/>
        <v>15.25</v>
      </c>
      <c r="J194" s="114">
        <f t="shared" si="119"/>
        <v>13</v>
      </c>
      <c r="K194" s="74">
        <f t="shared" si="120"/>
        <v>11.3125</v>
      </c>
      <c r="L194" s="74">
        <f t="shared" si="121"/>
        <v>9.625</v>
      </c>
      <c r="M194" s="74">
        <f t="shared" si="122"/>
        <v>7.9375</v>
      </c>
      <c r="N194" s="114">
        <f t="shared" si="106"/>
        <v>6.25</v>
      </c>
      <c r="O194" s="74">
        <f t="shared" si="110"/>
        <v>8.9375</v>
      </c>
      <c r="P194" s="74">
        <f t="shared" si="111"/>
        <v>11.625</v>
      </c>
      <c r="Q194" s="74">
        <f t="shared" si="112"/>
        <v>14.3125</v>
      </c>
      <c r="R194" s="114">
        <v>17</v>
      </c>
      <c r="S194" s="129"/>
      <c r="T194" s="117">
        <f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15.301261538461539</v>
      </c>
      <c r="U194" s="117">
        <f>Lefty!T194</f>
        <v>16.958538461538463</v>
      </c>
    </row>
    <row r="195" spans="2:21">
      <c r="B195" s="114">
        <v>32</v>
      </c>
      <c r="C195" s="74">
        <f t="shared" si="113"/>
        <v>29.5</v>
      </c>
      <c r="D195" s="74">
        <f t="shared" si="114"/>
        <v>27</v>
      </c>
      <c r="E195" s="74">
        <f t="shared" si="115"/>
        <v>24.5</v>
      </c>
      <c r="F195" s="114">
        <v>22</v>
      </c>
      <c r="G195" s="74">
        <f t="shared" si="116"/>
        <v>19.5</v>
      </c>
      <c r="H195" s="74">
        <f t="shared" si="117"/>
        <v>17</v>
      </c>
      <c r="I195" s="74">
        <f t="shared" si="118"/>
        <v>14.5</v>
      </c>
      <c r="J195" s="114">
        <f t="shared" si="119"/>
        <v>12</v>
      </c>
      <c r="K195" s="74">
        <f t="shared" si="120"/>
        <v>10.125</v>
      </c>
      <c r="L195" s="74">
        <f t="shared" si="121"/>
        <v>8.25</v>
      </c>
      <c r="M195" s="74">
        <f t="shared" si="122"/>
        <v>6.375</v>
      </c>
      <c r="N195" s="114">
        <f t="shared" si="106"/>
        <v>4.5</v>
      </c>
      <c r="O195" s="74">
        <f t="shared" si="110"/>
        <v>7.625</v>
      </c>
      <c r="P195" s="74">
        <f t="shared" si="111"/>
        <v>10.75</v>
      </c>
      <c r="Q195" s="74">
        <f t="shared" si="112"/>
        <v>13.875</v>
      </c>
      <c r="R195" s="114">
        <v>17</v>
      </c>
      <c r="S195" s="129"/>
      <c r="T195" s="117">
        <f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15.303775824175823</v>
      </c>
      <c r="U195" s="117">
        <f>Lefty!T195</f>
        <v>16.65588131868132</v>
      </c>
    </row>
    <row r="196" spans="2:21">
      <c r="B196" s="114">
        <v>33</v>
      </c>
      <c r="C196" s="74">
        <f t="shared" si="113"/>
        <v>30.25</v>
      </c>
      <c r="D196" s="74">
        <f t="shared" si="114"/>
        <v>27.5</v>
      </c>
      <c r="E196" s="74">
        <f t="shared" si="115"/>
        <v>24.75</v>
      </c>
      <c r="F196" s="114">
        <v>22</v>
      </c>
      <c r="G196" s="74">
        <f t="shared" si="116"/>
        <v>19.25</v>
      </c>
      <c r="H196" s="74">
        <f t="shared" si="117"/>
        <v>16.5</v>
      </c>
      <c r="I196" s="74">
        <f t="shared" si="118"/>
        <v>13.75</v>
      </c>
      <c r="J196" s="114">
        <f t="shared" si="119"/>
        <v>11</v>
      </c>
      <c r="K196" s="74">
        <f t="shared" si="120"/>
        <v>8.9375</v>
      </c>
      <c r="L196" s="74">
        <f t="shared" si="121"/>
        <v>6.875</v>
      </c>
      <c r="M196" s="74">
        <f t="shared" si="122"/>
        <v>4.8125</v>
      </c>
      <c r="N196" s="114">
        <f t="shared" si="106"/>
        <v>2.75</v>
      </c>
      <c r="O196" s="74">
        <f t="shared" si="110"/>
        <v>6.3125</v>
      </c>
      <c r="P196" s="74">
        <f t="shared" si="111"/>
        <v>9.875</v>
      </c>
      <c r="Q196" s="74">
        <f t="shared" si="112"/>
        <v>13.4375</v>
      </c>
      <c r="R196" s="114">
        <v>17</v>
      </c>
      <c r="S196" s="129"/>
      <c r="T196" s="117">
        <f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15.377161538461538</v>
      </c>
      <c r="U196" s="117">
        <f>Lefty!T196</f>
        <v>16.650538461538464</v>
      </c>
    </row>
    <row r="197" spans="2:21">
      <c r="B197" s="114">
        <v>34</v>
      </c>
      <c r="C197" s="74">
        <f t="shared" si="113"/>
        <v>31</v>
      </c>
      <c r="D197" s="74">
        <f t="shared" si="114"/>
        <v>28</v>
      </c>
      <c r="E197" s="74">
        <f t="shared" si="115"/>
        <v>25</v>
      </c>
      <c r="F197" s="114">
        <v>22</v>
      </c>
      <c r="G197" s="74">
        <f t="shared" si="116"/>
        <v>19</v>
      </c>
      <c r="H197" s="74">
        <f t="shared" si="117"/>
        <v>16</v>
      </c>
      <c r="I197" s="74">
        <f t="shared" si="118"/>
        <v>13</v>
      </c>
      <c r="J197" s="114">
        <f t="shared" si="119"/>
        <v>10</v>
      </c>
      <c r="K197" s="74">
        <f t="shared" si="120"/>
        <v>7.75</v>
      </c>
      <c r="L197" s="74">
        <f t="shared" si="121"/>
        <v>5.5</v>
      </c>
      <c r="M197" s="74">
        <f t="shared" si="122"/>
        <v>3.25</v>
      </c>
      <c r="N197" s="114">
        <f t="shared" si="106"/>
        <v>1</v>
      </c>
      <c r="O197" s="74">
        <f t="shared" si="110"/>
        <v>5</v>
      </c>
      <c r="P197" s="74">
        <f t="shared" si="111"/>
        <v>9</v>
      </c>
      <c r="Q197" s="74">
        <f t="shared" si="112"/>
        <v>13</v>
      </c>
      <c r="R197" s="114">
        <v>17</v>
      </c>
      <c r="S197" s="129"/>
      <c r="T197" s="126">
        <f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15.330961538461537</v>
      </c>
      <c r="U197" s="126">
        <f>Lefty!T197</f>
        <v>16.527338461538463</v>
      </c>
    </row>
    <row r="198" spans="2:21">
      <c r="B198" s="114"/>
      <c r="C198" s="74"/>
      <c r="D198" s="74"/>
      <c r="E198" s="74"/>
      <c r="F198" s="114"/>
      <c r="G198" s="74"/>
      <c r="H198" s="74"/>
      <c r="I198" s="74"/>
      <c r="J198" s="114"/>
      <c r="K198" s="74"/>
      <c r="L198" s="74"/>
      <c r="M198" s="74"/>
      <c r="N198" s="114"/>
      <c r="O198" s="74"/>
      <c r="P198" s="74"/>
      <c r="Q198" s="74"/>
      <c r="R198" s="114"/>
      <c r="S198" s="129"/>
    </row>
    <row r="199" spans="2:21">
      <c r="B199" s="114">
        <v>25</v>
      </c>
      <c r="C199" s="74">
        <f t="shared" si="113"/>
        <v>24.5</v>
      </c>
      <c r="D199" s="74">
        <f t="shared" si="114"/>
        <v>24</v>
      </c>
      <c r="E199" s="74">
        <f t="shared" si="115"/>
        <v>23.5</v>
      </c>
      <c r="F199" s="114">
        <v>23</v>
      </c>
      <c r="G199" s="74">
        <f t="shared" si="116"/>
        <v>22.5</v>
      </c>
      <c r="H199" s="74">
        <f t="shared" si="117"/>
        <v>22</v>
      </c>
      <c r="I199" s="74">
        <f t="shared" si="118"/>
        <v>21.5</v>
      </c>
      <c r="J199" s="114">
        <f t="shared" si="119"/>
        <v>21</v>
      </c>
      <c r="K199" s="74">
        <f t="shared" si="120"/>
        <v>20.5</v>
      </c>
      <c r="L199" s="74">
        <f t="shared" si="121"/>
        <v>20</v>
      </c>
      <c r="M199" s="74">
        <f t="shared" si="122"/>
        <v>19.5</v>
      </c>
      <c r="N199" s="114">
        <f>SUM(J199,J199,-F199)</f>
        <v>19</v>
      </c>
      <c r="O199" s="74">
        <f t="shared" ref="O199:O209" si="123">SUM(0.25*(R199-N199),N199)</f>
        <v>18.5</v>
      </c>
      <c r="P199" s="74">
        <f t="shared" ref="P199:P209" si="124">SUM(0.5*(R199-N199),N199)</f>
        <v>18</v>
      </c>
      <c r="Q199" s="74">
        <f t="shared" ref="Q199:Q209" si="125">SUM(0.75*(R199-N199),N199)</f>
        <v>17.5</v>
      </c>
      <c r="R199" s="114">
        <v>17</v>
      </c>
      <c r="S199" s="129"/>
      <c r="T199" s="117">
        <f>SUM((BF20+BG19+BH18+BI17+BJ16+BK15+BL14+BM13+BN12+BO11+BP10+BQ9+BR8+BS7+BT6+BU5+BV4)*-0.132,17)</f>
        <v>15.160461538461536</v>
      </c>
      <c r="U199" s="117">
        <f>Lefty!T199</f>
        <v>16.727538461538462</v>
      </c>
    </row>
    <row r="200" spans="2:21">
      <c r="B200" s="114">
        <v>26</v>
      </c>
      <c r="C200" s="74">
        <f t="shared" si="113"/>
        <v>25.25</v>
      </c>
      <c r="D200" s="74">
        <f t="shared" si="114"/>
        <v>24.5</v>
      </c>
      <c r="E200" s="74">
        <f t="shared" si="115"/>
        <v>23.75</v>
      </c>
      <c r="F200" s="114">
        <v>23</v>
      </c>
      <c r="G200" s="74">
        <f t="shared" si="116"/>
        <v>22.25</v>
      </c>
      <c r="H200" s="74">
        <f t="shared" si="117"/>
        <v>21.5</v>
      </c>
      <c r="I200" s="74">
        <f t="shared" si="118"/>
        <v>20.75</v>
      </c>
      <c r="J200" s="114">
        <f t="shared" si="119"/>
        <v>20</v>
      </c>
      <c r="K200" s="74">
        <f t="shared" si="120"/>
        <v>19.4375</v>
      </c>
      <c r="L200" s="74">
        <f t="shared" si="121"/>
        <v>18.875</v>
      </c>
      <c r="M200" s="74">
        <f t="shared" si="122"/>
        <v>18.3125</v>
      </c>
      <c r="N200" s="114">
        <f t="shared" ref="N200:N221" si="126">SUM(F200,-B200,J200,0.25*ABS(J200-F200))</f>
        <v>17.75</v>
      </c>
      <c r="O200" s="74">
        <f t="shared" si="123"/>
        <v>17.5625</v>
      </c>
      <c r="P200" s="74">
        <f t="shared" si="124"/>
        <v>17.375</v>
      </c>
      <c r="Q200" s="74">
        <f t="shared" si="125"/>
        <v>17.1875</v>
      </c>
      <c r="R200" s="114">
        <v>17</v>
      </c>
      <c r="S200" s="129"/>
      <c r="T200" s="117">
        <f>SUM((BD20+BG18+BJ16+BM14+BP12+BQ11+BR10+BS9+BT8+BU7+BU6+BV5+BV4)*-0.132,(BE19+BF19+BH17+BI17+BK15+BL15+BN13+BO13)*-0.132/2,17)</f>
        <v>15.556461538461537</v>
      </c>
      <c r="U200" s="117">
        <f>Lefty!T200</f>
        <v>16.727538461538462</v>
      </c>
    </row>
    <row r="201" spans="2:21">
      <c r="B201" s="114">
        <v>27</v>
      </c>
      <c r="C201" s="74">
        <f t="shared" si="113"/>
        <v>26</v>
      </c>
      <c r="D201" s="74">
        <f t="shared" si="114"/>
        <v>25</v>
      </c>
      <c r="E201" s="74">
        <f t="shared" si="115"/>
        <v>24</v>
      </c>
      <c r="F201" s="114">
        <v>23</v>
      </c>
      <c r="G201" s="74">
        <f t="shared" si="116"/>
        <v>22</v>
      </c>
      <c r="H201" s="74">
        <f t="shared" si="117"/>
        <v>21</v>
      </c>
      <c r="I201" s="74">
        <f t="shared" si="118"/>
        <v>20</v>
      </c>
      <c r="J201" s="114">
        <f t="shared" si="119"/>
        <v>19</v>
      </c>
      <c r="K201" s="74">
        <f t="shared" si="120"/>
        <v>18.25</v>
      </c>
      <c r="L201" s="74">
        <f t="shared" si="121"/>
        <v>17.5</v>
      </c>
      <c r="M201" s="74">
        <f t="shared" si="122"/>
        <v>16.75</v>
      </c>
      <c r="N201" s="114">
        <f t="shared" si="126"/>
        <v>16</v>
      </c>
      <c r="O201" s="74">
        <f t="shared" si="123"/>
        <v>16.25</v>
      </c>
      <c r="P201" s="74">
        <f t="shared" si="124"/>
        <v>16.5</v>
      </c>
      <c r="Q201" s="74">
        <f t="shared" si="125"/>
        <v>16.75</v>
      </c>
      <c r="R201" s="114">
        <v>17</v>
      </c>
      <c r="S201" s="129"/>
      <c r="T201" s="117">
        <f>SUM((BC19+BD19+BE18+BF18+BG17+BH17+BI16+BJ16+BK15+BL15+BM14+BN14+BO13+BP13+BQ12+BR12+BS11+BT11+BV9+BW9)*-0.132/2,(BB20+BU10+BX8+BW7+BW6+BV5+BV4)*-0.132,17)</f>
        <v>14.830461538461538</v>
      </c>
      <c r="U201" s="117">
        <f>Lefty!T201</f>
        <v>16.661538461538463</v>
      </c>
    </row>
    <row r="202" spans="2:21">
      <c r="B202" s="114">
        <v>28</v>
      </c>
      <c r="C202" s="74">
        <f t="shared" si="113"/>
        <v>26.75</v>
      </c>
      <c r="D202" s="74">
        <f t="shared" si="114"/>
        <v>25.5</v>
      </c>
      <c r="E202" s="74">
        <f t="shared" si="115"/>
        <v>24.25</v>
      </c>
      <c r="F202" s="114">
        <v>23</v>
      </c>
      <c r="G202" s="74">
        <f t="shared" si="116"/>
        <v>21.75</v>
      </c>
      <c r="H202" s="74">
        <f t="shared" si="117"/>
        <v>20.5</v>
      </c>
      <c r="I202" s="74">
        <f t="shared" si="118"/>
        <v>19.25</v>
      </c>
      <c r="J202" s="114">
        <f t="shared" si="119"/>
        <v>18</v>
      </c>
      <c r="K202" s="74">
        <f t="shared" si="120"/>
        <v>17.0625</v>
      </c>
      <c r="L202" s="74">
        <f t="shared" si="121"/>
        <v>16.125</v>
      </c>
      <c r="M202" s="74">
        <f t="shared" si="122"/>
        <v>15.1875</v>
      </c>
      <c r="N202" s="114">
        <f t="shared" si="126"/>
        <v>14.25</v>
      </c>
      <c r="O202" s="74">
        <f t="shared" si="123"/>
        <v>14.9375</v>
      </c>
      <c r="P202" s="74">
        <f t="shared" si="124"/>
        <v>15.625</v>
      </c>
      <c r="Q202" s="74">
        <f t="shared" si="125"/>
        <v>16.3125</v>
      </c>
      <c r="R202" s="114">
        <v>17</v>
      </c>
      <c r="S202" s="129"/>
      <c r="T202" s="117">
        <f>SUM((AZ20+BA20+BB19+BC19+BG17+BH17+BI16+BJ16+BN14+BO14+BS12+BT12+BU11+BV11+BW10+BX10+BY9+BZ9+CA8+CB8+CA7+BZ7+BY6+BX6)*-0.132/2,(BD18+BE18+BF18+BK15+BL15+BM15+BP13+BQ13+BR13)*-0.132/3,(BW5+BV4)*-0.132,17)</f>
        <v>15.314461538461538</v>
      </c>
      <c r="U202" s="117">
        <f>Lefty!T202</f>
        <v>16.727538461538462</v>
      </c>
    </row>
    <row r="203" spans="2:21">
      <c r="B203" s="114">
        <v>29</v>
      </c>
      <c r="C203" s="74">
        <f t="shared" si="113"/>
        <v>27.5</v>
      </c>
      <c r="D203" s="74">
        <f t="shared" si="114"/>
        <v>26</v>
      </c>
      <c r="E203" s="74">
        <f t="shared" si="115"/>
        <v>24.5</v>
      </c>
      <c r="F203" s="114">
        <v>23</v>
      </c>
      <c r="G203" s="74">
        <f t="shared" si="116"/>
        <v>21.5</v>
      </c>
      <c r="H203" s="74">
        <f t="shared" si="117"/>
        <v>20</v>
      </c>
      <c r="I203" s="74">
        <f t="shared" si="118"/>
        <v>18.5</v>
      </c>
      <c r="J203" s="114">
        <f t="shared" si="119"/>
        <v>17</v>
      </c>
      <c r="K203" s="74">
        <f t="shared" si="120"/>
        <v>15.875</v>
      </c>
      <c r="L203" s="74">
        <f t="shared" si="121"/>
        <v>14.75</v>
      </c>
      <c r="M203" s="74">
        <f t="shared" si="122"/>
        <v>13.625</v>
      </c>
      <c r="N203" s="114">
        <f t="shared" si="126"/>
        <v>12.5</v>
      </c>
      <c r="O203" s="74">
        <f t="shared" si="123"/>
        <v>13.625</v>
      </c>
      <c r="P203" s="74">
        <f t="shared" si="124"/>
        <v>14.75</v>
      </c>
      <c r="Q203" s="74">
        <f t="shared" si="125"/>
        <v>15.875</v>
      </c>
      <c r="R203" s="114">
        <v>17</v>
      </c>
      <c r="S203" s="129"/>
      <c r="T203" s="117">
        <f>SUM((AX20+AY20+BC18+BD18+BZ10+CA10+CE8+CF8+BY5+BX5+BW4+BV4)*-0.132/2,(AZ19+BA19+BB19+BE17+BF17+BG17+BH16+BI16+BJ16+BK15+BL15+BM15+BN14+BO14+BP14+BQ13+BR13+BS13+BT12+BU12+BV12+BW11+BX11+BY11+CB9+CC9+CD9+CD7+CC7+CE7+CB6+CA6+BZ6)*-0.132/3,17)</f>
        <v>15.138461538461538</v>
      </c>
      <c r="U203" s="117">
        <f>Lefty!T203</f>
        <v>16.837538461538461</v>
      </c>
    </row>
    <row r="204" spans="2:21">
      <c r="B204" s="114">
        <v>30</v>
      </c>
      <c r="C204" s="74">
        <f t="shared" si="113"/>
        <v>28.25</v>
      </c>
      <c r="D204" s="74">
        <f t="shared" si="114"/>
        <v>26.5</v>
      </c>
      <c r="E204" s="74">
        <f t="shared" si="115"/>
        <v>24.75</v>
      </c>
      <c r="F204" s="114">
        <v>23</v>
      </c>
      <c r="G204" s="74">
        <f t="shared" si="116"/>
        <v>21.25</v>
      </c>
      <c r="H204" s="74">
        <f t="shared" si="117"/>
        <v>19.5</v>
      </c>
      <c r="I204" s="74">
        <f t="shared" si="118"/>
        <v>17.75</v>
      </c>
      <c r="J204" s="114">
        <f t="shared" si="119"/>
        <v>16</v>
      </c>
      <c r="K204" s="74">
        <f t="shared" si="120"/>
        <v>14.6875</v>
      </c>
      <c r="L204" s="74">
        <f t="shared" si="121"/>
        <v>13.375</v>
      </c>
      <c r="M204" s="74">
        <f t="shared" si="122"/>
        <v>12.0625</v>
      </c>
      <c r="N204" s="114">
        <f t="shared" si="126"/>
        <v>10.75</v>
      </c>
      <c r="O204" s="74">
        <f t="shared" si="123"/>
        <v>12.3125</v>
      </c>
      <c r="P204" s="74">
        <f t="shared" si="124"/>
        <v>13.875</v>
      </c>
      <c r="Q204" s="74">
        <f t="shared" si="125"/>
        <v>15.4375</v>
      </c>
      <c r="R204" s="114">
        <v>17</v>
      </c>
      <c r="S204" s="129"/>
      <c r="T204" s="117">
        <f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15.358461538461539</v>
      </c>
      <c r="U204" s="117">
        <f>Lefty!T204</f>
        <v>16.903538461538464</v>
      </c>
    </row>
    <row r="205" spans="2:21">
      <c r="B205" s="114">
        <v>31</v>
      </c>
      <c r="C205" s="74">
        <f t="shared" si="113"/>
        <v>29</v>
      </c>
      <c r="D205" s="74">
        <f t="shared" si="114"/>
        <v>27</v>
      </c>
      <c r="E205" s="74">
        <f t="shared" si="115"/>
        <v>25</v>
      </c>
      <c r="F205" s="114">
        <v>23</v>
      </c>
      <c r="G205" s="74">
        <f t="shared" si="116"/>
        <v>21</v>
      </c>
      <c r="H205" s="74">
        <f t="shared" si="117"/>
        <v>19</v>
      </c>
      <c r="I205" s="74">
        <f t="shared" si="118"/>
        <v>17</v>
      </c>
      <c r="J205" s="114">
        <f t="shared" si="119"/>
        <v>15</v>
      </c>
      <c r="K205" s="74">
        <f t="shared" si="120"/>
        <v>13.5</v>
      </c>
      <c r="L205" s="74">
        <f t="shared" si="121"/>
        <v>12</v>
      </c>
      <c r="M205" s="74">
        <f t="shared" si="122"/>
        <v>10.5</v>
      </c>
      <c r="N205" s="114">
        <f t="shared" si="126"/>
        <v>9</v>
      </c>
      <c r="O205" s="74">
        <f t="shared" si="123"/>
        <v>11</v>
      </c>
      <c r="P205" s="74">
        <f t="shared" si="124"/>
        <v>13</v>
      </c>
      <c r="Q205" s="74">
        <f t="shared" si="125"/>
        <v>15</v>
      </c>
      <c r="R205" s="114">
        <v>17</v>
      </c>
      <c r="S205" s="129"/>
      <c r="T205" s="117">
        <f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15.323261538461537</v>
      </c>
      <c r="U205" s="117">
        <f>Lefty!T205</f>
        <v>16.903538461538464</v>
      </c>
    </row>
    <row r="206" spans="2:21">
      <c r="B206" s="114">
        <v>32</v>
      </c>
      <c r="C206" s="74">
        <f t="shared" si="113"/>
        <v>29.75</v>
      </c>
      <c r="D206" s="74">
        <f t="shared" si="114"/>
        <v>27.5</v>
      </c>
      <c r="E206" s="74">
        <f t="shared" si="115"/>
        <v>25.25</v>
      </c>
      <c r="F206" s="114">
        <v>23</v>
      </c>
      <c r="G206" s="74">
        <f t="shared" si="116"/>
        <v>20.75</v>
      </c>
      <c r="H206" s="74">
        <f t="shared" si="117"/>
        <v>18.5</v>
      </c>
      <c r="I206" s="74">
        <f t="shared" si="118"/>
        <v>16.25</v>
      </c>
      <c r="J206" s="114">
        <f t="shared" si="119"/>
        <v>14</v>
      </c>
      <c r="K206" s="74">
        <f t="shared" si="120"/>
        <v>12.3125</v>
      </c>
      <c r="L206" s="74">
        <f t="shared" si="121"/>
        <v>10.625</v>
      </c>
      <c r="M206" s="74">
        <f t="shared" si="122"/>
        <v>8.9375</v>
      </c>
      <c r="N206" s="114">
        <f t="shared" si="126"/>
        <v>7.25</v>
      </c>
      <c r="O206" s="74">
        <f t="shared" si="123"/>
        <v>9.6875</v>
      </c>
      <c r="P206" s="74">
        <f t="shared" si="124"/>
        <v>12.125</v>
      </c>
      <c r="Q206" s="74">
        <f t="shared" si="125"/>
        <v>14.5625</v>
      </c>
      <c r="R206" s="114">
        <v>17</v>
      </c>
      <c r="S206" s="129"/>
      <c r="T206" s="117">
        <f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15.453061538461538</v>
      </c>
      <c r="U206" s="117">
        <f>Lefty!T206</f>
        <v>16.905738461538462</v>
      </c>
    </row>
    <row r="207" spans="2:21">
      <c r="B207" s="114">
        <v>33</v>
      </c>
      <c r="C207" s="74">
        <f t="shared" si="113"/>
        <v>30.5</v>
      </c>
      <c r="D207" s="74">
        <f t="shared" si="114"/>
        <v>28</v>
      </c>
      <c r="E207" s="74">
        <f t="shared" si="115"/>
        <v>25.5</v>
      </c>
      <c r="F207" s="114">
        <v>23</v>
      </c>
      <c r="G207" s="74">
        <f t="shared" si="116"/>
        <v>20.5</v>
      </c>
      <c r="H207" s="74">
        <f t="shared" si="117"/>
        <v>18</v>
      </c>
      <c r="I207" s="74">
        <f t="shared" si="118"/>
        <v>15.5</v>
      </c>
      <c r="J207" s="114">
        <f t="shared" si="119"/>
        <v>13</v>
      </c>
      <c r="K207" s="74">
        <f t="shared" si="120"/>
        <v>11.125</v>
      </c>
      <c r="L207" s="74">
        <f t="shared" si="121"/>
        <v>9.25</v>
      </c>
      <c r="M207" s="74">
        <f t="shared" si="122"/>
        <v>7.375</v>
      </c>
      <c r="N207" s="114">
        <f t="shared" si="126"/>
        <v>5.5</v>
      </c>
      <c r="O207" s="74">
        <f t="shared" si="123"/>
        <v>8.375</v>
      </c>
      <c r="P207" s="74">
        <f t="shared" si="124"/>
        <v>11.25</v>
      </c>
      <c r="Q207" s="74">
        <f t="shared" si="125"/>
        <v>14.125</v>
      </c>
      <c r="R207" s="114">
        <v>17</v>
      </c>
      <c r="S207" s="129"/>
      <c r="T207" s="117">
        <f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15.323261538461537</v>
      </c>
      <c r="U207" s="117">
        <f>Lefty!T207</f>
        <v>16.612824175824176</v>
      </c>
    </row>
    <row r="208" spans="2:21">
      <c r="B208" s="114">
        <v>34</v>
      </c>
      <c r="C208" s="74">
        <f t="shared" si="113"/>
        <v>31.25</v>
      </c>
      <c r="D208" s="74">
        <f t="shared" si="114"/>
        <v>28.5</v>
      </c>
      <c r="E208" s="74">
        <f t="shared" si="115"/>
        <v>25.75</v>
      </c>
      <c r="F208" s="114">
        <v>23</v>
      </c>
      <c r="G208" s="74">
        <f t="shared" si="116"/>
        <v>20.25</v>
      </c>
      <c r="H208" s="74">
        <f t="shared" si="117"/>
        <v>17.5</v>
      </c>
      <c r="I208" s="74">
        <f t="shared" si="118"/>
        <v>14.75</v>
      </c>
      <c r="J208" s="114">
        <f t="shared" si="119"/>
        <v>12</v>
      </c>
      <c r="K208" s="74">
        <f t="shared" si="120"/>
        <v>9.9375</v>
      </c>
      <c r="L208" s="74">
        <f t="shared" si="121"/>
        <v>7.875</v>
      </c>
      <c r="M208" s="74">
        <f t="shared" si="122"/>
        <v>5.8125</v>
      </c>
      <c r="N208" s="114">
        <f t="shared" si="126"/>
        <v>3.75</v>
      </c>
      <c r="O208" s="74">
        <f t="shared" si="123"/>
        <v>7.0625</v>
      </c>
      <c r="P208" s="74">
        <f t="shared" si="124"/>
        <v>10.375</v>
      </c>
      <c r="Q208" s="74">
        <f t="shared" si="125"/>
        <v>13.6875</v>
      </c>
      <c r="R208" s="114">
        <v>17</v>
      </c>
      <c r="S208" s="129"/>
      <c r="T208" s="117">
        <f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15.246575824175823</v>
      </c>
      <c r="U208" s="117">
        <f>Lefty!T208</f>
        <v>16.362495604395605</v>
      </c>
    </row>
    <row r="209" spans="2:21">
      <c r="B209" s="114">
        <v>35</v>
      </c>
      <c r="C209" s="74">
        <f t="shared" si="113"/>
        <v>32</v>
      </c>
      <c r="D209" s="74">
        <f t="shared" si="114"/>
        <v>29</v>
      </c>
      <c r="E209" s="74">
        <f t="shared" si="115"/>
        <v>26</v>
      </c>
      <c r="F209" s="114">
        <v>23</v>
      </c>
      <c r="G209" s="74">
        <f t="shared" si="116"/>
        <v>20</v>
      </c>
      <c r="H209" s="74">
        <f t="shared" si="117"/>
        <v>17</v>
      </c>
      <c r="I209" s="74">
        <f t="shared" si="118"/>
        <v>14</v>
      </c>
      <c r="J209" s="114">
        <f t="shared" si="119"/>
        <v>11</v>
      </c>
      <c r="K209" s="74">
        <f t="shared" si="120"/>
        <v>8.75</v>
      </c>
      <c r="L209" s="74">
        <f t="shared" si="121"/>
        <v>6.5</v>
      </c>
      <c r="M209" s="74">
        <f t="shared" si="122"/>
        <v>4.25</v>
      </c>
      <c r="N209" s="114">
        <f t="shared" si="126"/>
        <v>2</v>
      </c>
      <c r="O209" s="74">
        <f t="shared" si="123"/>
        <v>5.75</v>
      </c>
      <c r="P209" s="74">
        <f t="shared" si="124"/>
        <v>9.5</v>
      </c>
      <c r="Q209" s="74">
        <f t="shared" si="125"/>
        <v>13.25</v>
      </c>
      <c r="R209" s="114">
        <v>17</v>
      </c>
      <c r="S209" s="129"/>
      <c r="T209" s="126">
        <f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15.343375824175823</v>
      </c>
      <c r="U209" s="126">
        <f>Lefty!T209</f>
        <v>16.285495604395607</v>
      </c>
    </row>
    <row r="210" spans="2:21">
      <c r="B210" s="114"/>
      <c r="C210" s="74"/>
      <c r="D210" s="74"/>
      <c r="E210" s="74"/>
      <c r="F210" s="114"/>
      <c r="G210" s="74"/>
      <c r="H210" s="74"/>
      <c r="I210" s="74"/>
      <c r="J210" s="114"/>
      <c r="K210" s="74"/>
      <c r="L210" s="74"/>
      <c r="M210" s="74"/>
      <c r="N210" s="114"/>
      <c r="O210" s="74"/>
      <c r="P210" s="74"/>
      <c r="Q210" s="74"/>
      <c r="R210" s="114"/>
      <c r="S210" s="129"/>
    </row>
    <row r="211" spans="2:21">
      <c r="B211" s="114">
        <v>27</v>
      </c>
      <c r="C211" s="74">
        <f t="shared" si="113"/>
        <v>26.25</v>
      </c>
      <c r="D211" s="74">
        <f t="shared" si="114"/>
        <v>25.5</v>
      </c>
      <c r="E211" s="74">
        <f t="shared" si="115"/>
        <v>24.75</v>
      </c>
      <c r="F211" s="114">
        <v>24</v>
      </c>
      <c r="G211" s="74">
        <f t="shared" si="116"/>
        <v>23.25</v>
      </c>
      <c r="H211" s="74">
        <f t="shared" si="117"/>
        <v>22.5</v>
      </c>
      <c r="I211" s="74">
        <f t="shared" si="118"/>
        <v>21.75</v>
      </c>
      <c r="J211" s="114">
        <f t="shared" si="119"/>
        <v>21</v>
      </c>
      <c r="K211" s="74">
        <f t="shared" si="120"/>
        <v>20.4375</v>
      </c>
      <c r="L211" s="74">
        <f t="shared" si="121"/>
        <v>19.875</v>
      </c>
      <c r="M211" s="74">
        <f t="shared" si="122"/>
        <v>19.3125</v>
      </c>
      <c r="N211" s="114">
        <f t="shared" si="126"/>
        <v>18.75</v>
      </c>
      <c r="O211" s="74">
        <f t="shared" ref="O211:O221" si="127">SUM(0.25*(R211-N211),N211)</f>
        <v>18.3125</v>
      </c>
      <c r="P211" s="74">
        <f t="shared" ref="P211:P221" si="128">SUM(0.5*(R211-N211),N211)</f>
        <v>17.875</v>
      </c>
      <c r="Q211" s="74">
        <f t="shared" ref="Q211:Q221" si="129">SUM(0.75*(R211-N211),N211)</f>
        <v>17.4375</v>
      </c>
      <c r="R211" s="114">
        <v>17</v>
      </c>
      <c r="S211" s="129"/>
      <c r="T211" s="117">
        <f>SUM((BB20+BE18+BH16+BK14+BN12+BQ10+BT8+BU7+BU6+BV5+BV4)*-0.132,(BC19+BD19+BF17+BG17+BI15+BJ15+BL13+BM13+BO11+BP11+BR9+BS9)*-0.132/2,17)</f>
        <v>15.028461538461539</v>
      </c>
      <c r="U211" s="117">
        <f>Lefty!T211</f>
        <v>16.727538461538462</v>
      </c>
    </row>
    <row r="212" spans="2:21">
      <c r="B212" s="114">
        <v>28</v>
      </c>
      <c r="C212" s="74">
        <f t="shared" si="113"/>
        <v>27</v>
      </c>
      <c r="D212" s="74">
        <f t="shared" si="114"/>
        <v>26</v>
      </c>
      <c r="E212" s="74">
        <f t="shared" si="115"/>
        <v>25</v>
      </c>
      <c r="F212" s="114">
        <v>24</v>
      </c>
      <c r="G212" s="74">
        <f t="shared" si="116"/>
        <v>23</v>
      </c>
      <c r="H212" s="74">
        <f t="shared" si="117"/>
        <v>22</v>
      </c>
      <c r="I212" s="74">
        <f t="shared" si="118"/>
        <v>21</v>
      </c>
      <c r="J212" s="114">
        <f t="shared" si="119"/>
        <v>20</v>
      </c>
      <c r="K212" s="74">
        <f t="shared" si="120"/>
        <v>19.25</v>
      </c>
      <c r="L212" s="74">
        <f t="shared" si="121"/>
        <v>18.5</v>
      </c>
      <c r="M212" s="74">
        <f t="shared" si="122"/>
        <v>17.75</v>
      </c>
      <c r="N212" s="114">
        <f t="shared" si="126"/>
        <v>17</v>
      </c>
      <c r="O212" s="74">
        <f t="shared" si="127"/>
        <v>17</v>
      </c>
      <c r="P212" s="74">
        <f t="shared" si="128"/>
        <v>17</v>
      </c>
      <c r="Q212" s="74">
        <f t="shared" si="129"/>
        <v>17</v>
      </c>
      <c r="R212" s="114">
        <v>17</v>
      </c>
      <c r="S212" s="129"/>
      <c r="T212" s="117">
        <f>SUM((BA19+BB19+BC18+BD18+BE17+BF17+BG16+BH16+BI15+BJ15+BK14+BL14+BM13+BN13+BO12+BP12+BQ11+BR11+BS10+BT10+BU9+BV9)*-0.132/2,(AZ20+BW8+BW7+BV6+BV5+BV4)*-0.132,17)</f>
        <v>14.830461538461538</v>
      </c>
      <c r="U212" s="117">
        <f>Lefty!T212</f>
        <v>16.463538461538462</v>
      </c>
    </row>
    <row r="213" spans="2:21">
      <c r="B213" s="114">
        <v>29</v>
      </c>
      <c r="C213" s="74">
        <f t="shared" si="113"/>
        <v>27.75</v>
      </c>
      <c r="D213" s="74">
        <f t="shared" si="114"/>
        <v>26.5</v>
      </c>
      <c r="E213" s="74">
        <f t="shared" si="115"/>
        <v>25.25</v>
      </c>
      <c r="F213" s="114">
        <v>24</v>
      </c>
      <c r="G213" s="74">
        <f t="shared" si="116"/>
        <v>22.75</v>
      </c>
      <c r="H213" s="74">
        <f t="shared" si="117"/>
        <v>21.5</v>
      </c>
      <c r="I213" s="74">
        <f t="shared" si="118"/>
        <v>20.25</v>
      </c>
      <c r="J213" s="114">
        <f t="shared" si="119"/>
        <v>19</v>
      </c>
      <c r="K213" s="74">
        <f t="shared" si="120"/>
        <v>18.0625</v>
      </c>
      <c r="L213" s="74">
        <f t="shared" si="121"/>
        <v>17.125</v>
      </c>
      <c r="M213" s="74">
        <f t="shared" si="122"/>
        <v>16.1875</v>
      </c>
      <c r="N213" s="114">
        <f t="shared" si="126"/>
        <v>15.25</v>
      </c>
      <c r="O213" s="74">
        <f t="shared" si="127"/>
        <v>15.6875</v>
      </c>
      <c r="P213" s="74">
        <f t="shared" si="128"/>
        <v>16.125</v>
      </c>
      <c r="Q213" s="74">
        <f t="shared" si="129"/>
        <v>16.5625</v>
      </c>
      <c r="R213" s="114">
        <v>17</v>
      </c>
      <c r="S213" s="129"/>
      <c r="T213" s="117">
        <f>SUM((AX20+AY20+AZ19+BA19+BE17+BF17+BG16+BH16+BL14+BM14+BQ12+BR12+BS11+BT11+BU10+BV10+BW9+BX9+BY8+BZ8)*-0.132/2,(BB18+BC18+BD18+BI15+BJ15+BK15+BN13+BO13+BP13)*-0.132/3,(BY7+BX6+BW5+BV4)*-0.132,17)</f>
        <v>15.028461538461539</v>
      </c>
      <c r="U213" s="117">
        <f>Lefty!T213</f>
        <v>16.749538461538464</v>
      </c>
    </row>
    <row r="214" spans="2:21">
      <c r="B214" s="114">
        <v>30</v>
      </c>
      <c r="C214" s="74">
        <f t="shared" si="113"/>
        <v>28.5</v>
      </c>
      <c r="D214" s="74">
        <f t="shared" si="114"/>
        <v>27</v>
      </c>
      <c r="E214" s="74">
        <f t="shared" si="115"/>
        <v>25.5</v>
      </c>
      <c r="F214" s="114">
        <v>24</v>
      </c>
      <c r="G214" s="74">
        <f t="shared" si="116"/>
        <v>22.5</v>
      </c>
      <c r="H214" s="74">
        <f t="shared" si="117"/>
        <v>21</v>
      </c>
      <c r="I214" s="74">
        <f t="shared" si="118"/>
        <v>19.5</v>
      </c>
      <c r="J214" s="114">
        <f t="shared" si="119"/>
        <v>18</v>
      </c>
      <c r="K214" s="74">
        <f t="shared" si="120"/>
        <v>16.875</v>
      </c>
      <c r="L214" s="74">
        <f t="shared" si="121"/>
        <v>15.75</v>
      </c>
      <c r="M214" s="74">
        <f t="shared" si="122"/>
        <v>14.625</v>
      </c>
      <c r="N214" s="114">
        <f t="shared" si="126"/>
        <v>13.5</v>
      </c>
      <c r="O214" s="74">
        <f t="shared" si="127"/>
        <v>14.375</v>
      </c>
      <c r="P214" s="74">
        <f t="shared" si="128"/>
        <v>15.25</v>
      </c>
      <c r="Q214" s="74">
        <f t="shared" si="129"/>
        <v>16.125</v>
      </c>
      <c r="R214" s="114">
        <v>17</v>
      </c>
      <c r="S214" s="129"/>
      <c r="T214" s="117">
        <f>SUM((AV20+AW20+BA18+BB18+BX10+BY10+CC8+CD8+CC7+CB7+CA6+BZ6+BY5+BX5+BW4+BV4)*-0.132/2,(AX19+AY19+AZ19+BC17+BD17+BE17+BF16+BG16+BH16+BI15+BJ15+BK15+BL14+BM14+BN14+BO13+BP13+BQ13+BR12+BS12+BT12+BU11+BV11+BW11+BZ9+CA9+CB9)*-0.132/3,17)</f>
        <v>15.094461538461537</v>
      </c>
      <c r="U214" s="117">
        <f>Lefty!T214</f>
        <v>16.617538461538462</v>
      </c>
    </row>
    <row r="215" spans="2:21">
      <c r="B215" s="114">
        <v>31</v>
      </c>
      <c r="C215" s="74">
        <f t="shared" si="113"/>
        <v>29.25</v>
      </c>
      <c r="D215" s="74">
        <f t="shared" si="114"/>
        <v>27.5</v>
      </c>
      <c r="E215" s="74">
        <f t="shared" si="115"/>
        <v>25.75</v>
      </c>
      <c r="F215" s="114">
        <v>24</v>
      </c>
      <c r="G215" s="74">
        <f t="shared" si="116"/>
        <v>22.25</v>
      </c>
      <c r="H215" s="74">
        <f t="shared" si="117"/>
        <v>20.5</v>
      </c>
      <c r="I215" s="74">
        <f t="shared" si="118"/>
        <v>18.75</v>
      </c>
      <c r="J215" s="114">
        <f t="shared" si="119"/>
        <v>17</v>
      </c>
      <c r="K215" s="74">
        <f t="shared" si="120"/>
        <v>15.6875</v>
      </c>
      <c r="L215" s="74">
        <f t="shared" si="121"/>
        <v>14.375</v>
      </c>
      <c r="M215" s="74">
        <f t="shared" si="122"/>
        <v>13.0625</v>
      </c>
      <c r="N215" s="114">
        <f t="shared" si="126"/>
        <v>11.75</v>
      </c>
      <c r="O215" s="74">
        <f t="shared" si="127"/>
        <v>13.0625</v>
      </c>
      <c r="P215" s="74">
        <f t="shared" si="128"/>
        <v>14.375</v>
      </c>
      <c r="Q215" s="74">
        <f t="shared" si="129"/>
        <v>15.6875</v>
      </c>
      <c r="R215" s="114">
        <v>17</v>
      </c>
      <c r="S215" s="129"/>
      <c r="T215" s="117">
        <f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15.358461538461537</v>
      </c>
      <c r="U215" s="117">
        <f>Lefty!T215</f>
        <v>16.804538461538463</v>
      </c>
    </row>
    <row r="216" spans="2:21">
      <c r="B216" s="114">
        <v>32</v>
      </c>
      <c r="C216" s="74">
        <f t="shared" si="113"/>
        <v>30</v>
      </c>
      <c r="D216" s="74">
        <f t="shared" si="114"/>
        <v>28</v>
      </c>
      <c r="E216" s="74">
        <f t="shared" si="115"/>
        <v>26</v>
      </c>
      <c r="F216" s="114">
        <v>24</v>
      </c>
      <c r="G216" s="74">
        <f t="shared" si="116"/>
        <v>22</v>
      </c>
      <c r="H216" s="74">
        <f t="shared" si="117"/>
        <v>20</v>
      </c>
      <c r="I216" s="74">
        <f t="shared" si="118"/>
        <v>18</v>
      </c>
      <c r="J216" s="114">
        <f t="shared" si="119"/>
        <v>16</v>
      </c>
      <c r="K216" s="74">
        <f t="shared" si="120"/>
        <v>14.5</v>
      </c>
      <c r="L216" s="74">
        <f t="shared" si="121"/>
        <v>13</v>
      </c>
      <c r="M216" s="74">
        <f t="shared" si="122"/>
        <v>11.5</v>
      </c>
      <c r="N216" s="114">
        <f t="shared" si="126"/>
        <v>10</v>
      </c>
      <c r="O216" s="74">
        <f t="shared" si="127"/>
        <v>11.75</v>
      </c>
      <c r="P216" s="74">
        <f t="shared" si="128"/>
        <v>13.5</v>
      </c>
      <c r="Q216" s="74">
        <f t="shared" si="129"/>
        <v>15.25</v>
      </c>
      <c r="R216" s="114">
        <v>17</v>
      </c>
      <c r="S216" s="129"/>
      <c r="T216" s="117">
        <f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15.292461538461538</v>
      </c>
      <c r="U216" s="117">
        <f>Lefty!T216</f>
        <v>16.826538461538462</v>
      </c>
    </row>
    <row r="217" spans="2:21">
      <c r="B217" s="114">
        <v>33</v>
      </c>
      <c r="C217" s="74">
        <f t="shared" si="113"/>
        <v>30.75</v>
      </c>
      <c r="D217" s="74">
        <f t="shared" si="114"/>
        <v>28.5</v>
      </c>
      <c r="E217" s="74">
        <f t="shared" si="115"/>
        <v>26.25</v>
      </c>
      <c r="F217" s="114">
        <v>24</v>
      </c>
      <c r="G217" s="74">
        <f t="shared" si="116"/>
        <v>21.75</v>
      </c>
      <c r="H217" s="74">
        <f t="shared" si="117"/>
        <v>19.5</v>
      </c>
      <c r="I217" s="74">
        <f t="shared" si="118"/>
        <v>17.25</v>
      </c>
      <c r="J217" s="114">
        <f t="shared" si="119"/>
        <v>15</v>
      </c>
      <c r="K217" s="74">
        <f t="shared" si="120"/>
        <v>13.3125</v>
      </c>
      <c r="L217" s="74">
        <f t="shared" si="121"/>
        <v>11.625</v>
      </c>
      <c r="M217" s="74">
        <f t="shared" si="122"/>
        <v>9.9375</v>
      </c>
      <c r="N217" s="114">
        <f t="shared" si="126"/>
        <v>8.25</v>
      </c>
      <c r="O217" s="74">
        <f t="shared" si="127"/>
        <v>10.4375</v>
      </c>
      <c r="P217" s="74">
        <f t="shared" si="128"/>
        <v>12.625</v>
      </c>
      <c r="Q217" s="74">
        <f t="shared" si="129"/>
        <v>14.8125</v>
      </c>
      <c r="R217" s="114">
        <v>17</v>
      </c>
      <c r="S217" s="129"/>
      <c r="T217" s="117">
        <f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15.272661538461538</v>
      </c>
      <c r="U217" s="117">
        <f>Lefty!T217</f>
        <v>16.687938461538462</v>
      </c>
    </row>
    <row r="218" spans="2:21">
      <c r="B218" s="114">
        <v>34</v>
      </c>
      <c r="C218" s="74">
        <f t="shared" si="113"/>
        <v>31.5</v>
      </c>
      <c r="D218" s="74">
        <f t="shared" si="114"/>
        <v>29</v>
      </c>
      <c r="E218" s="74">
        <f t="shared" si="115"/>
        <v>26.5</v>
      </c>
      <c r="F218" s="114">
        <v>24</v>
      </c>
      <c r="G218" s="74">
        <f t="shared" si="116"/>
        <v>21.5</v>
      </c>
      <c r="H218" s="74">
        <f t="shared" si="117"/>
        <v>19</v>
      </c>
      <c r="I218" s="74">
        <f t="shared" si="118"/>
        <v>16.5</v>
      </c>
      <c r="J218" s="114">
        <f t="shared" si="119"/>
        <v>14</v>
      </c>
      <c r="K218" s="74">
        <f t="shared" si="120"/>
        <v>12.125</v>
      </c>
      <c r="L218" s="74">
        <f t="shared" si="121"/>
        <v>10.25</v>
      </c>
      <c r="M218" s="74">
        <f t="shared" si="122"/>
        <v>8.375</v>
      </c>
      <c r="N218" s="114">
        <f t="shared" si="126"/>
        <v>6.5</v>
      </c>
      <c r="O218" s="74">
        <f t="shared" si="127"/>
        <v>9.125</v>
      </c>
      <c r="P218" s="74">
        <f t="shared" si="128"/>
        <v>11.75</v>
      </c>
      <c r="Q218" s="74">
        <f t="shared" si="129"/>
        <v>14.375</v>
      </c>
      <c r="R218" s="114">
        <v>17</v>
      </c>
      <c r="S218" s="129"/>
      <c r="T218" s="117">
        <f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15.369461538461538</v>
      </c>
      <c r="U218" s="117">
        <f>Lefty!T218</f>
        <v>16.639538461538464</v>
      </c>
    </row>
    <row r="219" spans="2:21">
      <c r="B219" s="114">
        <v>35</v>
      </c>
      <c r="C219" s="74">
        <f t="shared" si="113"/>
        <v>32.25</v>
      </c>
      <c r="D219" s="74">
        <f t="shared" si="114"/>
        <v>29.5</v>
      </c>
      <c r="E219" s="74">
        <f t="shared" si="115"/>
        <v>26.75</v>
      </c>
      <c r="F219" s="114">
        <v>24</v>
      </c>
      <c r="G219" s="74">
        <f t="shared" si="116"/>
        <v>21.25</v>
      </c>
      <c r="H219" s="74">
        <f t="shared" si="117"/>
        <v>18.5</v>
      </c>
      <c r="I219" s="74">
        <f t="shared" si="118"/>
        <v>15.75</v>
      </c>
      <c r="J219" s="114">
        <f t="shared" si="119"/>
        <v>13</v>
      </c>
      <c r="K219" s="74">
        <f t="shared" si="120"/>
        <v>10.9375</v>
      </c>
      <c r="L219" s="74">
        <f t="shared" si="121"/>
        <v>8.875</v>
      </c>
      <c r="M219" s="74">
        <f t="shared" si="122"/>
        <v>6.8125</v>
      </c>
      <c r="N219" s="114">
        <f t="shared" si="126"/>
        <v>4.75</v>
      </c>
      <c r="O219" s="74">
        <f t="shared" si="127"/>
        <v>7.8125</v>
      </c>
      <c r="P219" s="74">
        <f t="shared" si="128"/>
        <v>10.875</v>
      </c>
      <c r="Q219" s="74">
        <f t="shared" si="129"/>
        <v>13.9375</v>
      </c>
      <c r="R219" s="114">
        <v>17</v>
      </c>
      <c r="S219" s="129"/>
      <c r="T219" s="117">
        <f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15.541375824175823</v>
      </c>
      <c r="U219" s="117">
        <f>Lefty!T219</f>
        <v>16.251081318681319</v>
      </c>
    </row>
    <row r="220" spans="2:21">
      <c r="B220" s="114">
        <v>36</v>
      </c>
      <c r="C220" s="74">
        <f t="shared" si="113"/>
        <v>33</v>
      </c>
      <c r="D220" s="74">
        <f t="shared" si="114"/>
        <v>30</v>
      </c>
      <c r="E220" s="74">
        <f t="shared" si="115"/>
        <v>27</v>
      </c>
      <c r="F220" s="114">
        <v>24</v>
      </c>
      <c r="G220" s="74">
        <f t="shared" si="116"/>
        <v>21</v>
      </c>
      <c r="H220" s="74">
        <f t="shared" si="117"/>
        <v>18</v>
      </c>
      <c r="I220" s="74">
        <f t="shared" si="118"/>
        <v>15</v>
      </c>
      <c r="J220" s="114">
        <f t="shared" si="119"/>
        <v>12</v>
      </c>
      <c r="K220" s="74">
        <f t="shared" si="120"/>
        <v>9.75</v>
      </c>
      <c r="L220" s="74">
        <f t="shared" si="121"/>
        <v>7.5</v>
      </c>
      <c r="M220" s="74">
        <f t="shared" si="122"/>
        <v>5.25</v>
      </c>
      <c r="N220" s="114">
        <f t="shared" si="126"/>
        <v>3</v>
      </c>
      <c r="O220" s="74">
        <f t="shared" si="127"/>
        <v>6.5</v>
      </c>
      <c r="P220" s="74">
        <f t="shared" si="128"/>
        <v>10</v>
      </c>
      <c r="Q220" s="74">
        <f t="shared" si="129"/>
        <v>13.5</v>
      </c>
      <c r="R220" s="114">
        <v>17</v>
      </c>
      <c r="S220" s="129"/>
      <c r="T220" s="117">
        <f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15.599361538461539</v>
      </c>
      <c r="U220" s="117">
        <f>Lefty!T220</f>
        <v>15.961938461538463</v>
      </c>
    </row>
    <row r="221" spans="2:21">
      <c r="B221" s="114">
        <v>37</v>
      </c>
      <c r="C221" s="74">
        <f t="shared" si="113"/>
        <v>33.75</v>
      </c>
      <c r="D221" s="74">
        <f t="shared" si="114"/>
        <v>30.5</v>
      </c>
      <c r="E221" s="74">
        <f t="shared" si="115"/>
        <v>27.25</v>
      </c>
      <c r="F221" s="114">
        <v>24</v>
      </c>
      <c r="G221" s="74">
        <f t="shared" si="116"/>
        <v>20.75</v>
      </c>
      <c r="H221" s="74">
        <f t="shared" si="117"/>
        <v>17.5</v>
      </c>
      <c r="I221" s="74">
        <f t="shared" si="118"/>
        <v>14.25</v>
      </c>
      <c r="J221" s="114">
        <f t="shared" si="119"/>
        <v>11</v>
      </c>
      <c r="K221" s="74">
        <f t="shared" si="120"/>
        <v>8.5625</v>
      </c>
      <c r="L221" s="74">
        <f t="shared" si="121"/>
        <v>6.125</v>
      </c>
      <c r="M221" s="74">
        <f t="shared" si="122"/>
        <v>3.6875</v>
      </c>
      <c r="N221" s="114">
        <f t="shared" si="126"/>
        <v>1.25</v>
      </c>
      <c r="O221" s="74">
        <f t="shared" si="127"/>
        <v>5.1875</v>
      </c>
      <c r="P221" s="74">
        <f t="shared" si="128"/>
        <v>9.125</v>
      </c>
      <c r="Q221" s="74">
        <f t="shared" si="129"/>
        <v>13.0625</v>
      </c>
      <c r="R221" s="114">
        <v>17</v>
      </c>
      <c r="S221" s="129"/>
      <c r="T221" s="126">
        <f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15.685475824175825</v>
      </c>
      <c r="U221" s="126">
        <f>Lefty!T221</f>
        <v>15.912909890109891</v>
      </c>
    </row>
    <row r="222" spans="2:21">
      <c r="B222" s="114"/>
      <c r="C222" s="74"/>
      <c r="D222" s="74"/>
      <c r="E222" s="74"/>
      <c r="F222" s="114"/>
      <c r="G222" s="74"/>
      <c r="H222" s="74"/>
      <c r="I222" s="74"/>
      <c r="J222" s="114"/>
      <c r="K222" s="74"/>
      <c r="L222" s="74"/>
      <c r="M222" s="74"/>
      <c r="N222" s="114"/>
      <c r="O222" s="74"/>
      <c r="P222" s="74"/>
      <c r="Q222" s="74"/>
      <c r="R222" s="114"/>
      <c r="S222" s="129"/>
    </row>
    <row r="223" spans="2:21">
      <c r="B223" s="114">
        <v>28</v>
      </c>
      <c r="C223" s="74">
        <f t="shared" si="113"/>
        <v>27.25</v>
      </c>
      <c r="D223" s="74">
        <f t="shared" si="114"/>
        <v>26.5</v>
      </c>
      <c r="E223" s="74">
        <f t="shared" si="115"/>
        <v>25.75</v>
      </c>
      <c r="F223" s="114">
        <v>25</v>
      </c>
      <c r="G223" s="74">
        <f t="shared" si="116"/>
        <v>24.25</v>
      </c>
      <c r="H223" s="74">
        <f t="shared" si="117"/>
        <v>23.5</v>
      </c>
      <c r="I223" s="74">
        <f t="shared" si="118"/>
        <v>22.75</v>
      </c>
      <c r="J223" s="114">
        <f t="shared" si="119"/>
        <v>22</v>
      </c>
      <c r="K223" s="74">
        <f t="shared" si="120"/>
        <v>21.4375</v>
      </c>
      <c r="L223" s="74">
        <f t="shared" si="121"/>
        <v>20.875</v>
      </c>
      <c r="M223" s="74">
        <f t="shared" si="122"/>
        <v>20.3125</v>
      </c>
      <c r="N223" s="114">
        <f t="shared" ref="N223:N233" si="130">SUM(F223,-B223,J223,0.25*ABS(J223-F223))</f>
        <v>19.75</v>
      </c>
      <c r="O223" s="74">
        <f t="shared" ref="O223:O233" si="131">SUM(0.25*(R223-N223),N223)</f>
        <v>19.0625</v>
      </c>
      <c r="P223" s="74">
        <f t="shared" ref="P223:P233" si="132">SUM(0.5*(R223-N223),N223)</f>
        <v>18.375</v>
      </c>
      <c r="Q223" s="74">
        <f t="shared" ref="Q223:Q233" si="133">SUM(0.75*(R223-N223),N223)</f>
        <v>17.6875</v>
      </c>
      <c r="R223" s="114">
        <v>17</v>
      </c>
      <c r="S223" s="129"/>
      <c r="T223" s="117">
        <f>SUM((AZ20+BC18+BF16+BI14+BL12+BO10+BR8+BS7+BT6+BU5+BV4)*-0.132,(BA19+BB19+BD17+BE17+BG15+BH15+BJ13+BK13+BM11+BN11+BP9+BQ9)*-0.132/2,17)</f>
        <v>15.094461538461539</v>
      </c>
      <c r="U223" s="117">
        <f>Lefty!T223</f>
        <v>17.057538461538464</v>
      </c>
    </row>
    <row r="224" spans="2:21">
      <c r="B224" s="114">
        <v>29</v>
      </c>
      <c r="C224" s="74">
        <f t="shared" si="113"/>
        <v>28</v>
      </c>
      <c r="D224" s="74">
        <f t="shared" si="114"/>
        <v>27</v>
      </c>
      <c r="E224" s="74">
        <f t="shared" si="115"/>
        <v>26</v>
      </c>
      <c r="F224" s="114">
        <v>25</v>
      </c>
      <c r="G224" s="74">
        <f t="shared" si="116"/>
        <v>24</v>
      </c>
      <c r="H224" s="74">
        <f t="shared" si="117"/>
        <v>23</v>
      </c>
      <c r="I224" s="74">
        <f t="shared" si="118"/>
        <v>22</v>
      </c>
      <c r="J224" s="114">
        <f t="shared" si="119"/>
        <v>21</v>
      </c>
      <c r="K224" s="74">
        <f t="shared" si="120"/>
        <v>20.25</v>
      </c>
      <c r="L224" s="74">
        <f t="shared" si="121"/>
        <v>19.5</v>
      </c>
      <c r="M224" s="74">
        <f t="shared" si="122"/>
        <v>18.75</v>
      </c>
      <c r="N224" s="114">
        <f t="shared" si="130"/>
        <v>18</v>
      </c>
      <c r="O224" s="74">
        <f t="shared" si="131"/>
        <v>17.75</v>
      </c>
      <c r="P224" s="74">
        <f t="shared" si="132"/>
        <v>17.5</v>
      </c>
      <c r="Q224" s="74">
        <f t="shared" si="133"/>
        <v>17.25</v>
      </c>
      <c r="R224" s="114">
        <v>17</v>
      </c>
      <c r="S224" s="129"/>
      <c r="T224" s="117">
        <f>SUM(AX20*-0.132,(AY19+AZ19+BA18+BB18+BC17+BD17+BE16+BF16+BG15+BH15+BI14+BJ14+BK13+BL13+BM12+BN12+BO11+BP11+BR9+BS9)*-0.132/2,(BQ10+BT8+BU7+BU6+BV5+BV4)*-0.132,17)</f>
        <v>15.292461538461538</v>
      </c>
      <c r="U224" s="117">
        <f>Lefty!T224</f>
        <v>16.727538461538462</v>
      </c>
    </row>
    <row r="225" spans="2:21">
      <c r="B225" s="114">
        <v>30</v>
      </c>
      <c r="C225" s="74">
        <f t="shared" si="113"/>
        <v>28.75</v>
      </c>
      <c r="D225" s="74">
        <f t="shared" si="114"/>
        <v>27.5</v>
      </c>
      <c r="E225" s="74">
        <f t="shared" si="115"/>
        <v>26.25</v>
      </c>
      <c r="F225" s="114">
        <v>25</v>
      </c>
      <c r="G225" s="74">
        <f t="shared" si="116"/>
        <v>23.75</v>
      </c>
      <c r="H225" s="74">
        <f t="shared" si="117"/>
        <v>22.5</v>
      </c>
      <c r="I225" s="74">
        <f t="shared" si="118"/>
        <v>21.25</v>
      </c>
      <c r="J225" s="114">
        <f t="shared" si="119"/>
        <v>20</v>
      </c>
      <c r="K225" s="74">
        <f t="shared" si="120"/>
        <v>19.0625</v>
      </c>
      <c r="L225" s="74">
        <f t="shared" si="121"/>
        <v>18.125</v>
      </c>
      <c r="M225" s="74">
        <f t="shared" si="122"/>
        <v>17.1875</v>
      </c>
      <c r="N225" s="114">
        <f t="shared" si="130"/>
        <v>16.25</v>
      </c>
      <c r="O225" s="74">
        <f t="shared" si="131"/>
        <v>16.4375</v>
      </c>
      <c r="P225" s="74">
        <f t="shared" si="132"/>
        <v>16.625</v>
      </c>
      <c r="Q225" s="74">
        <f t="shared" si="133"/>
        <v>16.8125</v>
      </c>
      <c r="R225" s="114">
        <v>17</v>
      </c>
      <c r="S225" s="129"/>
      <c r="T225" s="117">
        <f>SUM((AV20+AW20+AX19+AY19+BC17+BD17+BE16+BF16+BJ14+BK14+BO12+BP12+BQ11+BR11+BS10+BT10+BU9+BV9+BW8+BX8)*-0.132/2,(AZ18+BA18+BB18+BG15+BH15+BI15+BL13+BM13+BN13)*-0.132/3,(+BW7+BW6+BV5+BV4)*-0.132,17)</f>
        <v>15.204461538461537</v>
      </c>
      <c r="U225" s="117">
        <f>Lefty!T225</f>
        <v>16.463538461538462</v>
      </c>
    </row>
    <row r="226" spans="2:21">
      <c r="B226" s="114">
        <v>31</v>
      </c>
      <c r="C226" s="74">
        <f t="shared" si="113"/>
        <v>29.5</v>
      </c>
      <c r="D226" s="74">
        <f t="shared" si="114"/>
        <v>28</v>
      </c>
      <c r="E226" s="74">
        <f t="shared" si="115"/>
        <v>26.5</v>
      </c>
      <c r="F226" s="114">
        <v>25</v>
      </c>
      <c r="G226" s="74">
        <f t="shared" si="116"/>
        <v>23.5</v>
      </c>
      <c r="H226" s="74">
        <f t="shared" si="117"/>
        <v>22</v>
      </c>
      <c r="I226" s="74">
        <f t="shared" si="118"/>
        <v>20.5</v>
      </c>
      <c r="J226" s="114">
        <f t="shared" si="119"/>
        <v>19</v>
      </c>
      <c r="K226" s="74">
        <f t="shared" si="120"/>
        <v>17.875</v>
      </c>
      <c r="L226" s="74">
        <f t="shared" si="121"/>
        <v>16.75</v>
      </c>
      <c r="M226" s="74">
        <f t="shared" si="122"/>
        <v>15.625</v>
      </c>
      <c r="N226" s="114">
        <f t="shared" si="130"/>
        <v>14.5</v>
      </c>
      <c r="O226" s="74">
        <f t="shared" si="131"/>
        <v>15.125</v>
      </c>
      <c r="P226" s="74">
        <f t="shared" si="132"/>
        <v>15.75</v>
      </c>
      <c r="Q226" s="74">
        <f t="shared" si="133"/>
        <v>16.375</v>
      </c>
      <c r="R226" s="114">
        <v>17</v>
      </c>
      <c r="S226" s="129"/>
      <c r="T226" s="117">
        <f>SUM((AT20+AU20+AY18+AZ18)*-0.132/2,(AV19+AW19+AX19+BA17+BB17+BC17+BD16+BE16+BF16+BG15+BH15+BI15+BJ14+BK14+BL14+BM13+BN13+BO13+BP12+BQ12+BR12+BS11+BT11+BU11+BX9+BY9+BZ9)*-0.132/3,(BV10+BW10+CA8+CB8+CA7+BZ7+BY6+BX6)*-0.132/2,(BW5+BV4)*-0.132,17)</f>
        <v>15.182461538461538</v>
      </c>
      <c r="U226" s="117">
        <f>Lefty!T226</f>
        <v>16.595538461538464</v>
      </c>
    </row>
    <row r="227" spans="2:21">
      <c r="B227" s="114">
        <v>32</v>
      </c>
      <c r="C227" s="74">
        <f t="shared" si="113"/>
        <v>30.25</v>
      </c>
      <c r="D227" s="74">
        <f t="shared" si="114"/>
        <v>28.5</v>
      </c>
      <c r="E227" s="74">
        <f t="shared" si="115"/>
        <v>26.75</v>
      </c>
      <c r="F227" s="114">
        <v>25</v>
      </c>
      <c r="G227" s="74">
        <f t="shared" si="116"/>
        <v>23.25</v>
      </c>
      <c r="H227" s="74">
        <f t="shared" si="117"/>
        <v>21.5</v>
      </c>
      <c r="I227" s="74">
        <f t="shared" si="118"/>
        <v>19.75</v>
      </c>
      <c r="J227" s="114">
        <f t="shared" si="119"/>
        <v>18</v>
      </c>
      <c r="K227" s="74">
        <f t="shared" si="120"/>
        <v>16.6875</v>
      </c>
      <c r="L227" s="74">
        <f t="shared" si="121"/>
        <v>15.375</v>
      </c>
      <c r="M227" s="74">
        <f t="shared" si="122"/>
        <v>14.0625</v>
      </c>
      <c r="N227" s="114">
        <f t="shared" si="130"/>
        <v>12.75</v>
      </c>
      <c r="O227" s="74">
        <f t="shared" si="131"/>
        <v>13.8125</v>
      </c>
      <c r="P227" s="74">
        <f t="shared" si="132"/>
        <v>14.875</v>
      </c>
      <c r="Q227" s="74">
        <f t="shared" si="133"/>
        <v>15.9375</v>
      </c>
      <c r="R227" s="114">
        <v>17</v>
      </c>
      <c r="S227" s="129"/>
      <c r="T227" s="117">
        <f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15.281461538461537</v>
      </c>
      <c r="U227" s="117">
        <f>Lefty!T227</f>
        <v>16.441538461538464</v>
      </c>
    </row>
    <row r="228" spans="2:21">
      <c r="B228" s="114">
        <v>33</v>
      </c>
      <c r="C228" s="74">
        <f t="shared" ref="C228:C289" si="134">SUM(0.25*(F228-B228),B228)</f>
        <v>31</v>
      </c>
      <c r="D228" s="74">
        <f t="shared" ref="D228:D289" si="135">SUM(0.5*(F228-B228)+B228)</f>
        <v>29</v>
      </c>
      <c r="E228" s="74">
        <f t="shared" ref="E228:E289" si="136">SUM(0.75*(F228-B228),B228)</f>
        <v>27</v>
      </c>
      <c r="F228" s="114">
        <v>25</v>
      </c>
      <c r="G228" s="74">
        <f t="shared" ref="G228:G289" si="137">SUM(0.25*(J228-F228),F228)</f>
        <v>23</v>
      </c>
      <c r="H228" s="74">
        <f t="shared" ref="H228:H289" si="138">SUM(0.5*(J228-F228),F228)</f>
        <v>21</v>
      </c>
      <c r="I228" s="74">
        <f t="shared" ref="I228:I289" si="139">SUM(0.75*(J228-F228),F228)</f>
        <v>19</v>
      </c>
      <c r="J228" s="114">
        <f t="shared" ref="J228:J289" si="140">SUM(F228,-B228,F228)</f>
        <v>17</v>
      </c>
      <c r="K228" s="74">
        <f t="shared" ref="K228:K289" si="141">SUM(0.25*(N228-J228),J228)</f>
        <v>15.5</v>
      </c>
      <c r="L228" s="74">
        <f t="shared" ref="L228:L289" si="142">SUM(0.5*(N228-J228),J228)</f>
        <v>14</v>
      </c>
      <c r="M228" s="74">
        <f t="shared" ref="M228:M289" si="143">SUM(0.75*(N228-J228),J228)</f>
        <v>12.5</v>
      </c>
      <c r="N228" s="114">
        <f t="shared" si="130"/>
        <v>11</v>
      </c>
      <c r="O228" s="74">
        <f t="shared" si="131"/>
        <v>12.5</v>
      </c>
      <c r="P228" s="74">
        <f t="shared" si="132"/>
        <v>14</v>
      </c>
      <c r="Q228" s="74">
        <f t="shared" si="133"/>
        <v>15.5</v>
      </c>
      <c r="R228" s="114">
        <v>17</v>
      </c>
      <c r="S228" s="129"/>
      <c r="T228" s="117">
        <f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15.424461538461538</v>
      </c>
      <c r="U228" s="117">
        <f>Lefty!T228</f>
        <v>16.738538461538461</v>
      </c>
    </row>
    <row r="229" spans="2:21">
      <c r="B229" s="114">
        <v>34</v>
      </c>
      <c r="C229" s="74">
        <f t="shared" si="134"/>
        <v>31.75</v>
      </c>
      <c r="D229" s="74">
        <f t="shared" si="135"/>
        <v>29.5</v>
      </c>
      <c r="E229" s="74">
        <f t="shared" si="136"/>
        <v>27.25</v>
      </c>
      <c r="F229" s="114">
        <v>25</v>
      </c>
      <c r="G229" s="74">
        <f t="shared" si="137"/>
        <v>22.75</v>
      </c>
      <c r="H229" s="74">
        <f t="shared" si="138"/>
        <v>20.5</v>
      </c>
      <c r="I229" s="74">
        <f t="shared" si="139"/>
        <v>18.25</v>
      </c>
      <c r="J229" s="114">
        <f t="shared" si="140"/>
        <v>16</v>
      </c>
      <c r="K229" s="74">
        <f t="shared" si="141"/>
        <v>14.3125</v>
      </c>
      <c r="L229" s="74">
        <f t="shared" si="142"/>
        <v>12.625</v>
      </c>
      <c r="M229" s="74">
        <f t="shared" si="143"/>
        <v>10.9375</v>
      </c>
      <c r="N229" s="114">
        <f t="shared" si="130"/>
        <v>9.25</v>
      </c>
      <c r="O229" s="74">
        <f t="shared" si="131"/>
        <v>11.1875</v>
      </c>
      <c r="P229" s="74">
        <f t="shared" si="132"/>
        <v>13.125</v>
      </c>
      <c r="Q229" s="74">
        <f t="shared" si="133"/>
        <v>15.0625</v>
      </c>
      <c r="R229" s="114">
        <v>17</v>
      </c>
      <c r="S229" s="129"/>
      <c r="T229" s="117">
        <f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15.457461538461539</v>
      </c>
      <c r="U229" s="117">
        <f>Lefty!T229</f>
        <v>16.395338461538461</v>
      </c>
    </row>
    <row r="230" spans="2:21">
      <c r="B230" s="114">
        <v>35</v>
      </c>
      <c r="C230" s="74">
        <f t="shared" si="134"/>
        <v>32.5</v>
      </c>
      <c r="D230" s="74">
        <f t="shared" si="135"/>
        <v>30</v>
      </c>
      <c r="E230" s="74">
        <f t="shared" si="136"/>
        <v>27.5</v>
      </c>
      <c r="F230" s="114">
        <v>25</v>
      </c>
      <c r="G230" s="74">
        <f t="shared" si="137"/>
        <v>22.5</v>
      </c>
      <c r="H230" s="74">
        <f t="shared" si="138"/>
        <v>20</v>
      </c>
      <c r="I230" s="74">
        <f t="shared" si="139"/>
        <v>17.5</v>
      </c>
      <c r="J230" s="114">
        <f t="shared" si="140"/>
        <v>15</v>
      </c>
      <c r="K230" s="74">
        <f t="shared" si="141"/>
        <v>13.125</v>
      </c>
      <c r="L230" s="74">
        <f t="shared" si="142"/>
        <v>11.25</v>
      </c>
      <c r="M230" s="74">
        <f t="shared" si="143"/>
        <v>9.375</v>
      </c>
      <c r="N230" s="114">
        <f t="shared" si="130"/>
        <v>7.5</v>
      </c>
      <c r="O230" s="74">
        <f t="shared" si="131"/>
        <v>9.875</v>
      </c>
      <c r="P230" s="74">
        <f t="shared" si="132"/>
        <v>12.25</v>
      </c>
      <c r="Q230" s="74">
        <f t="shared" si="133"/>
        <v>14.625</v>
      </c>
      <c r="R230" s="114">
        <v>17</v>
      </c>
      <c r="S230" s="129"/>
      <c r="T230" s="117">
        <f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15.673061538461539</v>
      </c>
      <c r="U230" s="117">
        <f>Lefty!T230</f>
        <v>16.382138461538464</v>
      </c>
    </row>
    <row r="231" spans="2:21">
      <c r="B231" s="114">
        <v>36</v>
      </c>
      <c r="C231" s="74">
        <f t="shared" si="134"/>
        <v>33.25</v>
      </c>
      <c r="D231" s="74">
        <f t="shared" si="135"/>
        <v>30.5</v>
      </c>
      <c r="E231" s="74">
        <f t="shared" si="136"/>
        <v>27.75</v>
      </c>
      <c r="F231" s="114">
        <v>25</v>
      </c>
      <c r="G231" s="74">
        <f t="shared" si="137"/>
        <v>22.25</v>
      </c>
      <c r="H231" s="74">
        <f t="shared" si="138"/>
        <v>19.5</v>
      </c>
      <c r="I231" s="74">
        <f t="shared" si="139"/>
        <v>16.75</v>
      </c>
      <c r="J231" s="114">
        <f t="shared" si="140"/>
        <v>14</v>
      </c>
      <c r="K231" s="74">
        <f t="shared" si="141"/>
        <v>11.9375</v>
      </c>
      <c r="L231" s="74">
        <f t="shared" si="142"/>
        <v>9.875</v>
      </c>
      <c r="M231" s="74">
        <f t="shared" si="143"/>
        <v>7.8125</v>
      </c>
      <c r="N231" s="114">
        <f t="shared" si="130"/>
        <v>5.75</v>
      </c>
      <c r="O231" s="74">
        <f t="shared" si="131"/>
        <v>8.5625</v>
      </c>
      <c r="P231" s="74">
        <f t="shared" si="132"/>
        <v>11.375</v>
      </c>
      <c r="Q231" s="74">
        <f t="shared" si="133"/>
        <v>14.1875</v>
      </c>
      <c r="R231" s="114">
        <v>17</v>
      </c>
      <c r="S231" s="129"/>
      <c r="T231" s="117">
        <f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15.807261538461539</v>
      </c>
      <c r="U231" s="117">
        <f>Lefty!T231</f>
        <v>16.111224175824177</v>
      </c>
    </row>
    <row r="232" spans="2:21">
      <c r="B232" s="114">
        <v>37</v>
      </c>
      <c r="C232" s="74">
        <f t="shared" si="134"/>
        <v>34</v>
      </c>
      <c r="D232" s="74">
        <f t="shared" si="135"/>
        <v>31</v>
      </c>
      <c r="E232" s="74">
        <f t="shared" si="136"/>
        <v>28</v>
      </c>
      <c r="F232" s="114">
        <v>25</v>
      </c>
      <c r="G232" s="74">
        <f t="shared" si="137"/>
        <v>22</v>
      </c>
      <c r="H232" s="74">
        <f t="shared" si="138"/>
        <v>19</v>
      </c>
      <c r="I232" s="74">
        <f t="shared" si="139"/>
        <v>16</v>
      </c>
      <c r="J232" s="114">
        <f t="shared" si="140"/>
        <v>13</v>
      </c>
      <c r="K232" s="74">
        <f t="shared" si="141"/>
        <v>10.75</v>
      </c>
      <c r="L232" s="74">
        <f t="shared" si="142"/>
        <v>8.5</v>
      </c>
      <c r="M232" s="74">
        <f t="shared" si="143"/>
        <v>6.25</v>
      </c>
      <c r="N232" s="114">
        <f t="shared" si="130"/>
        <v>4</v>
      </c>
      <c r="O232" s="74">
        <f t="shared" si="131"/>
        <v>7.25</v>
      </c>
      <c r="P232" s="74">
        <f t="shared" si="132"/>
        <v>10.5</v>
      </c>
      <c r="Q232" s="74">
        <f t="shared" si="133"/>
        <v>13.75</v>
      </c>
      <c r="R232" s="114">
        <v>17</v>
      </c>
      <c r="S232" s="129"/>
      <c r="T232" s="117">
        <f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15.858175824175824</v>
      </c>
      <c r="U232" s="117">
        <f>Lefty!T232</f>
        <v>15.924695604395605</v>
      </c>
    </row>
    <row r="233" spans="2:21">
      <c r="B233" s="114">
        <v>38</v>
      </c>
      <c r="C233" s="74">
        <f t="shared" si="134"/>
        <v>34.75</v>
      </c>
      <c r="D233" s="74">
        <f t="shared" si="135"/>
        <v>31.5</v>
      </c>
      <c r="E233" s="74">
        <f t="shared" si="136"/>
        <v>28.25</v>
      </c>
      <c r="F233" s="114">
        <v>25</v>
      </c>
      <c r="G233" s="74">
        <f t="shared" si="137"/>
        <v>21.75</v>
      </c>
      <c r="H233" s="74">
        <f t="shared" si="138"/>
        <v>18.5</v>
      </c>
      <c r="I233" s="74">
        <f t="shared" si="139"/>
        <v>15.25</v>
      </c>
      <c r="J233" s="114">
        <f t="shared" si="140"/>
        <v>12</v>
      </c>
      <c r="K233" s="74">
        <f t="shared" si="141"/>
        <v>9.5625</v>
      </c>
      <c r="L233" s="74">
        <f t="shared" si="142"/>
        <v>7.125</v>
      </c>
      <c r="M233" s="74">
        <f t="shared" si="143"/>
        <v>4.6875</v>
      </c>
      <c r="N233" s="114">
        <f t="shared" si="130"/>
        <v>2.25</v>
      </c>
      <c r="O233" s="74">
        <f t="shared" si="131"/>
        <v>5.9375</v>
      </c>
      <c r="P233" s="74">
        <f t="shared" si="132"/>
        <v>9.625</v>
      </c>
      <c r="Q233" s="74">
        <f t="shared" si="133"/>
        <v>13.3125</v>
      </c>
      <c r="R233" s="114">
        <v>17</v>
      </c>
      <c r="S233" s="129"/>
      <c r="T233" s="126">
        <f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15.99379010989011</v>
      </c>
      <c r="U233" s="126">
        <f>Lefty!T233</f>
        <v>15.72528131868132</v>
      </c>
    </row>
    <row r="234" spans="2:21">
      <c r="B234" s="114"/>
      <c r="C234" s="74"/>
      <c r="D234" s="74"/>
      <c r="E234" s="74"/>
      <c r="F234" s="114"/>
      <c r="G234" s="74"/>
      <c r="H234" s="74"/>
      <c r="I234" s="74"/>
      <c r="J234" s="114"/>
      <c r="K234" s="74"/>
      <c r="L234" s="74"/>
      <c r="M234" s="74"/>
      <c r="N234" s="114"/>
      <c r="O234" s="74"/>
      <c r="P234" s="74"/>
      <c r="Q234" s="74"/>
      <c r="R234" s="114"/>
      <c r="S234" s="129"/>
    </row>
    <row r="235" spans="2:21">
      <c r="B235" s="114">
        <v>29</v>
      </c>
      <c r="C235" s="74">
        <f t="shared" si="134"/>
        <v>28.25</v>
      </c>
      <c r="D235" s="74">
        <f t="shared" si="135"/>
        <v>27.5</v>
      </c>
      <c r="E235" s="74">
        <f t="shared" si="136"/>
        <v>26.75</v>
      </c>
      <c r="F235" s="114">
        <v>26</v>
      </c>
      <c r="G235" s="74">
        <f t="shared" si="137"/>
        <v>25.25</v>
      </c>
      <c r="H235" s="74">
        <f t="shared" si="138"/>
        <v>24.5</v>
      </c>
      <c r="I235" s="74">
        <f t="shared" si="139"/>
        <v>23.75</v>
      </c>
      <c r="J235" s="114">
        <f t="shared" si="140"/>
        <v>23</v>
      </c>
      <c r="K235" s="74">
        <f t="shared" si="141"/>
        <v>22.25</v>
      </c>
      <c r="L235" s="74">
        <f t="shared" si="142"/>
        <v>21.5</v>
      </c>
      <c r="M235" s="74">
        <f t="shared" si="143"/>
        <v>20.75</v>
      </c>
      <c r="N235" s="114">
        <f>SUM(J235,J235,-F235)</f>
        <v>20</v>
      </c>
      <c r="O235" s="74">
        <f t="shared" ref="O235:O245" si="144">SUM(0.25*(R235-N235),N235)</f>
        <v>19.25</v>
      </c>
      <c r="P235" s="74">
        <f t="shared" ref="P235:P245" si="145">SUM(0.5*(R235-N235),N235)</f>
        <v>18.5</v>
      </c>
      <c r="Q235" s="74">
        <f t="shared" ref="Q235:Q245" si="146">SUM(0.75*(R235-N235),N235)</f>
        <v>17.75</v>
      </c>
      <c r="R235" s="114">
        <v>17</v>
      </c>
      <c r="S235" s="129"/>
      <c r="T235" s="117">
        <f>SUM((AX20+BA18+BD16+BG14+BJ12+BM10+BP8+BS6+BV4)*-0.132,(AY19+AZ19+BB17+BC17+BE15+BF15+BH13+BI13+BK11+BL11+BN9+BO9+BQ7+BR7+BT5+BU5)*-0.132/2,17)</f>
        <v>15.424461538461539</v>
      </c>
      <c r="U235" s="117">
        <f>Lefty!T235</f>
        <v>16.793538461538464</v>
      </c>
    </row>
    <row r="236" spans="2:21">
      <c r="B236" s="114">
        <v>30</v>
      </c>
      <c r="C236" s="74">
        <f t="shared" si="134"/>
        <v>29</v>
      </c>
      <c r="D236" s="74">
        <f t="shared" si="135"/>
        <v>28</v>
      </c>
      <c r="E236" s="74">
        <f t="shared" si="136"/>
        <v>27</v>
      </c>
      <c r="F236" s="114">
        <v>26</v>
      </c>
      <c r="G236" s="74">
        <f t="shared" si="137"/>
        <v>25</v>
      </c>
      <c r="H236" s="74">
        <f t="shared" si="138"/>
        <v>24</v>
      </c>
      <c r="I236" s="74">
        <f t="shared" si="139"/>
        <v>23</v>
      </c>
      <c r="J236" s="114">
        <f t="shared" si="140"/>
        <v>22</v>
      </c>
      <c r="K236" s="74">
        <f t="shared" si="141"/>
        <v>21.25</v>
      </c>
      <c r="L236" s="74">
        <f t="shared" si="142"/>
        <v>20.5</v>
      </c>
      <c r="M236" s="74">
        <f t="shared" si="143"/>
        <v>19.75</v>
      </c>
      <c r="N236" s="114">
        <f t="shared" ref="N236:N264" si="147">SUM(F236,-B236,J236,0.25*ABS(J236-F236))</f>
        <v>19</v>
      </c>
      <c r="O236" s="74">
        <f t="shared" si="144"/>
        <v>18.5</v>
      </c>
      <c r="P236" s="74">
        <f t="shared" si="145"/>
        <v>18</v>
      </c>
      <c r="Q236" s="74">
        <f t="shared" si="146"/>
        <v>17.5</v>
      </c>
      <c r="R236" s="114">
        <v>17</v>
      </c>
      <c r="S236" s="129"/>
      <c r="T236" s="117">
        <f>SUM(AV20*-0.132,(AW19+AX19+AY18+AZ18+BA17+BB17+BC16+BD16+BE15+BF15+BG14+BH14+BI13+BJ13+BK12+BL12+BM11+BN11+BP9+BQ9)*-0.132/2,(BO10+BR8+BS7+BT6+BU5+BV4)*-0.132,17)</f>
        <v>15.160461538461538</v>
      </c>
      <c r="U236" s="117">
        <f>Lefty!T236</f>
        <v>16.925538461538462</v>
      </c>
    </row>
    <row r="237" spans="2:21">
      <c r="B237" s="114">
        <v>31</v>
      </c>
      <c r="C237" s="74">
        <f t="shared" si="134"/>
        <v>29.75</v>
      </c>
      <c r="D237" s="74">
        <f t="shared" si="135"/>
        <v>28.5</v>
      </c>
      <c r="E237" s="74">
        <f t="shared" si="136"/>
        <v>27.25</v>
      </c>
      <c r="F237" s="114">
        <v>26</v>
      </c>
      <c r="G237" s="74">
        <f t="shared" si="137"/>
        <v>24.75</v>
      </c>
      <c r="H237" s="74">
        <f t="shared" si="138"/>
        <v>23.5</v>
      </c>
      <c r="I237" s="74">
        <f t="shared" si="139"/>
        <v>22.25</v>
      </c>
      <c r="J237" s="114">
        <f t="shared" si="140"/>
        <v>21</v>
      </c>
      <c r="K237" s="74">
        <f t="shared" si="141"/>
        <v>20.0625</v>
      </c>
      <c r="L237" s="74">
        <f t="shared" si="142"/>
        <v>19.125</v>
      </c>
      <c r="M237" s="74">
        <f t="shared" si="143"/>
        <v>18.1875</v>
      </c>
      <c r="N237" s="114">
        <f t="shared" si="147"/>
        <v>17.25</v>
      </c>
      <c r="O237" s="74">
        <f t="shared" si="144"/>
        <v>17.1875</v>
      </c>
      <c r="P237" s="74">
        <f t="shared" si="145"/>
        <v>17.125</v>
      </c>
      <c r="Q237" s="74">
        <f t="shared" si="146"/>
        <v>17.0625</v>
      </c>
      <c r="R237" s="114">
        <v>17</v>
      </c>
      <c r="S237" s="129"/>
      <c r="T237" s="117">
        <f>SUM((AT20+AU20+AV19+AW19+BA17+BB17+BC16+BD16+BH14+BI14+BM12+BN12+BO11+BP11+BQ10+BR10+BS9+BT9+BU8+BV8)*-0.132/2,(AX18+AY18+AZ18+BE15+BF15+BG15+BJ13+BK13+BL13)*-0.132/3,(BV7+BV6+BV5+BV4)*-0.132,17)</f>
        <v>15.028461538461539</v>
      </c>
      <c r="U237" s="117">
        <f>Lefty!T237</f>
        <v>16.617538461538462</v>
      </c>
    </row>
    <row r="238" spans="2:21">
      <c r="B238" s="114">
        <v>32</v>
      </c>
      <c r="C238" s="74">
        <f t="shared" si="134"/>
        <v>30.5</v>
      </c>
      <c r="D238" s="74">
        <f t="shared" si="135"/>
        <v>29</v>
      </c>
      <c r="E238" s="74">
        <f t="shared" si="136"/>
        <v>27.5</v>
      </c>
      <c r="F238" s="114">
        <v>26</v>
      </c>
      <c r="G238" s="74">
        <f t="shared" si="137"/>
        <v>24.5</v>
      </c>
      <c r="H238" s="74">
        <f t="shared" si="138"/>
        <v>23</v>
      </c>
      <c r="I238" s="74">
        <f t="shared" si="139"/>
        <v>21.5</v>
      </c>
      <c r="J238" s="114">
        <f t="shared" si="140"/>
        <v>20</v>
      </c>
      <c r="K238" s="74">
        <f t="shared" si="141"/>
        <v>18.875</v>
      </c>
      <c r="L238" s="74">
        <f t="shared" si="142"/>
        <v>17.75</v>
      </c>
      <c r="M238" s="74">
        <f t="shared" si="143"/>
        <v>16.625</v>
      </c>
      <c r="N238" s="114">
        <f t="shared" si="147"/>
        <v>15.5</v>
      </c>
      <c r="O238" s="74">
        <f t="shared" si="144"/>
        <v>15.875</v>
      </c>
      <c r="P238" s="74">
        <f t="shared" si="145"/>
        <v>16.25</v>
      </c>
      <c r="Q238" s="74">
        <f t="shared" si="146"/>
        <v>16.625</v>
      </c>
      <c r="R238" s="114">
        <v>17</v>
      </c>
      <c r="S238" s="129"/>
      <c r="T238" s="117">
        <f>SUM((AR20+AS20+AW18+AX18)*-0.132/2,(AT19+AU19+AV19+AY17+AZ17+BA17+BB16+BC16+BD16+BE15+BF15+BG15+BH14+BI14+BJ14+BK13+BL13+BM13+BN12+BO12+BP12+BQ11+BR11+BS11+BV9+BW9+BX9)*-0.132/3,(BT10+BU10+BY8+BZ8)*-0.132/2,(BY7+BX6+BW5+BV4)*-0.132,17)</f>
        <v>15.402461538461539</v>
      </c>
      <c r="U238" s="117">
        <f>Lefty!T238</f>
        <v>16.573538461538462</v>
      </c>
    </row>
    <row r="239" spans="2:21">
      <c r="B239" s="114">
        <v>33</v>
      </c>
      <c r="C239" s="74">
        <f t="shared" si="134"/>
        <v>31.25</v>
      </c>
      <c r="D239" s="74">
        <f t="shared" si="135"/>
        <v>29.5</v>
      </c>
      <c r="E239" s="74">
        <f t="shared" si="136"/>
        <v>27.75</v>
      </c>
      <c r="F239" s="114">
        <v>26</v>
      </c>
      <c r="G239" s="74">
        <f t="shared" si="137"/>
        <v>24.25</v>
      </c>
      <c r="H239" s="74">
        <f t="shared" si="138"/>
        <v>22.5</v>
      </c>
      <c r="I239" s="74">
        <f t="shared" si="139"/>
        <v>20.75</v>
      </c>
      <c r="J239" s="114">
        <f t="shared" si="140"/>
        <v>19</v>
      </c>
      <c r="K239" s="74">
        <f t="shared" si="141"/>
        <v>17.6875</v>
      </c>
      <c r="L239" s="74">
        <f t="shared" si="142"/>
        <v>16.375</v>
      </c>
      <c r="M239" s="74">
        <f t="shared" si="143"/>
        <v>15.0625</v>
      </c>
      <c r="N239" s="114">
        <f t="shared" si="147"/>
        <v>13.75</v>
      </c>
      <c r="O239" s="74">
        <f t="shared" si="144"/>
        <v>14.5625</v>
      </c>
      <c r="P239" s="74">
        <f t="shared" si="145"/>
        <v>15.375</v>
      </c>
      <c r="Q239" s="74">
        <f t="shared" si="146"/>
        <v>16.1875</v>
      </c>
      <c r="R239" s="114">
        <v>17</v>
      </c>
      <c r="S239" s="129"/>
      <c r="T239" s="117">
        <f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15.292461538461538</v>
      </c>
      <c r="U239" s="117">
        <f>Lefty!T239</f>
        <v>16.419538461538462</v>
      </c>
    </row>
    <row r="240" spans="2:21">
      <c r="B240" s="114">
        <v>34</v>
      </c>
      <c r="C240" s="74">
        <f t="shared" si="134"/>
        <v>32</v>
      </c>
      <c r="D240" s="74">
        <f t="shared" si="135"/>
        <v>30</v>
      </c>
      <c r="E240" s="74">
        <f t="shared" si="136"/>
        <v>28</v>
      </c>
      <c r="F240" s="114">
        <v>26</v>
      </c>
      <c r="G240" s="74">
        <f t="shared" si="137"/>
        <v>24</v>
      </c>
      <c r="H240" s="74">
        <f t="shared" si="138"/>
        <v>22</v>
      </c>
      <c r="I240" s="74">
        <f t="shared" si="139"/>
        <v>20</v>
      </c>
      <c r="J240" s="114">
        <f t="shared" si="140"/>
        <v>18</v>
      </c>
      <c r="K240" s="74">
        <f t="shared" si="141"/>
        <v>16.5</v>
      </c>
      <c r="L240" s="74">
        <f t="shared" si="142"/>
        <v>15</v>
      </c>
      <c r="M240" s="74">
        <f t="shared" si="143"/>
        <v>13.5</v>
      </c>
      <c r="N240" s="114">
        <f t="shared" si="147"/>
        <v>12</v>
      </c>
      <c r="O240" s="74">
        <f t="shared" si="144"/>
        <v>13.25</v>
      </c>
      <c r="P240" s="74">
        <f t="shared" si="145"/>
        <v>14.5</v>
      </c>
      <c r="Q240" s="74">
        <f t="shared" si="146"/>
        <v>15.75</v>
      </c>
      <c r="R240" s="114">
        <v>17</v>
      </c>
      <c r="S240" s="129"/>
      <c r="T240" s="117">
        <f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15.644461538461538</v>
      </c>
      <c r="U240" s="117">
        <f>Lefty!T240</f>
        <v>16.298538461538463</v>
      </c>
    </row>
    <row r="241" spans="2:21">
      <c r="B241" s="114">
        <v>35</v>
      </c>
      <c r="C241" s="74">
        <f t="shared" si="134"/>
        <v>32.75</v>
      </c>
      <c r="D241" s="74">
        <f t="shared" si="135"/>
        <v>30.5</v>
      </c>
      <c r="E241" s="74">
        <f t="shared" si="136"/>
        <v>28.25</v>
      </c>
      <c r="F241" s="114">
        <v>26</v>
      </c>
      <c r="G241" s="74">
        <f t="shared" si="137"/>
        <v>23.75</v>
      </c>
      <c r="H241" s="74">
        <f t="shared" si="138"/>
        <v>21.5</v>
      </c>
      <c r="I241" s="74">
        <f t="shared" si="139"/>
        <v>19.25</v>
      </c>
      <c r="J241" s="114">
        <f t="shared" si="140"/>
        <v>17</v>
      </c>
      <c r="K241" s="74">
        <f t="shared" si="141"/>
        <v>15.3125</v>
      </c>
      <c r="L241" s="74">
        <f t="shared" si="142"/>
        <v>13.625</v>
      </c>
      <c r="M241" s="74">
        <f t="shared" si="143"/>
        <v>11.9375</v>
      </c>
      <c r="N241" s="114">
        <f t="shared" si="147"/>
        <v>10.25</v>
      </c>
      <c r="O241" s="74">
        <f t="shared" si="144"/>
        <v>11.9375</v>
      </c>
      <c r="P241" s="74">
        <f t="shared" si="145"/>
        <v>13.625</v>
      </c>
      <c r="Q241" s="74">
        <f t="shared" si="146"/>
        <v>15.3125</v>
      </c>
      <c r="R241" s="114">
        <v>17</v>
      </c>
      <c r="S241" s="129"/>
      <c r="T241" s="117">
        <f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15.849061538461537</v>
      </c>
      <c r="U241" s="117">
        <f>Lefty!T241</f>
        <v>16.184138461538463</v>
      </c>
    </row>
    <row r="242" spans="2:21">
      <c r="B242" s="114">
        <v>36</v>
      </c>
      <c r="C242" s="74">
        <f t="shared" si="134"/>
        <v>33.5</v>
      </c>
      <c r="D242" s="74">
        <f t="shared" si="135"/>
        <v>31</v>
      </c>
      <c r="E242" s="74">
        <f t="shared" si="136"/>
        <v>28.5</v>
      </c>
      <c r="F242" s="114">
        <v>26</v>
      </c>
      <c r="G242" s="74">
        <f t="shared" si="137"/>
        <v>23.5</v>
      </c>
      <c r="H242" s="74">
        <f t="shared" si="138"/>
        <v>21</v>
      </c>
      <c r="I242" s="74">
        <f t="shared" si="139"/>
        <v>18.5</v>
      </c>
      <c r="J242" s="114">
        <f t="shared" si="140"/>
        <v>16</v>
      </c>
      <c r="K242" s="74">
        <f t="shared" si="141"/>
        <v>14.125</v>
      </c>
      <c r="L242" s="74">
        <f t="shared" si="142"/>
        <v>12.25</v>
      </c>
      <c r="M242" s="74">
        <f t="shared" si="143"/>
        <v>10.375</v>
      </c>
      <c r="N242" s="114">
        <f t="shared" si="147"/>
        <v>8.5</v>
      </c>
      <c r="O242" s="74">
        <f t="shared" si="144"/>
        <v>10.625</v>
      </c>
      <c r="P242" s="74">
        <f t="shared" si="145"/>
        <v>12.75</v>
      </c>
      <c r="Q242" s="74">
        <f t="shared" si="146"/>
        <v>14.875</v>
      </c>
      <c r="R242" s="114">
        <v>17</v>
      </c>
      <c r="S242" s="129"/>
      <c r="T242" s="117">
        <f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15.840261538461538</v>
      </c>
      <c r="U242" s="117">
        <f>Lefty!T242</f>
        <v>15.915738461538462</v>
      </c>
    </row>
    <row r="243" spans="2:21">
      <c r="B243" s="114">
        <v>37</v>
      </c>
      <c r="C243" s="74">
        <f t="shared" si="134"/>
        <v>34.25</v>
      </c>
      <c r="D243" s="74">
        <f t="shared" si="135"/>
        <v>31.5</v>
      </c>
      <c r="E243" s="74">
        <f t="shared" si="136"/>
        <v>28.75</v>
      </c>
      <c r="F243" s="114">
        <v>26</v>
      </c>
      <c r="G243" s="74">
        <f t="shared" si="137"/>
        <v>23.25</v>
      </c>
      <c r="H243" s="74">
        <f t="shared" si="138"/>
        <v>20.5</v>
      </c>
      <c r="I243" s="74">
        <f t="shared" si="139"/>
        <v>17.75</v>
      </c>
      <c r="J243" s="114">
        <f t="shared" si="140"/>
        <v>15</v>
      </c>
      <c r="K243" s="74">
        <f t="shared" si="141"/>
        <v>12.9375</v>
      </c>
      <c r="L243" s="74">
        <f t="shared" si="142"/>
        <v>10.875</v>
      </c>
      <c r="M243" s="74">
        <f t="shared" si="143"/>
        <v>8.8125</v>
      </c>
      <c r="N243" s="114">
        <f t="shared" si="147"/>
        <v>6.75</v>
      </c>
      <c r="O243" s="74">
        <f t="shared" si="144"/>
        <v>9.3125</v>
      </c>
      <c r="P243" s="74">
        <f t="shared" si="145"/>
        <v>11.875</v>
      </c>
      <c r="Q243" s="74">
        <f t="shared" si="146"/>
        <v>14.4375</v>
      </c>
      <c r="R243" s="114">
        <v>17</v>
      </c>
      <c r="S243" s="129"/>
      <c r="T243" s="117">
        <f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16.093261538461537</v>
      </c>
      <c r="U243" s="117">
        <f>Lefty!T243</f>
        <v>15.805738461538462</v>
      </c>
    </row>
    <row r="244" spans="2:21">
      <c r="B244" s="114">
        <v>38</v>
      </c>
      <c r="C244" s="74">
        <f t="shared" si="134"/>
        <v>35</v>
      </c>
      <c r="D244" s="74">
        <f t="shared" si="135"/>
        <v>32</v>
      </c>
      <c r="E244" s="74">
        <f t="shared" si="136"/>
        <v>29</v>
      </c>
      <c r="F244" s="114">
        <v>26</v>
      </c>
      <c r="G244" s="74">
        <f t="shared" si="137"/>
        <v>23</v>
      </c>
      <c r="H244" s="74">
        <f t="shared" si="138"/>
        <v>20</v>
      </c>
      <c r="I244" s="74">
        <f t="shared" si="139"/>
        <v>17</v>
      </c>
      <c r="J244" s="114">
        <f t="shared" si="140"/>
        <v>14</v>
      </c>
      <c r="K244" s="74">
        <f t="shared" si="141"/>
        <v>11.75</v>
      </c>
      <c r="L244" s="74">
        <f t="shared" si="142"/>
        <v>9.5</v>
      </c>
      <c r="M244" s="74">
        <f t="shared" si="143"/>
        <v>7.25</v>
      </c>
      <c r="N244" s="114">
        <f t="shared" si="147"/>
        <v>5</v>
      </c>
      <c r="O244" s="74">
        <f t="shared" si="144"/>
        <v>8</v>
      </c>
      <c r="P244" s="74">
        <f t="shared" si="145"/>
        <v>11</v>
      </c>
      <c r="Q244" s="74">
        <f t="shared" si="146"/>
        <v>14</v>
      </c>
      <c r="R244" s="114">
        <v>17</v>
      </c>
      <c r="S244" s="129"/>
      <c r="T244" s="117">
        <f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16.064975824175825</v>
      </c>
      <c r="U244" s="117">
        <f>Lefty!T244</f>
        <v>15.67908131868132</v>
      </c>
    </row>
    <row r="245" spans="2:21">
      <c r="B245" s="114">
        <v>39</v>
      </c>
      <c r="C245" s="74">
        <f t="shared" si="134"/>
        <v>35.75</v>
      </c>
      <c r="D245" s="74">
        <f t="shared" si="135"/>
        <v>32.5</v>
      </c>
      <c r="E245" s="74">
        <f t="shared" si="136"/>
        <v>29.25</v>
      </c>
      <c r="F245" s="114">
        <v>26</v>
      </c>
      <c r="G245" s="74">
        <f t="shared" si="137"/>
        <v>22.75</v>
      </c>
      <c r="H245" s="74">
        <f t="shared" si="138"/>
        <v>19.5</v>
      </c>
      <c r="I245" s="74">
        <f t="shared" si="139"/>
        <v>16.25</v>
      </c>
      <c r="J245" s="114">
        <f t="shared" si="140"/>
        <v>13</v>
      </c>
      <c r="K245" s="74">
        <f t="shared" si="141"/>
        <v>10.5625</v>
      </c>
      <c r="L245" s="74">
        <f t="shared" si="142"/>
        <v>8.125</v>
      </c>
      <c r="M245" s="74">
        <f t="shared" si="143"/>
        <v>5.6875</v>
      </c>
      <c r="N245" s="114">
        <f t="shared" si="147"/>
        <v>3.25</v>
      </c>
      <c r="O245" s="74">
        <f t="shared" si="144"/>
        <v>6.6875</v>
      </c>
      <c r="P245" s="74">
        <f t="shared" si="145"/>
        <v>10.125</v>
      </c>
      <c r="Q245" s="74">
        <f t="shared" si="146"/>
        <v>13.5625</v>
      </c>
      <c r="R245" s="114">
        <v>17</v>
      </c>
      <c r="S245" s="129"/>
      <c r="T245" s="117">
        <f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16.146847252747254</v>
      </c>
      <c r="U245" s="117">
        <f>Lefty!T245</f>
        <v>15.625024175824176</v>
      </c>
    </row>
    <row r="246" spans="2:21">
      <c r="B246" s="114"/>
      <c r="C246" s="74"/>
      <c r="D246" s="74"/>
      <c r="E246" s="74"/>
      <c r="F246" s="114"/>
      <c r="G246" s="74"/>
      <c r="H246" s="74"/>
      <c r="I246" s="74"/>
      <c r="J246" s="114"/>
      <c r="K246" s="74"/>
      <c r="L246" s="74"/>
      <c r="M246" s="74"/>
      <c r="N246" s="114"/>
      <c r="O246" s="74"/>
      <c r="P246" s="74"/>
      <c r="Q246" s="74"/>
      <c r="R246" s="114"/>
      <c r="S246" s="129"/>
    </row>
    <row r="247" spans="2:21">
      <c r="B247" s="114">
        <v>31</v>
      </c>
      <c r="C247" s="74">
        <f t="shared" si="134"/>
        <v>30</v>
      </c>
      <c r="D247" s="74">
        <f t="shared" si="135"/>
        <v>29</v>
      </c>
      <c r="E247" s="74">
        <f t="shared" si="136"/>
        <v>28</v>
      </c>
      <c r="F247" s="114">
        <v>27</v>
      </c>
      <c r="G247" s="74">
        <f t="shared" si="137"/>
        <v>26</v>
      </c>
      <c r="H247" s="74">
        <f t="shared" si="138"/>
        <v>25</v>
      </c>
      <c r="I247" s="74">
        <f t="shared" si="139"/>
        <v>24</v>
      </c>
      <c r="J247" s="114">
        <f t="shared" si="140"/>
        <v>23</v>
      </c>
      <c r="K247" s="74">
        <f t="shared" si="141"/>
        <v>22.25</v>
      </c>
      <c r="L247" s="74">
        <f t="shared" si="142"/>
        <v>21.5</v>
      </c>
      <c r="M247" s="74">
        <f t="shared" si="143"/>
        <v>20.75</v>
      </c>
      <c r="N247" s="114">
        <f t="shared" si="147"/>
        <v>20</v>
      </c>
      <c r="O247" s="74">
        <f t="shared" ref="O247:O255" si="148">SUM(0.25*(R247-N247),N247)</f>
        <v>19.25</v>
      </c>
      <c r="P247" s="74">
        <f t="shared" ref="P247:P255" si="149">SUM(0.5*(R247-N247),N247)</f>
        <v>18.5</v>
      </c>
      <c r="Q247" s="74">
        <f t="shared" ref="Q247:Q255" si="150">SUM(0.75*(R247-N247),N247)</f>
        <v>17.75</v>
      </c>
      <c r="R247" s="114">
        <v>17</v>
      </c>
      <c r="S247" s="129"/>
      <c r="T247" s="117">
        <f>SUM((AU19+AV19+AW18+AX18+AY17+AZ17+BA16+BB16+BC15+BD15+BE14+BF14+BG13+BH13+BI12+BJ12+BK11+BL11+BN9+BO9+BS5+BT5+BU4+BV4)*-0.132/2,(AT20+BM10+BP8+BQ7+BR6)*-0.132,17)</f>
        <v>15.160461538461538</v>
      </c>
      <c r="U247" s="117">
        <f>Lefty!T247</f>
        <v>16.595538461538464</v>
      </c>
    </row>
    <row r="248" spans="2:21">
      <c r="B248" s="114">
        <v>32</v>
      </c>
      <c r="C248" s="74">
        <f t="shared" si="134"/>
        <v>30.75</v>
      </c>
      <c r="D248" s="74">
        <f t="shared" si="135"/>
        <v>29.5</v>
      </c>
      <c r="E248" s="74">
        <f t="shared" si="136"/>
        <v>28.25</v>
      </c>
      <c r="F248" s="114">
        <v>27</v>
      </c>
      <c r="G248" s="74">
        <f t="shared" si="137"/>
        <v>25.75</v>
      </c>
      <c r="H248" s="74">
        <f t="shared" si="138"/>
        <v>24.5</v>
      </c>
      <c r="I248" s="74">
        <f t="shared" si="139"/>
        <v>23.25</v>
      </c>
      <c r="J248" s="114">
        <f t="shared" si="140"/>
        <v>22</v>
      </c>
      <c r="K248" s="74">
        <f t="shared" si="141"/>
        <v>21.0625</v>
      </c>
      <c r="L248" s="74">
        <f t="shared" si="142"/>
        <v>20.125</v>
      </c>
      <c r="M248" s="74">
        <f t="shared" si="143"/>
        <v>19.1875</v>
      </c>
      <c r="N248" s="114">
        <f t="shared" si="147"/>
        <v>18.25</v>
      </c>
      <c r="O248" s="74">
        <f t="shared" si="148"/>
        <v>17.9375</v>
      </c>
      <c r="P248" s="74">
        <f t="shared" si="149"/>
        <v>17.625</v>
      </c>
      <c r="Q248" s="74">
        <f t="shared" si="150"/>
        <v>17.3125</v>
      </c>
      <c r="R248" s="114">
        <v>17</v>
      </c>
      <c r="S248" s="129"/>
      <c r="T248" s="117">
        <f>SUM((AR20+AS20+AT19+AU19+AY17+AZ17+BA16+BB16+BF14+BG14+BK12+BL12+BM11+BN11+BO10+BP10+BQ9+BR9+BS8+BT8)*-0.132/2,(AV18+AW18+AX18+BC15+BD15+BE15+BH13+BI13+BJ13)*-0.132/3,(+BU7+BU6+BV5+BV4)*-0.132,17)</f>
        <v>15.600461538461538</v>
      </c>
      <c r="U248" s="117">
        <f>Lefty!T248</f>
        <v>16.551538461538463</v>
      </c>
    </row>
    <row r="249" spans="2:21">
      <c r="B249" s="114">
        <v>33</v>
      </c>
      <c r="C249" s="74">
        <f t="shared" si="134"/>
        <v>31.5</v>
      </c>
      <c r="D249" s="74">
        <f t="shared" si="135"/>
        <v>30</v>
      </c>
      <c r="E249" s="74">
        <f t="shared" si="136"/>
        <v>28.5</v>
      </c>
      <c r="F249" s="114">
        <v>27</v>
      </c>
      <c r="G249" s="74">
        <f t="shared" si="137"/>
        <v>25.5</v>
      </c>
      <c r="H249" s="74">
        <f t="shared" si="138"/>
        <v>24</v>
      </c>
      <c r="I249" s="74">
        <f t="shared" si="139"/>
        <v>22.5</v>
      </c>
      <c r="J249" s="114">
        <f t="shared" si="140"/>
        <v>21</v>
      </c>
      <c r="K249" s="74">
        <f t="shared" si="141"/>
        <v>19.875</v>
      </c>
      <c r="L249" s="74">
        <f t="shared" si="142"/>
        <v>18.75</v>
      </c>
      <c r="M249" s="74">
        <f t="shared" si="143"/>
        <v>17.625</v>
      </c>
      <c r="N249" s="114">
        <f t="shared" si="147"/>
        <v>16.5</v>
      </c>
      <c r="O249" s="74">
        <f t="shared" si="148"/>
        <v>16.625</v>
      </c>
      <c r="P249" s="74">
        <f t="shared" si="149"/>
        <v>16.75</v>
      </c>
      <c r="Q249" s="74">
        <f t="shared" si="150"/>
        <v>16.875</v>
      </c>
      <c r="R249" s="114">
        <v>17</v>
      </c>
      <c r="S249" s="129"/>
      <c r="T249" s="117">
        <f>SUM((AP20+AQ20+AU18+AV18)*-0.132/2,(AR19+AS19+AT19+AW17+AX17+AY17+AZ16+BA16+BB16+BC15+BD15+BE15+BF14+BG14+BH14+BI13+BJ13+BK13+BL12+BM12+BN12+BO11+BP11+BQ11+BT9+BU9+BV9)*-0.132/3,(BR10+BS10+BW8+BX8)*-0.132/2,(+BW7+BW6+BV5+BV4)*-0.132,17)</f>
        <v>15.182461538461538</v>
      </c>
      <c r="U249" s="117">
        <f>Lefty!T249</f>
        <v>16.221538461538461</v>
      </c>
    </row>
    <row r="250" spans="2:21">
      <c r="B250" s="114">
        <v>34</v>
      </c>
      <c r="C250" s="74">
        <f t="shared" si="134"/>
        <v>32.25</v>
      </c>
      <c r="D250" s="74">
        <f t="shared" si="135"/>
        <v>30.5</v>
      </c>
      <c r="E250" s="74">
        <f t="shared" si="136"/>
        <v>28.75</v>
      </c>
      <c r="F250" s="114">
        <v>27</v>
      </c>
      <c r="G250" s="74">
        <f t="shared" si="137"/>
        <v>25.25</v>
      </c>
      <c r="H250" s="74">
        <f t="shared" si="138"/>
        <v>23.5</v>
      </c>
      <c r="I250" s="74">
        <f t="shared" si="139"/>
        <v>21.75</v>
      </c>
      <c r="J250" s="114">
        <f t="shared" si="140"/>
        <v>20</v>
      </c>
      <c r="K250" s="74">
        <f t="shared" si="141"/>
        <v>18.6875</v>
      </c>
      <c r="L250" s="74">
        <f t="shared" si="142"/>
        <v>17.375</v>
      </c>
      <c r="M250" s="74">
        <f t="shared" si="143"/>
        <v>16.0625</v>
      </c>
      <c r="N250" s="114">
        <f t="shared" si="147"/>
        <v>14.75</v>
      </c>
      <c r="O250" s="74">
        <f t="shared" si="148"/>
        <v>15.3125</v>
      </c>
      <c r="P250" s="74">
        <f t="shared" si="149"/>
        <v>15.875</v>
      </c>
      <c r="Q250" s="74">
        <f t="shared" si="150"/>
        <v>16.4375</v>
      </c>
      <c r="R250" s="114">
        <v>17</v>
      </c>
      <c r="S250" s="129"/>
      <c r="T250" s="117">
        <f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15.633461538461539</v>
      </c>
      <c r="U250" s="117">
        <f>Lefty!T250</f>
        <v>16.078538461538464</v>
      </c>
    </row>
    <row r="251" spans="2:21">
      <c r="B251" s="114">
        <v>35</v>
      </c>
      <c r="C251" s="74">
        <f t="shared" si="134"/>
        <v>33</v>
      </c>
      <c r="D251" s="74">
        <f t="shared" si="135"/>
        <v>31</v>
      </c>
      <c r="E251" s="74">
        <f t="shared" si="136"/>
        <v>29</v>
      </c>
      <c r="F251" s="114">
        <v>27</v>
      </c>
      <c r="G251" s="74">
        <f t="shared" si="137"/>
        <v>25</v>
      </c>
      <c r="H251" s="74">
        <f t="shared" si="138"/>
        <v>23</v>
      </c>
      <c r="I251" s="74">
        <f t="shared" si="139"/>
        <v>21</v>
      </c>
      <c r="J251" s="114">
        <f t="shared" si="140"/>
        <v>19</v>
      </c>
      <c r="K251" s="74">
        <f t="shared" si="141"/>
        <v>17.5</v>
      </c>
      <c r="L251" s="74">
        <f t="shared" si="142"/>
        <v>16</v>
      </c>
      <c r="M251" s="74">
        <f t="shared" si="143"/>
        <v>14.5</v>
      </c>
      <c r="N251" s="114">
        <f t="shared" si="147"/>
        <v>13</v>
      </c>
      <c r="O251" s="74">
        <f t="shared" si="148"/>
        <v>14</v>
      </c>
      <c r="P251" s="74">
        <f t="shared" si="149"/>
        <v>15</v>
      </c>
      <c r="Q251" s="74">
        <f t="shared" si="150"/>
        <v>16</v>
      </c>
      <c r="R251" s="114">
        <v>17</v>
      </c>
      <c r="S251" s="129"/>
      <c r="T251" s="117">
        <f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15.710461538461539</v>
      </c>
      <c r="U251" s="117">
        <f>Lefty!T251</f>
        <v>15.880538461538462</v>
      </c>
    </row>
    <row r="252" spans="2:21">
      <c r="B252" s="114">
        <v>36</v>
      </c>
      <c r="C252" s="74">
        <f t="shared" si="134"/>
        <v>33.75</v>
      </c>
      <c r="D252" s="74">
        <f t="shared" si="135"/>
        <v>31.5</v>
      </c>
      <c r="E252" s="74">
        <f t="shared" si="136"/>
        <v>29.25</v>
      </c>
      <c r="F252" s="114">
        <v>27</v>
      </c>
      <c r="G252" s="74">
        <f t="shared" si="137"/>
        <v>24.75</v>
      </c>
      <c r="H252" s="74">
        <f t="shared" si="138"/>
        <v>22.5</v>
      </c>
      <c r="I252" s="74">
        <f t="shared" si="139"/>
        <v>20.25</v>
      </c>
      <c r="J252" s="114">
        <f t="shared" si="140"/>
        <v>18</v>
      </c>
      <c r="K252" s="74">
        <f t="shared" si="141"/>
        <v>16.3125</v>
      </c>
      <c r="L252" s="74">
        <f t="shared" si="142"/>
        <v>14.625</v>
      </c>
      <c r="M252" s="74">
        <f t="shared" si="143"/>
        <v>12.9375</v>
      </c>
      <c r="N252" s="114">
        <f t="shared" si="147"/>
        <v>11.25</v>
      </c>
      <c r="O252" s="74">
        <f t="shared" si="148"/>
        <v>12.6875</v>
      </c>
      <c r="P252" s="74">
        <f t="shared" si="149"/>
        <v>14.125</v>
      </c>
      <c r="Q252" s="74">
        <f t="shared" si="150"/>
        <v>15.5625</v>
      </c>
      <c r="R252" s="114">
        <v>17</v>
      </c>
      <c r="S252" s="129"/>
      <c r="T252" s="117">
        <f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15.829261538461539</v>
      </c>
      <c r="U252" s="117">
        <f>Lefty!T252</f>
        <v>15.774938461538461</v>
      </c>
    </row>
    <row r="253" spans="2:21">
      <c r="B253" s="114">
        <v>37</v>
      </c>
      <c r="C253" s="74">
        <f t="shared" si="134"/>
        <v>34.5</v>
      </c>
      <c r="D253" s="74">
        <f t="shared" si="135"/>
        <v>32</v>
      </c>
      <c r="E253" s="74">
        <f t="shared" si="136"/>
        <v>29.5</v>
      </c>
      <c r="F253" s="114">
        <v>27</v>
      </c>
      <c r="G253" s="74">
        <f t="shared" si="137"/>
        <v>24.5</v>
      </c>
      <c r="H253" s="74">
        <f t="shared" si="138"/>
        <v>22</v>
      </c>
      <c r="I253" s="74">
        <f t="shared" si="139"/>
        <v>19.5</v>
      </c>
      <c r="J253" s="114">
        <f t="shared" si="140"/>
        <v>17</v>
      </c>
      <c r="K253" s="74">
        <f t="shared" si="141"/>
        <v>15.125</v>
      </c>
      <c r="L253" s="74">
        <f t="shared" si="142"/>
        <v>13.25</v>
      </c>
      <c r="M253" s="74">
        <f t="shared" si="143"/>
        <v>11.375</v>
      </c>
      <c r="N253" s="114">
        <f t="shared" si="147"/>
        <v>9.5</v>
      </c>
      <c r="O253" s="74">
        <f t="shared" si="148"/>
        <v>11.375</v>
      </c>
      <c r="P253" s="74">
        <f t="shared" si="149"/>
        <v>13.25</v>
      </c>
      <c r="Q253" s="74">
        <f t="shared" si="150"/>
        <v>15.125</v>
      </c>
      <c r="R253" s="114">
        <v>17</v>
      </c>
      <c r="S253" s="129"/>
      <c r="T253" s="117">
        <f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15.866661538461539</v>
      </c>
      <c r="U253" s="117">
        <f>Lefty!T253</f>
        <v>15.803538461538462</v>
      </c>
    </row>
    <row r="254" spans="2:21">
      <c r="B254" s="114">
        <v>38</v>
      </c>
      <c r="C254" s="74">
        <f t="shared" si="134"/>
        <v>35.25</v>
      </c>
      <c r="D254" s="74">
        <f t="shared" si="135"/>
        <v>32.5</v>
      </c>
      <c r="E254" s="74">
        <f t="shared" si="136"/>
        <v>29.75</v>
      </c>
      <c r="F254" s="114">
        <v>27</v>
      </c>
      <c r="G254" s="74">
        <f t="shared" si="137"/>
        <v>24.25</v>
      </c>
      <c r="H254" s="74">
        <f t="shared" si="138"/>
        <v>21.5</v>
      </c>
      <c r="I254" s="74">
        <f t="shared" si="139"/>
        <v>18.75</v>
      </c>
      <c r="J254" s="114">
        <f t="shared" si="140"/>
        <v>16</v>
      </c>
      <c r="K254" s="74">
        <f t="shared" si="141"/>
        <v>13.9375</v>
      </c>
      <c r="L254" s="74">
        <f t="shared" si="142"/>
        <v>11.875</v>
      </c>
      <c r="M254" s="74">
        <f t="shared" si="143"/>
        <v>9.8125</v>
      </c>
      <c r="N254" s="114">
        <f t="shared" si="147"/>
        <v>7.75</v>
      </c>
      <c r="O254" s="74">
        <f t="shared" si="148"/>
        <v>10.0625</v>
      </c>
      <c r="P254" s="74">
        <f t="shared" si="149"/>
        <v>12.375</v>
      </c>
      <c r="Q254" s="74">
        <f t="shared" si="150"/>
        <v>14.6875</v>
      </c>
      <c r="R254" s="114">
        <v>17</v>
      </c>
      <c r="S254" s="129"/>
      <c r="T254" s="117">
        <f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16.139461538461539</v>
      </c>
      <c r="U254" s="117">
        <f>Lefty!T254</f>
        <v>15.759538461538462</v>
      </c>
    </row>
    <row r="255" spans="2:21">
      <c r="B255" s="114">
        <v>39</v>
      </c>
      <c r="C255" s="74">
        <f t="shared" si="134"/>
        <v>36</v>
      </c>
      <c r="D255" s="74">
        <f t="shared" si="135"/>
        <v>33</v>
      </c>
      <c r="E255" s="74">
        <f t="shared" si="136"/>
        <v>30</v>
      </c>
      <c r="F255" s="114">
        <v>27</v>
      </c>
      <c r="G255" s="74">
        <f t="shared" si="137"/>
        <v>24</v>
      </c>
      <c r="H255" s="74">
        <f t="shared" si="138"/>
        <v>21</v>
      </c>
      <c r="I255" s="74">
        <f t="shared" si="139"/>
        <v>18</v>
      </c>
      <c r="J255" s="114">
        <f t="shared" si="140"/>
        <v>15</v>
      </c>
      <c r="K255" s="74">
        <f t="shared" si="141"/>
        <v>12.75</v>
      </c>
      <c r="L255" s="74">
        <f t="shared" si="142"/>
        <v>10.5</v>
      </c>
      <c r="M255" s="74">
        <f t="shared" si="143"/>
        <v>8.25</v>
      </c>
      <c r="N255" s="114">
        <f t="shared" si="147"/>
        <v>6</v>
      </c>
      <c r="O255" s="74">
        <f t="shared" si="148"/>
        <v>8.75</v>
      </c>
      <c r="P255" s="74">
        <f t="shared" si="149"/>
        <v>11.5</v>
      </c>
      <c r="Q255" s="74">
        <f t="shared" si="150"/>
        <v>14.25</v>
      </c>
      <c r="R255" s="114">
        <v>17</v>
      </c>
      <c r="S255" s="129"/>
      <c r="T255" s="117">
        <f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16.190061538461539</v>
      </c>
      <c r="U255" s="117">
        <f>Lefty!T255</f>
        <v>15.673424175824177</v>
      </c>
    </row>
    <row r="256" spans="2:21">
      <c r="B256" s="114"/>
      <c r="C256" s="74"/>
      <c r="D256" s="74"/>
      <c r="E256" s="74"/>
      <c r="F256" s="114"/>
      <c r="G256" s="74"/>
      <c r="H256" s="74"/>
      <c r="I256" s="74"/>
      <c r="J256" s="114"/>
      <c r="K256" s="74"/>
      <c r="L256" s="74"/>
      <c r="M256" s="74"/>
      <c r="N256" s="114"/>
      <c r="O256" s="74"/>
      <c r="P256" s="74"/>
      <c r="Q256" s="74"/>
      <c r="R256" s="114"/>
      <c r="S256" s="129"/>
    </row>
    <row r="257" spans="2:21">
      <c r="B257" s="114">
        <v>32</v>
      </c>
      <c r="C257" s="74">
        <f t="shared" si="134"/>
        <v>31</v>
      </c>
      <c r="D257" s="74">
        <f t="shared" si="135"/>
        <v>30</v>
      </c>
      <c r="E257" s="74">
        <f t="shared" si="136"/>
        <v>29</v>
      </c>
      <c r="F257" s="114">
        <v>28</v>
      </c>
      <c r="G257" s="74">
        <f t="shared" si="137"/>
        <v>27</v>
      </c>
      <c r="H257" s="74">
        <f t="shared" si="138"/>
        <v>26</v>
      </c>
      <c r="I257" s="74">
        <f t="shared" si="139"/>
        <v>25</v>
      </c>
      <c r="J257" s="114">
        <f t="shared" si="140"/>
        <v>24</v>
      </c>
      <c r="K257" s="74">
        <f t="shared" si="141"/>
        <v>23.25</v>
      </c>
      <c r="L257" s="74">
        <f t="shared" si="142"/>
        <v>22.5</v>
      </c>
      <c r="M257" s="74">
        <f t="shared" si="143"/>
        <v>21.75</v>
      </c>
      <c r="N257" s="114">
        <f t="shared" si="147"/>
        <v>21</v>
      </c>
      <c r="O257" s="74">
        <f t="shared" ref="O257:O264" si="151">SUM(0.25*(R257-N257),N257)</f>
        <v>20</v>
      </c>
      <c r="P257" s="74">
        <f t="shared" ref="P257:P264" si="152">SUM(0.5*(R257-N257),N257)</f>
        <v>19</v>
      </c>
      <c r="Q257" s="74">
        <f t="shared" ref="Q257:Q264" si="153">SUM(0.75*(R257-N257),N257)</f>
        <v>18</v>
      </c>
      <c r="R257" s="114">
        <v>17</v>
      </c>
      <c r="S257" s="129"/>
      <c r="T257" s="117">
        <f>SUM((AS19+AT19+AU18+AV18+AW17+AX17+AY16+AZ16+BA15+BB15+BC14+BD14+BE13+BF13+BG12+BH12+BI11+BJ11+BK10+BL10+BM9+BN9+BO8+BP8+BO7+BN7+BM6+BL6)*-0.132/2,(AR20+BK5+BJ4)*-0.132,17)</f>
        <v>15.754461538461538</v>
      </c>
      <c r="U257" s="117">
        <f>Lefty!T257</f>
        <v>16.529538461538461</v>
      </c>
    </row>
    <row r="258" spans="2:21">
      <c r="B258" s="114">
        <v>33</v>
      </c>
      <c r="C258" s="74">
        <f t="shared" si="134"/>
        <v>31.75</v>
      </c>
      <c r="D258" s="74">
        <f t="shared" si="135"/>
        <v>30.5</v>
      </c>
      <c r="E258" s="74">
        <f t="shared" si="136"/>
        <v>29.25</v>
      </c>
      <c r="F258" s="114">
        <v>28</v>
      </c>
      <c r="G258" s="74">
        <f t="shared" si="137"/>
        <v>26.75</v>
      </c>
      <c r="H258" s="74">
        <f t="shared" si="138"/>
        <v>25.5</v>
      </c>
      <c r="I258" s="74">
        <f t="shared" si="139"/>
        <v>24.25</v>
      </c>
      <c r="J258" s="114">
        <f t="shared" si="140"/>
        <v>23</v>
      </c>
      <c r="K258" s="74">
        <f t="shared" si="141"/>
        <v>22.0625</v>
      </c>
      <c r="L258" s="74">
        <f t="shared" si="142"/>
        <v>21.125</v>
      </c>
      <c r="M258" s="74">
        <f t="shared" si="143"/>
        <v>20.1875</v>
      </c>
      <c r="N258" s="114">
        <f t="shared" si="147"/>
        <v>19.25</v>
      </c>
      <c r="O258" s="74">
        <f t="shared" si="151"/>
        <v>18.6875</v>
      </c>
      <c r="P258" s="74">
        <f t="shared" si="152"/>
        <v>18.125</v>
      </c>
      <c r="Q258" s="74">
        <f t="shared" si="153"/>
        <v>17.5625</v>
      </c>
      <c r="R258" s="114">
        <v>17</v>
      </c>
      <c r="S258" s="129"/>
      <c r="T258" s="117">
        <f>SUM((AP20+AQ20+AR19+AS19+AW17+AX17+AY16+AZ16+BD14+BE14+BI12+BJ12+BK11+BL11+BM10+BN10+BO9+BP9+BQ8+BR8)*-0.132/2,(AT18+AU18+AV18+BA15+BB15+BC15+BF13+BG13+BH13)*-0.132/3,(BS7+BT6+BU5+BV4)*-0.132,17)</f>
        <v>15.182461538461538</v>
      </c>
      <c r="U258" s="117">
        <f>Lefty!T258</f>
        <v>16.155538461538463</v>
      </c>
    </row>
    <row r="259" spans="2:21">
      <c r="B259" s="114">
        <v>34</v>
      </c>
      <c r="C259" s="74">
        <f t="shared" si="134"/>
        <v>32.5</v>
      </c>
      <c r="D259" s="74">
        <f t="shared" si="135"/>
        <v>31</v>
      </c>
      <c r="E259" s="74">
        <f t="shared" si="136"/>
        <v>29.5</v>
      </c>
      <c r="F259" s="114">
        <v>28</v>
      </c>
      <c r="G259" s="74">
        <f t="shared" si="137"/>
        <v>26.5</v>
      </c>
      <c r="H259" s="74">
        <f t="shared" si="138"/>
        <v>25</v>
      </c>
      <c r="I259" s="74">
        <f t="shared" si="139"/>
        <v>23.5</v>
      </c>
      <c r="J259" s="114">
        <f t="shared" si="140"/>
        <v>22</v>
      </c>
      <c r="K259" s="74">
        <f t="shared" si="141"/>
        <v>20.875</v>
      </c>
      <c r="L259" s="74">
        <f t="shared" si="142"/>
        <v>19.75</v>
      </c>
      <c r="M259" s="74">
        <f t="shared" si="143"/>
        <v>18.625</v>
      </c>
      <c r="N259" s="114">
        <f t="shared" si="147"/>
        <v>17.5</v>
      </c>
      <c r="O259" s="74">
        <f t="shared" si="151"/>
        <v>17.375</v>
      </c>
      <c r="P259" s="74">
        <f t="shared" si="152"/>
        <v>17.25</v>
      </c>
      <c r="Q259" s="74">
        <f t="shared" si="153"/>
        <v>17.125</v>
      </c>
      <c r="R259" s="114">
        <v>17</v>
      </c>
      <c r="S259" s="129"/>
      <c r="T259" s="117">
        <f>SUM((AP19+AQ19+AR19+AU17+AV17+AW17+AX16+AY16+AZ16+BA15+BB15+BC15+BD14+BE14+BF14+BG13+BH13+BI13+BJ12+BK12+BL12+BM11+BN11+BO11+BR9+BS9+BT9)*-0.132/3,(AN20+AO20+AS18+AT18+BP10+BQ10+BU8+BV8)*-0.132/2,(BV7+BV6+BV5+BV4)*-0.132,17)</f>
        <v>15.644461538461538</v>
      </c>
      <c r="U259" s="117">
        <f>Lefty!T259</f>
        <v>15.781538461538462</v>
      </c>
    </row>
    <row r="260" spans="2:21">
      <c r="B260" s="114">
        <v>35</v>
      </c>
      <c r="C260" s="74">
        <f t="shared" si="134"/>
        <v>33.25</v>
      </c>
      <c r="D260" s="74">
        <f t="shared" si="135"/>
        <v>31.5</v>
      </c>
      <c r="E260" s="74">
        <f t="shared" si="136"/>
        <v>29.75</v>
      </c>
      <c r="F260" s="114">
        <v>28</v>
      </c>
      <c r="G260" s="74">
        <f t="shared" si="137"/>
        <v>26.25</v>
      </c>
      <c r="H260" s="74">
        <f t="shared" si="138"/>
        <v>24.5</v>
      </c>
      <c r="I260" s="74">
        <f t="shared" si="139"/>
        <v>22.75</v>
      </c>
      <c r="J260" s="114">
        <f t="shared" si="140"/>
        <v>21</v>
      </c>
      <c r="K260" s="74">
        <f t="shared" si="141"/>
        <v>19.6875</v>
      </c>
      <c r="L260" s="74">
        <f t="shared" si="142"/>
        <v>18.375</v>
      </c>
      <c r="M260" s="74">
        <f t="shared" si="143"/>
        <v>17.0625</v>
      </c>
      <c r="N260" s="114">
        <f t="shared" si="147"/>
        <v>15.75</v>
      </c>
      <c r="O260" s="74">
        <f t="shared" si="151"/>
        <v>16.0625</v>
      </c>
      <c r="P260" s="74">
        <f t="shared" si="152"/>
        <v>16.375</v>
      </c>
      <c r="Q260" s="74">
        <f t="shared" si="153"/>
        <v>16.6875</v>
      </c>
      <c r="R260" s="114">
        <v>17</v>
      </c>
      <c r="S260" s="129"/>
      <c r="T260" s="117">
        <f>SUM((AL20+AM20+AN20+AO19+AP19+AQ19+AR18+AS18+AT18+AU17+AV17+AW17+AX16+AY16+AZ16+BE14+BF14+BG14+BL12+BM12+BN12+BO11+BP11+BQ11+BR10+BS10+BT10+BU9+BV9+BW9+BX8+BY8+BZ8)*-0.132/3,(BA15+BB15+BC15+BD15+BH13+BI13+BJ13+BK13)*-0.132/4,(BY7+BX6+BW5+BV4)*-0.132,17)</f>
        <v>15.754461538461538</v>
      </c>
      <c r="U260" s="117">
        <f>Lefty!T260</f>
        <v>15.781538461538462</v>
      </c>
    </row>
    <row r="261" spans="2:21">
      <c r="B261" s="114">
        <v>36</v>
      </c>
      <c r="C261" s="74">
        <f t="shared" si="134"/>
        <v>34</v>
      </c>
      <c r="D261" s="74">
        <f t="shared" si="135"/>
        <v>32</v>
      </c>
      <c r="E261" s="74">
        <f t="shared" si="136"/>
        <v>30</v>
      </c>
      <c r="F261" s="114">
        <v>28</v>
      </c>
      <c r="G261" s="74">
        <f t="shared" si="137"/>
        <v>26</v>
      </c>
      <c r="H261" s="74">
        <f t="shared" si="138"/>
        <v>24</v>
      </c>
      <c r="I261" s="74">
        <f t="shared" si="139"/>
        <v>22</v>
      </c>
      <c r="J261" s="114">
        <f t="shared" si="140"/>
        <v>20</v>
      </c>
      <c r="K261" s="74">
        <f t="shared" si="141"/>
        <v>18.5</v>
      </c>
      <c r="L261" s="74">
        <f t="shared" si="142"/>
        <v>17</v>
      </c>
      <c r="M261" s="74">
        <f t="shared" si="143"/>
        <v>15.5</v>
      </c>
      <c r="N261" s="114">
        <f t="shared" si="147"/>
        <v>14</v>
      </c>
      <c r="O261" s="74">
        <f t="shared" si="151"/>
        <v>14.75</v>
      </c>
      <c r="P261" s="74">
        <f t="shared" si="152"/>
        <v>15.5</v>
      </c>
      <c r="Q261" s="74">
        <f t="shared" si="153"/>
        <v>16.25</v>
      </c>
      <c r="R261" s="114">
        <v>17</v>
      </c>
      <c r="S261" s="129"/>
      <c r="T261" s="117">
        <f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15.644461538461538</v>
      </c>
      <c r="U261" s="117">
        <f>Lefty!T261</f>
        <v>15.660538461538462</v>
      </c>
    </row>
    <row r="262" spans="2:21">
      <c r="B262" s="114">
        <v>37</v>
      </c>
      <c r="C262" s="74">
        <f t="shared" si="134"/>
        <v>34.75</v>
      </c>
      <c r="D262" s="74">
        <f t="shared" si="135"/>
        <v>32.5</v>
      </c>
      <c r="E262" s="74">
        <f t="shared" si="136"/>
        <v>30.25</v>
      </c>
      <c r="F262" s="114">
        <v>28</v>
      </c>
      <c r="G262" s="74">
        <f t="shared" si="137"/>
        <v>25.75</v>
      </c>
      <c r="H262" s="74">
        <f t="shared" si="138"/>
        <v>23.5</v>
      </c>
      <c r="I262" s="74">
        <f t="shared" si="139"/>
        <v>21.25</v>
      </c>
      <c r="J262" s="114">
        <f t="shared" si="140"/>
        <v>19</v>
      </c>
      <c r="K262" s="74">
        <f t="shared" si="141"/>
        <v>17.3125</v>
      </c>
      <c r="L262" s="74">
        <f t="shared" si="142"/>
        <v>15.625</v>
      </c>
      <c r="M262" s="74">
        <f t="shared" si="143"/>
        <v>13.9375</v>
      </c>
      <c r="N262" s="114">
        <f t="shared" si="147"/>
        <v>12.25</v>
      </c>
      <c r="O262" s="74">
        <f t="shared" si="151"/>
        <v>13.4375</v>
      </c>
      <c r="P262" s="74">
        <f t="shared" si="152"/>
        <v>14.625</v>
      </c>
      <c r="Q262" s="74">
        <f t="shared" si="153"/>
        <v>15.8125</v>
      </c>
      <c r="R262" s="114">
        <v>17</v>
      </c>
      <c r="S262" s="129"/>
      <c r="T262" s="117">
        <f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16.003061538461537</v>
      </c>
      <c r="U262" s="117">
        <f>Lefty!T262</f>
        <v>15.409738461538462</v>
      </c>
    </row>
    <row r="263" spans="2:21">
      <c r="B263" s="114">
        <v>38</v>
      </c>
      <c r="C263" s="74">
        <f t="shared" si="134"/>
        <v>35.5</v>
      </c>
      <c r="D263" s="74">
        <f t="shared" si="135"/>
        <v>33</v>
      </c>
      <c r="E263" s="74">
        <f t="shared" si="136"/>
        <v>30.5</v>
      </c>
      <c r="F263" s="114">
        <v>28</v>
      </c>
      <c r="G263" s="74">
        <f t="shared" si="137"/>
        <v>25.5</v>
      </c>
      <c r="H263" s="74">
        <f t="shared" si="138"/>
        <v>23</v>
      </c>
      <c r="I263" s="74">
        <f t="shared" si="139"/>
        <v>20.5</v>
      </c>
      <c r="J263" s="114">
        <f t="shared" si="140"/>
        <v>18</v>
      </c>
      <c r="K263" s="74">
        <f t="shared" si="141"/>
        <v>16.125</v>
      </c>
      <c r="L263" s="74">
        <f t="shared" si="142"/>
        <v>14.25</v>
      </c>
      <c r="M263" s="74">
        <f t="shared" si="143"/>
        <v>12.375</v>
      </c>
      <c r="N263" s="114">
        <f t="shared" si="147"/>
        <v>10.5</v>
      </c>
      <c r="O263" s="74">
        <f t="shared" si="151"/>
        <v>12.125</v>
      </c>
      <c r="P263" s="74">
        <f t="shared" si="152"/>
        <v>13.75</v>
      </c>
      <c r="Q263" s="74">
        <f t="shared" si="153"/>
        <v>15.375</v>
      </c>
      <c r="R263" s="114">
        <v>17</v>
      </c>
      <c r="S263" s="129"/>
      <c r="T263" s="117">
        <f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16.064661538461539</v>
      </c>
      <c r="U263" s="117">
        <f>Lefty!T263</f>
        <v>15.618738461538463</v>
      </c>
    </row>
    <row r="264" spans="2:21">
      <c r="B264" s="114">
        <v>39</v>
      </c>
      <c r="C264" s="74">
        <f t="shared" si="134"/>
        <v>36.25</v>
      </c>
      <c r="D264" s="74">
        <f t="shared" si="135"/>
        <v>33.5</v>
      </c>
      <c r="E264" s="74">
        <f t="shared" si="136"/>
        <v>30.75</v>
      </c>
      <c r="F264" s="114">
        <v>28</v>
      </c>
      <c r="G264" s="74">
        <f t="shared" si="137"/>
        <v>25.25</v>
      </c>
      <c r="H264" s="74">
        <f t="shared" si="138"/>
        <v>22.5</v>
      </c>
      <c r="I264" s="74">
        <f t="shared" si="139"/>
        <v>19.75</v>
      </c>
      <c r="J264" s="114">
        <f t="shared" si="140"/>
        <v>17</v>
      </c>
      <c r="K264" s="74">
        <f t="shared" si="141"/>
        <v>14.9375</v>
      </c>
      <c r="L264" s="74">
        <f t="shared" si="142"/>
        <v>12.875</v>
      </c>
      <c r="M264" s="74">
        <f t="shared" si="143"/>
        <v>10.8125</v>
      </c>
      <c r="N264" s="114">
        <f t="shared" si="147"/>
        <v>8.75</v>
      </c>
      <c r="O264" s="74">
        <f t="shared" si="151"/>
        <v>10.8125</v>
      </c>
      <c r="P264" s="74">
        <f t="shared" si="152"/>
        <v>12.875</v>
      </c>
      <c r="Q264" s="74">
        <f t="shared" si="153"/>
        <v>14.9375</v>
      </c>
      <c r="R264" s="114">
        <v>17</v>
      </c>
      <c r="S264" s="129"/>
      <c r="T264" s="117">
        <f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16.176861538461537</v>
      </c>
      <c r="U264" s="117">
        <f>Lefty!T264</f>
        <v>15.469138461538464</v>
      </c>
    </row>
    <row r="265" spans="2:21">
      <c r="B265" s="114"/>
      <c r="C265" s="74"/>
      <c r="D265" s="74"/>
      <c r="E265" s="74"/>
      <c r="F265" s="114"/>
      <c r="G265" s="74"/>
      <c r="H265" s="74"/>
      <c r="I265" s="74"/>
      <c r="J265" s="114"/>
      <c r="K265" s="74"/>
      <c r="L265" s="74"/>
      <c r="M265" s="74"/>
      <c r="N265" s="114"/>
      <c r="O265" s="74"/>
      <c r="P265" s="74"/>
      <c r="Q265" s="74"/>
      <c r="R265" s="114"/>
      <c r="S265" s="129"/>
    </row>
    <row r="266" spans="2:21">
      <c r="B266" s="114">
        <v>33</v>
      </c>
      <c r="C266" s="74">
        <f t="shared" si="134"/>
        <v>32</v>
      </c>
      <c r="D266" s="74">
        <f t="shared" si="135"/>
        <v>31</v>
      </c>
      <c r="E266" s="74">
        <f t="shared" si="136"/>
        <v>30</v>
      </c>
      <c r="F266" s="114">
        <v>29</v>
      </c>
      <c r="G266" s="74">
        <f t="shared" si="137"/>
        <v>28</v>
      </c>
      <c r="H266" s="74">
        <f t="shared" si="138"/>
        <v>27</v>
      </c>
      <c r="I266" s="74">
        <f t="shared" si="139"/>
        <v>26</v>
      </c>
      <c r="J266" s="114">
        <f t="shared" si="140"/>
        <v>25</v>
      </c>
      <c r="K266" s="74">
        <f t="shared" si="141"/>
        <v>24</v>
      </c>
      <c r="L266" s="74">
        <f t="shared" si="142"/>
        <v>23</v>
      </c>
      <c r="M266" s="74">
        <f t="shared" si="143"/>
        <v>22</v>
      </c>
      <c r="N266" s="114">
        <f>SUM(J266,J266,-F266)</f>
        <v>21</v>
      </c>
      <c r="O266" s="74">
        <f t="shared" ref="O266:O272" si="154">SUM(0.25*(R266-N266),N266)</f>
        <v>20</v>
      </c>
      <c r="P266" s="74">
        <f t="shared" ref="P266:P272" si="155">SUM(0.5*(R266-N266),N266)</f>
        <v>19</v>
      </c>
      <c r="Q266" s="74">
        <f t="shared" ref="Q266:Q272" si="156">SUM(0.75*(R266-N266),N266)</f>
        <v>18</v>
      </c>
      <c r="R266" s="114">
        <v>17</v>
      </c>
      <c r="S266" s="129"/>
      <c r="T266" s="117">
        <f>SUM(AP20*-0.132,(AQ19+AR19+AS18+AT18+AU17+AV17+AW16+AX16+AY15+AZ15+BA14+BB14+BC13+BD13+BE12+BF12++BG11+BH11+BI10+BJ10+BK9+BL9+BM8+BN8+BO7+BP7+BQ6+BR6+BS5+BT5+BU4+BV4)*-0.132/2,17)</f>
        <v>14.830461538461538</v>
      </c>
      <c r="U266" s="117">
        <f>Lefty!T266</f>
        <v>15.605538461538464</v>
      </c>
    </row>
    <row r="267" spans="2:21">
      <c r="B267" s="114">
        <v>34</v>
      </c>
      <c r="C267" s="74">
        <f t="shared" si="134"/>
        <v>32.75</v>
      </c>
      <c r="D267" s="74">
        <f t="shared" si="135"/>
        <v>31.5</v>
      </c>
      <c r="E267" s="74">
        <f t="shared" si="136"/>
        <v>30.25</v>
      </c>
      <c r="F267" s="114">
        <v>29</v>
      </c>
      <c r="G267" s="74">
        <f t="shared" si="137"/>
        <v>27.75</v>
      </c>
      <c r="H267" s="74">
        <f t="shared" si="138"/>
        <v>26.5</v>
      </c>
      <c r="I267" s="74">
        <f t="shared" si="139"/>
        <v>25.25</v>
      </c>
      <c r="J267" s="114">
        <f t="shared" si="140"/>
        <v>24</v>
      </c>
      <c r="K267" s="74">
        <f t="shared" si="141"/>
        <v>23.0625</v>
      </c>
      <c r="L267" s="74">
        <f t="shared" si="142"/>
        <v>22.125</v>
      </c>
      <c r="M267" s="74">
        <f t="shared" si="143"/>
        <v>21.1875</v>
      </c>
      <c r="N267" s="114">
        <f t="shared" ref="N267:N289" si="157">SUM(F267,-B267,J267,0.25*ABS(J267-F267))</f>
        <v>20.25</v>
      </c>
      <c r="O267" s="74">
        <f t="shared" si="154"/>
        <v>19.4375</v>
      </c>
      <c r="P267" s="74">
        <f t="shared" si="155"/>
        <v>18.625</v>
      </c>
      <c r="Q267" s="74">
        <f t="shared" si="156"/>
        <v>17.8125</v>
      </c>
      <c r="R267" s="114">
        <v>17</v>
      </c>
      <c r="S267" s="129"/>
      <c r="T267" s="117">
        <f>SUM((AN20+AO20+AP19+AQ19+AU17+AV17+AW16+AX16+BB14+BC14+BG12+BH12+BI11+BJ11+BK10+BL10+BM9+BN9+BO8+BP8+BS5+BT5+BU4+BV4)*-0.132/2,(AR18+AS18+AT18+AY15+AZ15+BA15+BD13+BE13+BF13)*-0.132/3,(BQ7+BR6)*-0.132,17)</f>
        <v>15.292461538461538</v>
      </c>
      <c r="U267" s="117">
        <f>Lefty!T267</f>
        <v>15.627538461538462</v>
      </c>
    </row>
    <row r="268" spans="2:21">
      <c r="B268" s="114">
        <v>35</v>
      </c>
      <c r="C268" s="74">
        <f t="shared" si="134"/>
        <v>33.5</v>
      </c>
      <c r="D268" s="74">
        <f t="shared" si="135"/>
        <v>32</v>
      </c>
      <c r="E268" s="74">
        <f t="shared" si="136"/>
        <v>30.5</v>
      </c>
      <c r="F268" s="114">
        <v>29</v>
      </c>
      <c r="G268" s="74">
        <f t="shared" si="137"/>
        <v>27.5</v>
      </c>
      <c r="H268" s="74">
        <f t="shared" si="138"/>
        <v>26</v>
      </c>
      <c r="I268" s="74">
        <f t="shared" si="139"/>
        <v>24.5</v>
      </c>
      <c r="J268" s="114">
        <f t="shared" si="140"/>
        <v>23</v>
      </c>
      <c r="K268" s="74">
        <f t="shared" si="141"/>
        <v>21.875</v>
      </c>
      <c r="L268" s="74">
        <f t="shared" si="142"/>
        <v>20.75</v>
      </c>
      <c r="M268" s="74">
        <f t="shared" si="143"/>
        <v>19.625</v>
      </c>
      <c r="N268" s="114">
        <f t="shared" si="157"/>
        <v>18.5</v>
      </c>
      <c r="O268" s="74">
        <f t="shared" si="154"/>
        <v>18.125</v>
      </c>
      <c r="P268" s="74">
        <f t="shared" si="155"/>
        <v>17.75</v>
      </c>
      <c r="Q268" s="74">
        <f t="shared" si="156"/>
        <v>17.375</v>
      </c>
      <c r="R268" s="114">
        <v>17</v>
      </c>
      <c r="S268" s="129"/>
      <c r="T268" s="117">
        <f>SUM((AL20+AM20+AQ18+AR18)*-0.132/2,(AN19+AO19+AP19+AS17+AT17+AU17+AV16+AW16+AX16+AY15+AZ15+BA15+BB14+BC14+BD14+BE13+BF13+BG13+BH12+BI12+BJ12+BK11+BL11+BM11+BP9+BQ9+BR9)*-0.132/3,(BN10+BO10+BS8+BT8)*-0.132/2,(BU7+BU6+BV5+BV4)*-0.132,17)</f>
        <v>15.622461538461538</v>
      </c>
      <c r="U268" s="117">
        <f>Lefty!T268</f>
        <v>15.671538461538461</v>
      </c>
    </row>
    <row r="269" spans="2:21">
      <c r="B269" s="114">
        <v>36</v>
      </c>
      <c r="C269" s="74">
        <f t="shared" si="134"/>
        <v>34.25</v>
      </c>
      <c r="D269" s="74">
        <f t="shared" si="135"/>
        <v>32.5</v>
      </c>
      <c r="E269" s="74">
        <f t="shared" si="136"/>
        <v>30.75</v>
      </c>
      <c r="F269" s="114">
        <v>29</v>
      </c>
      <c r="G269" s="74">
        <f t="shared" si="137"/>
        <v>27.25</v>
      </c>
      <c r="H269" s="74">
        <f t="shared" si="138"/>
        <v>25.5</v>
      </c>
      <c r="I269" s="74">
        <f t="shared" si="139"/>
        <v>23.75</v>
      </c>
      <c r="J269" s="114">
        <f t="shared" si="140"/>
        <v>22</v>
      </c>
      <c r="K269" s="74">
        <f t="shared" si="141"/>
        <v>20.6875</v>
      </c>
      <c r="L269" s="74">
        <f t="shared" si="142"/>
        <v>19.375</v>
      </c>
      <c r="M269" s="74">
        <f t="shared" si="143"/>
        <v>18.0625</v>
      </c>
      <c r="N269" s="114">
        <f t="shared" si="157"/>
        <v>16.75</v>
      </c>
      <c r="O269" s="74">
        <f t="shared" si="154"/>
        <v>16.8125</v>
      </c>
      <c r="P269" s="74">
        <f t="shared" si="155"/>
        <v>16.875</v>
      </c>
      <c r="Q269" s="74">
        <f t="shared" si="156"/>
        <v>16.9375</v>
      </c>
      <c r="R269" s="114">
        <v>17</v>
      </c>
      <c r="S269" s="129"/>
      <c r="T269" s="117">
        <f>SUM((AJ20+AK20+AL20+AM19+AN19+AO19+AP18+AQ18+AR18+AS17+AT17+AU17+AV16+AW16+AX16+BC14+BD14+BE14+BJ12+BK12+BL12+BM11+BN11+BO11+BP10+BQ10+BR10+BS9+BT9+BU9+BV8+BW8+BX8)*-0.132/3,(AY15+AZ15+BA15+BB15+BF13+BG13+BH13+BI13)*-0.132/4,(BW7+BW6+BV5+BV4)*-0.132,17)</f>
        <v>15.567461538461538</v>
      </c>
      <c r="U269" s="117">
        <f>Lefty!T269</f>
        <v>15.275538461538462</v>
      </c>
    </row>
    <row r="270" spans="2:21">
      <c r="B270" s="114">
        <v>37</v>
      </c>
      <c r="C270" s="74">
        <f t="shared" si="134"/>
        <v>35</v>
      </c>
      <c r="D270" s="74">
        <f t="shared" si="135"/>
        <v>33</v>
      </c>
      <c r="E270" s="74">
        <f t="shared" si="136"/>
        <v>31</v>
      </c>
      <c r="F270" s="114">
        <v>29</v>
      </c>
      <c r="G270" s="74">
        <f t="shared" si="137"/>
        <v>27</v>
      </c>
      <c r="H270" s="74">
        <f t="shared" si="138"/>
        <v>25</v>
      </c>
      <c r="I270" s="74">
        <f t="shared" si="139"/>
        <v>23</v>
      </c>
      <c r="J270" s="114">
        <f t="shared" si="140"/>
        <v>21</v>
      </c>
      <c r="K270" s="74">
        <f t="shared" si="141"/>
        <v>19.5</v>
      </c>
      <c r="L270" s="74">
        <f t="shared" si="142"/>
        <v>18</v>
      </c>
      <c r="M270" s="74">
        <f t="shared" si="143"/>
        <v>16.5</v>
      </c>
      <c r="N270" s="114">
        <f t="shared" si="157"/>
        <v>15</v>
      </c>
      <c r="O270" s="74">
        <f t="shared" si="154"/>
        <v>15.5</v>
      </c>
      <c r="P270" s="74">
        <f t="shared" si="155"/>
        <v>16</v>
      </c>
      <c r="Q270" s="74">
        <f t="shared" si="156"/>
        <v>16.5</v>
      </c>
      <c r="R270" s="114">
        <v>17</v>
      </c>
      <c r="S270" s="129"/>
      <c r="T270" s="117">
        <f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15.765461538461539</v>
      </c>
      <c r="U270" s="117">
        <f>Lefty!T270</f>
        <v>15.440538461538463</v>
      </c>
    </row>
    <row r="271" spans="2:21">
      <c r="B271" s="114">
        <v>38</v>
      </c>
      <c r="C271" s="74">
        <f t="shared" si="134"/>
        <v>35.75</v>
      </c>
      <c r="D271" s="74">
        <f t="shared" si="135"/>
        <v>33.5</v>
      </c>
      <c r="E271" s="74">
        <f t="shared" si="136"/>
        <v>31.25</v>
      </c>
      <c r="F271" s="114">
        <v>29</v>
      </c>
      <c r="G271" s="74">
        <f t="shared" si="137"/>
        <v>26.75</v>
      </c>
      <c r="H271" s="74">
        <f t="shared" si="138"/>
        <v>24.5</v>
      </c>
      <c r="I271" s="74">
        <f t="shared" si="139"/>
        <v>22.25</v>
      </c>
      <c r="J271" s="114">
        <f t="shared" si="140"/>
        <v>20</v>
      </c>
      <c r="K271" s="74">
        <f t="shared" si="141"/>
        <v>18.3125</v>
      </c>
      <c r="L271" s="74">
        <f t="shared" si="142"/>
        <v>16.625</v>
      </c>
      <c r="M271" s="74">
        <f t="shared" si="143"/>
        <v>14.9375</v>
      </c>
      <c r="N271" s="114">
        <f t="shared" si="157"/>
        <v>13.25</v>
      </c>
      <c r="O271" s="74">
        <f t="shared" si="154"/>
        <v>14.1875</v>
      </c>
      <c r="P271" s="74">
        <f t="shared" si="155"/>
        <v>15.125</v>
      </c>
      <c r="Q271" s="74">
        <f t="shared" si="156"/>
        <v>16.0625</v>
      </c>
      <c r="R271" s="114">
        <v>17</v>
      </c>
      <c r="S271" s="129"/>
      <c r="T271" s="117">
        <f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16.060261538461539</v>
      </c>
      <c r="U271" s="117">
        <f>Lefty!T271</f>
        <v>15.334938461538462</v>
      </c>
    </row>
    <row r="272" spans="2:21">
      <c r="B272" s="114">
        <v>39</v>
      </c>
      <c r="C272" s="74">
        <f t="shared" si="134"/>
        <v>36.5</v>
      </c>
      <c r="D272" s="74">
        <f t="shared" si="135"/>
        <v>34</v>
      </c>
      <c r="E272" s="74">
        <f t="shared" si="136"/>
        <v>31.5</v>
      </c>
      <c r="F272" s="114">
        <v>29</v>
      </c>
      <c r="G272" s="74">
        <f t="shared" si="137"/>
        <v>26.5</v>
      </c>
      <c r="H272" s="74">
        <f t="shared" si="138"/>
        <v>24</v>
      </c>
      <c r="I272" s="74">
        <f t="shared" si="139"/>
        <v>21.5</v>
      </c>
      <c r="J272" s="114">
        <f t="shared" si="140"/>
        <v>19</v>
      </c>
      <c r="K272" s="74">
        <f t="shared" si="141"/>
        <v>17.125</v>
      </c>
      <c r="L272" s="74">
        <f t="shared" si="142"/>
        <v>15.25</v>
      </c>
      <c r="M272" s="74">
        <f t="shared" si="143"/>
        <v>13.375</v>
      </c>
      <c r="N272" s="114">
        <f t="shared" si="157"/>
        <v>11.5</v>
      </c>
      <c r="O272" s="74">
        <f t="shared" si="154"/>
        <v>12.875</v>
      </c>
      <c r="P272" s="74">
        <f t="shared" si="155"/>
        <v>14.25</v>
      </c>
      <c r="Q272" s="74">
        <f t="shared" si="156"/>
        <v>15.625</v>
      </c>
      <c r="R272" s="114">
        <v>17</v>
      </c>
      <c r="S272" s="129"/>
      <c r="T272" s="117">
        <f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16.174661538461539</v>
      </c>
      <c r="U272" s="117">
        <f>Lefty!T272</f>
        <v>15.319538461538464</v>
      </c>
    </row>
    <row r="273" spans="2:21">
      <c r="B273" s="114"/>
      <c r="C273" s="74"/>
      <c r="D273" s="74"/>
      <c r="E273" s="74"/>
      <c r="F273" s="114"/>
      <c r="G273" s="74"/>
      <c r="H273" s="74"/>
      <c r="I273" s="74"/>
      <c r="J273" s="114"/>
      <c r="K273" s="74"/>
      <c r="L273" s="74"/>
      <c r="M273" s="74"/>
      <c r="N273" s="114"/>
      <c r="O273" s="74"/>
      <c r="P273" s="74"/>
      <c r="Q273" s="74"/>
      <c r="R273" s="114"/>
      <c r="S273" s="129"/>
    </row>
    <row r="274" spans="2:21">
      <c r="B274" s="114">
        <v>35</v>
      </c>
      <c r="C274" s="74">
        <f t="shared" si="134"/>
        <v>33.75</v>
      </c>
      <c r="D274" s="74">
        <f t="shared" si="135"/>
        <v>32.5</v>
      </c>
      <c r="E274" s="74">
        <f t="shared" si="136"/>
        <v>31.25</v>
      </c>
      <c r="F274" s="114">
        <v>30</v>
      </c>
      <c r="G274" s="74">
        <f t="shared" si="137"/>
        <v>28.75</v>
      </c>
      <c r="H274" s="74">
        <f t="shared" si="138"/>
        <v>27.5</v>
      </c>
      <c r="I274" s="74">
        <f t="shared" si="139"/>
        <v>26.25</v>
      </c>
      <c r="J274" s="114">
        <f t="shared" si="140"/>
        <v>25</v>
      </c>
      <c r="K274" s="74">
        <f t="shared" si="141"/>
        <v>24.0625</v>
      </c>
      <c r="L274" s="74">
        <f t="shared" si="142"/>
        <v>23.125</v>
      </c>
      <c r="M274" s="74">
        <f t="shared" si="143"/>
        <v>22.1875</v>
      </c>
      <c r="N274" s="114">
        <f t="shared" si="157"/>
        <v>21.25</v>
      </c>
      <c r="O274" s="74">
        <f>SUM(0.25*(R274-N274),N274)</f>
        <v>20.1875</v>
      </c>
      <c r="P274" s="74">
        <f>SUM(0.5*(R274-N274),N274)</f>
        <v>19.125</v>
      </c>
      <c r="Q274" s="74">
        <f>SUM(0.75*(R274-N274),N274)</f>
        <v>18.0625</v>
      </c>
      <c r="R274" s="114">
        <v>17</v>
      </c>
      <c r="S274" s="129"/>
      <c r="T274" s="117">
        <f>SUM((AL20+AM20+AN19+AO19+AS17+AT17+AU16+AV16+AZ14+BA14+BE12+BF12+BG11+BH11+BI10+BJ10+BK9+BL9+BM8+BN8+BO7+BP7+BQ6+BR6+BS5+BT5+BU4+BV4)*-0.132/2,(AP18+AQ18+AR18+AW15+AX15+AY15+BB13+BC13+BD13)*-0.132/3,17)</f>
        <v>15.204461538461539</v>
      </c>
      <c r="U274" s="117">
        <f>Lefty!T274</f>
        <v>15.165538461538462</v>
      </c>
    </row>
    <row r="275" spans="2:21">
      <c r="B275" s="114">
        <v>36</v>
      </c>
      <c r="C275" s="74">
        <f t="shared" si="134"/>
        <v>34.5</v>
      </c>
      <c r="D275" s="74">
        <f t="shared" si="135"/>
        <v>33</v>
      </c>
      <c r="E275" s="74">
        <f t="shared" si="136"/>
        <v>31.5</v>
      </c>
      <c r="F275" s="114">
        <v>30</v>
      </c>
      <c r="G275" s="74">
        <f t="shared" si="137"/>
        <v>28.5</v>
      </c>
      <c r="H275" s="74">
        <f t="shared" si="138"/>
        <v>27</v>
      </c>
      <c r="I275" s="74">
        <f t="shared" si="139"/>
        <v>25.5</v>
      </c>
      <c r="J275" s="114">
        <f t="shared" si="140"/>
        <v>24</v>
      </c>
      <c r="K275" s="74">
        <f t="shared" si="141"/>
        <v>22.875</v>
      </c>
      <c r="L275" s="74">
        <f t="shared" si="142"/>
        <v>21.75</v>
      </c>
      <c r="M275" s="74">
        <f t="shared" si="143"/>
        <v>20.625</v>
      </c>
      <c r="N275" s="114">
        <f t="shared" si="157"/>
        <v>19.5</v>
      </c>
      <c r="O275" s="74">
        <f>SUM(0.25*(R275-N275),N275)</f>
        <v>18.875</v>
      </c>
      <c r="P275" s="74">
        <f>SUM(0.5*(R275-N275),N275)</f>
        <v>18.25</v>
      </c>
      <c r="Q275" s="74">
        <f>SUM(0.75*(R275-N275),N275)</f>
        <v>17.625</v>
      </c>
      <c r="R275" s="114">
        <v>17</v>
      </c>
      <c r="S275" s="129"/>
      <c r="T275" s="117">
        <f>SUM((AJ20+AK20+AO18+AP18)*-0.132/2,(AL19+AM19+AN19+AQ17+AR17+AS17+AT16+AU16+AV16+AW15+AX15+AY15+AZ14+BA14+BB14+BC13+BD13+BE13+BF12+BG12+BH12+BI11+BJ11+BK11+BN9+BO9+BP9)*-0.132/3,(BL10+BM10+BQ8+BR8+BQ7+BP7+BO6+BN6+BM5+BL5+BK4+BJ4)*-0.132/2,17)</f>
        <v>15.864461538461537</v>
      </c>
      <c r="U275" s="117">
        <f>Lefty!T275</f>
        <v>15.517538461538461</v>
      </c>
    </row>
    <row r="276" spans="2:21">
      <c r="B276" s="114">
        <v>37</v>
      </c>
      <c r="C276" s="74">
        <f t="shared" si="134"/>
        <v>35.25</v>
      </c>
      <c r="D276" s="74">
        <f t="shared" si="135"/>
        <v>33.5</v>
      </c>
      <c r="E276" s="74">
        <f t="shared" si="136"/>
        <v>31.75</v>
      </c>
      <c r="F276" s="114">
        <v>30</v>
      </c>
      <c r="G276" s="74">
        <f t="shared" si="137"/>
        <v>28.25</v>
      </c>
      <c r="H276" s="74">
        <f t="shared" si="138"/>
        <v>26.5</v>
      </c>
      <c r="I276" s="74">
        <f t="shared" si="139"/>
        <v>24.75</v>
      </c>
      <c r="J276" s="114">
        <f t="shared" si="140"/>
        <v>23</v>
      </c>
      <c r="K276" s="74">
        <f t="shared" si="141"/>
        <v>21.6875</v>
      </c>
      <c r="L276" s="74">
        <f t="shared" si="142"/>
        <v>20.375</v>
      </c>
      <c r="M276" s="74">
        <f t="shared" si="143"/>
        <v>19.0625</v>
      </c>
      <c r="N276" s="114">
        <f t="shared" si="157"/>
        <v>17.75</v>
      </c>
      <c r="O276" s="74">
        <f>SUM(0.25*(R276-N276),N276)</f>
        <v>17.5625</v>
      </c>
      <c r="P276" s="74">
        <f>SUM(0.5*(R276-N276),N276)</f>
        <v>17.375</v>
      </c>
      <c r="Q276" s="74">
        <f>SUM(0.75*(R276-N276),N276)</f>
        <v>17.1875</v>
      </c>
      <c r="R276" s="114">
        <v>17</v>
      </c>
      <c r="S276" s="129"/>
      <c r="T276" s="117">
        <f>SUM((AH20+AI20+AJ20+AK19+AL19+AM19+AN18+AO18+AP18+AQ17+AR17+AS17+AT16+AU16+AV16+BA14+BB14+BC14+BH12+BI12+BJ12+BK11+BL11+BM11+BN10+BO10+BP10+BQ9+BR9+BS9+BT8+BU8+BV8)*-0.132/3,(AW15+AX15+AY15+AZ15+BD13+BE13+BF13+BG13)*-0.132/4,(BV7+BV6+BV5+BV4)*-0.132,17)</f>
        <v>15.831461538461538</v>
      </c>
      <c r="U276" s="117">
        <f>Lefty!T276</f>
        <v>15.121538461538462</v>
      </c>
    </row>
    <row r="277" spans="2:21">
      <c r="B277" s="114">
        <v>38</v>
      </c>
      <c r="C277" s="74">
        <f t="shared" si="134"/>
        <v>36</v>
      </c>
      <c r="D277" s="74">
        <f t="shared" si="135"/>
        <v>34</v>
      </c>
      <c r="E277" s="74">
        <f t="shared" si="136"/>
        <v>32</v>
      </c>
      <c r="F277" s="114">
        <v>30</v>
      </c>
      <c r="G277" s="74">
        <f t="shared" si="137"/>
        <v>28</v>
      </c>
      <c r="H277" s="74">
        <f t="shared" si="138"/>
        <v>26</v>
      </c>
      <c r="I277" s="74">
        <f t="shared" si="139"/>
        <v>24</v>
      </c>
      <c r="J277" s="114">
        <f t="shared" si="140"/>
        <v>22</v>
      </c>
      <c r="K277" s="74">
        <f t="shared" si="141"/>
        <v>20.5</v>
      </c>
      <c r="L277" s="74">
        <f t="shared" si="142"/>
        <v>19</v>
      </c>
      <c r="M277" s="74">
        <f t="shared" si="143"/>
        <v>17.5</v>
      </c>
      <c r="N277" s="114">
        <f t="shared" si="157"/>
        <v>16</v>
      </c>
      <c r="O277" s="74">
        <f>SUM(0.25*(R277-N277),N277)</f>
        <v>16.25</v>
      </c>
      <c r="P277" s="74">
        <f>SUM(0.5*(R277-N277),N277)</f>
        <v>16.5</v>
      </c>
      <c r="Q277" s="74">
        <f>SUM(0.75*(R277-N277),N277)</f>
        <v>16.75</v>
      </c>
      <c r="R277" s="114">
        <v>17</v>
      </c>
      <c r="S277" s="129"/>
      <c r="T277" s="117">
        <f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15.875461538461538</v>
      </c>
      <c r="U277" s="117">
        <f>Lefty!T277</f>
        <v>15.319538461538462</v>
      </c>
    </row>
    <row r="278" spans="2:21">
      <c r="B278" s="114">
        <v>39</v>
      </c>
      <c r="C278" s="74">
        <f t="shared" si="134"/>
        <v>36.75</v>
      </c>
      <c r="D278" s="74">
        <f t="shared" si="135"/>
        <v>34.5</v>
      </c>
      <c r="E278" s="74">
        <f t="shared" si="136"/>
        <v>32.25</v>
      </c>
      <c r="F278" s="114">
        <v>30</v>
      </c>
      <c r="G278" s="74">
        <f t="shared" si="137"/>
        <v>27.75</v>
      </c>
      <c r="H278" s="74">
        <f t="shared" si="138"/>
        <v>25.5</v>
      </c>
      <c r="I278" s="74">
        <f t="shared" si="139"/>
        <v>23.25</v>
      </c>
      <c r="J278" s="114">
        <f t="shared" si="140"/>
        <v>21</v>
      </c>
      <c r="K278" s="74">
        <f t="shared" si="141"/>
        <v>19.3125</v>
      </c>
      <c r="L278" s="74">
        <f t="shared" si="142"/>
        <v>17.625</v>
      </c>
      <c r="M278" s="74">
        <f t="shared" si="143"/>
        <v>15.9375</v>
      </c>
      <c r="N278" s="114">
        <f t="shared" si="157"/>
        <v>14.25</v>
      </c>
      <c r="O278" s="74">
        <f>SUM(0.25*(R278-N278),N278)</f>
        <v>14.9375</v>
      </c>
      <c r="P278" s="74">
        <f>SUM(0.5*(R278-N278),N278)</f>
        <v>15.625</v>
      </c>
      <c r="Q278" s="74">
        <f>SUM(0.75*(R278-N278),N278)</f>
        <v>16.3125</v>
      </c>
      <c r="R278" s="114">
        <v>17</v>
      </c>
      <c r="S278" s="129"/>
      <c r="T278" s="117">
        <f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15.972261538461538</v>
      </c>
      <c r="U278" s="117">
        <f>Lefty!T278</f>
        <v>15.198538461538462</v>
      </c>
    </row>
    <row r="279" spans="2:21">
      <c r="B279" s="114"/>
      <c r="C279" s="74"/>
      <c r="D279" s="74"/>
      <c r="E279" s="74"/>
      <c r="F279" s="114"/>
      <c r="G279" s="74"/>
      <c r="H279" s="74"/>
      <c r="I279" s="74"/>
      <c r="J279" s="114"/>
      <c r="K279" s="74"/>
      <c r="L279" s="74"/>
      <c r="M279" s="74"/>
      <c r="N279" s="114"/>
      <c r="O279" s="74"/>
      <c r="P279" s="74"/>
      <c r="Q279" s="74"/>
      <c r="R279" s="114"/>
      <c r="S279" s="129"/>
    </row>
    <row r="280" spans="2:21">
      <c r="B280" s="114">
        <v>36</v>
      </c>
      <c r="C280" s="74">
        <f t="shared" si="134"/>
        <v>34.75</v>
      </c>
      <c r="D280" s="74">
        <f t="shared" si="135"/>
        <v>33.5</v>
      </c>
      <c r="E280" s="74">
        <f t="shared" si="136"/>
        <v>32.25</v>
      </c>
      <c r="F280" s="114">
        <v>31</v>
      </c>
      <c r="G280" s="74">
        <f t="shared" si="137"/>
        <v>29.75</v>
      </c>
      <c r="H280" s="74">
        <f t="shared" si="138"/>
        <v>28.5</v>
      </c>
      <c r="I280" s="74">
        <f t="shared" si="139"/>
        <v>27.25</v>
      </c>
      <c r="J280" s="114">
        <f t="shared" si="140"/>
        <v>26</v>
      </c>
      <c r="K280" s="74">
        <f t="shared" si="141"/>
        <v>25.0625</v>
      </c>
      <c r="L280" s="74">
        <f t="shared" si="142"/>
        <v>24.125</v>
      </c>
      <c r="M280" s="74">
        <f t="shared" si="143"/>
        <v>23.1875</v>
      </c>
      <c r="N280" s="114">
        <f t="shared" si="157"/>
        <v>22.25</v>
      </c>
      <c r="O280" s="74">
        <f>SUM(0.25*(R280-N280),N280)</f>
        <v>20.9375</v>
      </c>
      <c r="P280" s="74">
        <f>SUM(0.5*(R280-N280),N280)</f>
        <v>19.625</v>
      </c>
      <c r="Q280" s="74">
        <f>SUM(0.75*(R280-N280),N280)</f>
        <v>18.3125</v>
      </c>
      <c r="R280" s="114">
        <v>17</v>
      </c>
      <c r="S280" s="129"/>
      <c r="T280" s="117">
        <f>SUM((AJ20+AK20+AL19+AM19+AQ17+AR17+AS16+AT16+AX14+AY14+BC12+BD12+BH10+BI10+BM8+BN8+BO7+BP7+BQ6+BR6+BS5+BT5+BU4+BV4)*-0.132/2,(AN18+AO18+AP18+AU15+AV15+AW15+AZ13+BA13+BB13+BE11+BF11+BG11+BJ9+BK9+BL9)*-0.132/3,17)</f>
        <v>15.468461538461538</v>
      </c>
      <c r="U280" s="117">
        <f>Lefty!T280</f>
        <v>14.461538461538462</v>
      </c>
    </row>
    <row r="281" spans="2:21">
      <c r="B281" s="114">
        <v>37</v>
      </c>
      <c r="C281" s="74">
        <f t="shared" si="134"/>
        <v>35.5</v>
      </c>
      <c r="D281" s="74">
        <f t="shared" si="135"/>
        <v>34</v>
      </c>
      <c r="E281" s="74">
        <f t="shared" si="136"/>
        <v>32.5</v>
      </c>
      <c r="F281" s="114">
        <v>31</v>
      </c>
      <c r="G281" s="74">
        <f t="shared" si="137"/>
        <v>29.5</v>
      </c>
      <c r="H281" s="74">
        <f t="shared" si="138"/>
        <v>28</v>
      </c>
      <c r="I281" s="74">
        <f t="shared" si="139"/>
        <v>26.5</v>
      </c>
      <c r="J281" s="114">
        <f t="shared" si="140"/>
        <v>25</v>
      </c>
      <c r="K281" s="74">
        <f t="shared" si="141"/>
        <v>23.875</v>
      </c>
      <c r="L281" s="74">
        <f t="shared" si="142"/>
        <v>22.75</v>
      </c>
      <c r="M281" s="74">
        <f t="shared" si="143"/>
        <v>21.625</v>
      </c>
      <c r="N281" s="114">
        <f t="shared" si="157"/>
        <v>20.5</v>
      </c>
      <c r="O281" s="74">
        <f>SUM(0.25*(R281-N281),N281)</f>
        <v>19.625</v>
      </c>
      <c r="P281" s="74">
        <f>SUM(0.5*(R281-N281),N281)</f>
        <v>18.75</v>
      </c>
      <c r="Q281" s="74">
        <f>SUM(0.75*(R281-N281),N281)</f>
        <v>17.875</v>
      </c>
      <c r="R281" s="114">
        <v>17</v>
      </c>
      <c r="S281" s="129"/>
      <c r="T281" s="117">
        <f>SUM((AH20+AI20+AM18+AN18)*-0.132/2,(AJ19+AK19+AL19+AO17+AP17+AQ17+AR16+AS16+AT16+AU15+AV15+AW15+AX14+AY14+AZ14+BA13+BB13+BC13+BD12+BE12+BF12+BG11+BH11+BI11+BL9+BM9+BN9)*-0.132/3,(BJ10+BK10+BO8+BP8++BS5+BT5+BU4+BV4)*-0.132/2,(BQ7+BR6)*-0.132,17)</f>
        <v>15.490461538461538</v>
      </c>
      <c r="U281" s="117">
        <f>Lefty!T281</f>
        <v>14.791538461538462</v>
      </c>
    </row>
    <row r="282" spans="2:21">
      <c r="B282" s="114">
        <v>38</v>
      </c>
      <c r="C282" s="74">
        <f t="shared" si="134"/>
        <v>36.25</v>
      </c>
      <c r="D282" s="74">
        <f t="shared" si="135"/>
        <v>34.5</v>
      </c>
      <c r="E282" s="74">
        <f t="shared" si="136"/>
        <v>32.75</v>
      </c>
      <c r="F282" s="114">
        <v>31</v>
      </c>
      <c r="G282" s="74">
        <f t="shared" si="137"/>
        <v>29.25</v>
      </c>
      <c r="H282" s="74">
        <f t="shared" si="138"/>
        <v>27.5</v>
      </c>
      <c r="I282" s="74">
        <f t="shared" si="139"/>
        <v>25.75</v>
      </c>
      <c r="J282" s="114">
        <f t="shared" si="140"/>
        <v>24</v>
      </c>
      <c r="K282" s="74">
        <f t="shared" si="141"/>
        <v>22.6875</v>
      </c>
      <c r="L282" s="74">
        <f t="shared" si="142"/>
        <v>21.375</v>
      </c>
      <c r="M282" s="74">
        <f t="shared" si="143"/>
        <v>20.0625</v>
      </c>
      <c r="N282" s="114">
        <f t="shared" si="157"/>
        <v>18.75</v>
      </c>
      <c r="O282" s="74">
        <f>SUM(0.25*(R282-N282),N282)</f>
        <v>18.3125</v>
      </c>
      <c r="P282" s="74">
        <f>SUM(0.5*(R282-N282),N282)</f>
        <v>17.875</v>
      </c>
      <c r="Q282" s="74">
        <f>SUM(0.75*(R282-N282),N282)</f>
        <v>17.4375</v>
      </c>
      <c r="R282" s="114">
        <v>17</v>
      </c>
      <c r="S282" s="129"/>
      <c r="T282" s="117">
        <f>SUM((AF20+AG20+AH20+AI19+AJ19+AK19+AL18+AM18+AN18+AO17+AP17+AQ17+AR16+AS16+AT16+AY14+AZ14+BA14+BF12+BG12+BH12+BI11+BJ11+BK11+BL10+BM10+BN10+BO9+BP9+BQ9+BR8+BS8+BT8)*-0.132/3,(AU15+AV15+AW15+AX15+BB13+BC13+BD13+BE13)*-0.132/4,(BU7+BU6+BV5+BV4)*-0.132,17)</f>
        <v>15.908461538461538</v>
      </c>
      <c r="U282" s="117">
        <f>Lefty!T282</f>
        <v>15.033538461538461</v>
      </c>
    </row>
    <row r="283" spans="2:21">
      <c r="B283" s="114">
        <v>39</v>
      </c>
      <c r="C283" s="74">
        <f t="shared" si="134"/>
        <v>37</v>
      </c>
      <c r="D283" s="74">
        <f t="shared" si="135"/>
        <v>35</v>
      </c>
      <c r="E283" s="74">
        <f t="shared" si="136"/>
        <v>33</v>
      </c>
      <c r="F283" s="114">
        <v>31</v>
      </c>
      <c r="G283" s="74">
        <f t="shared" si="137"/>
        <v>29</v>
      </c>
      <c r="H283" s="74">
        <f t="shared" si="138"/>
        <v>27</v>
      </c>
      <c r="I283" s="74">
        <f t="shared" si="139"/>
        <v>25</v>
      </c>
      <c r="J283" s="114">
        <f t="shared" si="140"/>
        <v>23</v>
      </c>
      <c r="K283" s="74">
        <f t="shared" si="141"/>
        <v>21.5</v>
      </c>
      <c r="L283" s="74">
        <f t="shared" si="142"/>
        <v>20</v>
      </c>
      <c r="M283" s="74">
        <f t="shared" si="143"/>
        <v>18.5</v>
      </c>
      <c r="N283" s="114">
        <f t="shared" si="157"/>
        <v>17</v>
      </c>
      <c r="O283" s="74">
        <f>SUM(0.25*(R283-N283),N283)</f>
        <v>17</v>
      </c>
      <c r="P283" s="74">
        <f>SUM(0.5*(R283-N283),N283)</f>
        <v>17</v>
      </c>
      <c r="Q283" s="74">
        <f>SUM(0.75*(R283-N283),N283)</f>
        <v>17</v>
      </c>
      <c r="R283" s="114">
        <v>17</v>
      </c>
      <c r="S283" s="129"/>
      <c r="T283" s="117">
        <f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15.798461538461538</v>
      </c>
      <c r="U283" s="117">
        <f>Lefty!T283</f>
        <v>14.923538461538461</v>
      </c>
    </row>
    <row r="284" spans="2:21">
      <c r="B284" s="114"/>
      <c r="C284" s="74"/>
      <c r="D284" s="74"/>
      <c r="E284" s="74"/>
      <c r="F284" s="114"/>
      <c r="G284" s="74"/>
      <c r="H284" s="74"/>
      <c r="I284" s="74"/>
      <c r="J284" s="114"/>
      <c r="K284" s="74"/>
      <c r="L284" s="74"/>
      <c r="M284" s="74"/>
      <c r="N284" s="114"/>
      <c r="O284" s="74"/>
      <c r="P284" s="74"/>
      <c r="Q284" s="74"/>
      <c r="R284" s="114"/>
      <c r="S284" s="129"/>
    </row>
    <row r="285" spans="2:21">
      <c r="B285" s="114">
        <v>37</v>
      </c>
      <c r="C285" s="74">
        <f t="shared" si="134"/>
        <v>35.75</v>
      </c>
      <c r="D285" s="74">
        <f t="shared" si="135"/>
        <v>34.5</v>
      </c>
      <c r="E285" s="74">
        <f t="shared" si="136"/>
        <v>33.25</v>
      </c>
      <c r="F285" s="114">
        <v>32</v>
      </c>
      <c r="G285" s="74">
        <f t="shared" si="137"/>
        <v>30.75</v>
      </c>
      <c r="H285" s="74">
        <f t="shared" si="138"/>
        <v>29.5</v>
      </c>
      <c r="I285" s="74">
        <f t="shared" si="139"/>
        <v>28.25</v>
      </c>
      <c r="J285" s="114">
        <f t="shared" si="140"/>
        <v>27</v>
      </c>
      <c r="K285" s="74">
        <f t="shared" si="141"/>
        <v>25.75</v>
      </c>
      <c r="L285" s="74">
        <f t="shared" si="142"/>
        <v>24.5</v>
      </c>
      <c r="M285" s="74">
        <f t="shared" si="143"/>
        <v>23.25</v>
      </c>
      <c r="N285" s="114">
        <f>SUM(J285,J285,-F285)</f>
        <v>22</v>
      </c>
      <c r="O285" s="74">
        <f>SUM(0.25*(R285-N285),N285)</f>
        <v>20.75</v>
      </c>
      <c r="P285" s="74">
        <f>SUM(0.5*(R285-N285),N285)</f>
        <v>19.5</v>
      </c>
      <c r="Q285" s="74">
        <f>SUM(0.75*(R285-N285),N285)</f>
        <v>18.25</v>
      </c>
      <c r="R285" s="114">
        <v>17</v>
      </c>
      <c r="S285" s="129"/>
      <c r="T285" s="117">
        <f>SUM((AH20+AI20+AJ19+AK19+AO17+AP17+AQ16+AR16+AV14+AW14+BA12+BB12+BF10+BG10+BK8+BL8+BP6+BQ6+BU4+BV4)*-0.132/2,(AL18+AM18+AN18+AS15+AT15+AU15+AX13+AY13+AZ13+BC11+BD11+BE11+BH9+BI9+BJ9+BM7+BN7+BO7+BR5+BS5+BT5)*-0.132/3,17)</f>
        <v>15.534461538461539</v>
      </c>
      <c r="U285" s="117">
        <f>Lefty!T285</f>
        <v>14.703538461538463</v>
      </c>
    </row>
    <row r="286" spans="2:21">
      <c r="B286" s="114">
        <v>38</v>
      </c>
      <c r="C286" s="74">
        <f t="shared" si="134"/>
        <v>36.5</v>
      </c>
      <c r="D286" s="74">
        <f t="shared" si="135"/>
        <v>35</v>
      </c>
      <c r="E286" s="74">
        <f t="shared" si="136"/>
        <v>33.5</v>
      </c>
      <c r="F286" s="114">
        <v>32</v>
      </c>
      <c r="G286" s="74">
        <f t="shared" si="137"/>
        <v>30.5</v>
      </c>
      <c r="H286" s="74">
        <f t="shared" si="138"/>
        <v>29</v>
      </c>
      <c r="I286" s="74">
        <f t="shared" si="139"/>
        <v>27.5</v>
      </c>
      <c r="J286" s="114">
        <f t="shared" si="140"/>
        <v>26</v>
      </c>
      <c r="K286" s="74">
        <f t="shared" si="141"/>
        <v>24.875</v>
      </c>
      <c r="L286" s="74">
        <f t="shared" si="142"/>
        <v>23.75</v>
      </c>
      <c r="M286" s="74">
        <f t="shared" si="143"/>
        <v>22.625</v>
      </c>
      <c r="N286" s="114">
        <f t="shared" si="157"/>
        <v>21.5</v>
      </c>
      <c r="O286" s="74">
        <f>SUM(0.25*(R286-N286),N286)</f>
        <v>20.375</v>
      </c>
      <c r="P286" s="74">
        <f>SUM(0.5*(R286-N286),N286)</f>
        <v>19.25</v>
      </c>
      <c r="Q286" s="74">
        <f>SUM(0.75*(R286-N286),N286)</f>
        <v>18.125</v>
      </c>
      <c r="R286" s="114">
        <v>17</v>
      </c>
      <c r="S286" s="129"/>
      <c r="T286" s="117">
        <f>SUM((AF20+AG20+AK18+AL18)*-0.132/2,(AH19+AI19+AJ19+AM17+AN17+AO17+AP16+AQ16+AR16+AS15+AT15+AU15+AV14+AW14+AX14+AY13+AZ13+BA13+BB12+BC12+BD12+BE11+BF11+BG11+BJ9+BK9+BL9)*-0.132/3,(BH10+BI10+BM8+BN8+BO7+BP7+BQ6+BR6+BS5+BT5+BU4+BV4)*-0.132/2,17)</f>
        <v>15.798461538461538</v>
      </c>
      <c r="U286" s="117">
        <f>Lefty!T286</f>
        <v>14.703538461538461</v>
      </c>
    </row>
    <row r="287" spans="2:21">
      <c r="B287" s="114">
        <v>39</v>
      </c>
      <c r="C287" s="74">
        <f t="shared" si="134"/>
        <v>37.25</v>
      </c>
      <c r="D287" s="74">
        <f t="shared" si="135"/>
        <v>35.5</v>
      </c>
      <c r="E287" s="74">
        <f t="shared" si="136"/>
        <v>33.75</v>
      </c>
      <c r="F287" s="114">
        <v>32</v>
      </c>
      <c r="G287" s="74">
        <f t="shared" si="137"/>
        <v>30.25</v>
      </c>
      <c r="H287" s="74">
        <f t="shared" si="138"/>
        <v>28.5</v>
      </c>
      <c r="I287" s="74">
        <f t="shared" si="139"/>
        <v>26.75</v>
      </c>
      <c r="J287" s="114">
        <f t="shared" si="140"/>
        <v>25</v>
      </c>
      <c r="K287" s="74">
        <f t="shared" si="141"/>
        <v>23.6875</v>
      </c>
      <c r="L287" s="74">
        <f t="shared" si="142"/>
        <v>22.375</v>
      </c>
      <c r="M287" s="74">
        <f t="shared" si="143"/>
        <v>21.0625</v>
      </c>
      <c r="N287" s="114">
        <f t="shared" si="157"/>
        <v>19.75</v>
      </c>
      <c r="O287" s="74">
        <f>SUM(0.25*(R287-N287),N287)</f>
        <v>19.0625</v>
      </c>
      <c r="P287" s="74">
        <f>SUM(0.5*(R287-N287),N287)</f>
        <v>18.375</v>
      </c>
      <c r="Q287" s="74">
        <f>SUM(0.75*(R287-N287),N287)</f>
        <v>17.6875</v>
      </c>
      <c r="R287" s="114">
        <v>17</v>
      </c>
      <c r="S287" s="129"/>
      <c r="T287" s="117">
        <f>SUM((AD20+AE20+AF20+AG19+AH19+AI19+AJ18+AK18+AL18+AM17+AN17+AO17+AP16+AQ16+AR16+AW14+AX14+AY14+BD12+BE12+BF12+BG11+BH11+BI11+BJ10+BK10+BL10+BM9+BN9+BO9+BP8+BQ8+BR8)*-0.132/3,(AS15+AT15+AU15+AV15+AZ13+BA13+BB13+BC13)*-0.132/4,(BS7+BT6+BU5+BV4)*-0.132,17)</f>
        <v>15.809461538461537</v>
      </c>
      <c r="U287" s="117">
        <f>Lefty!T287</f>
        <v>14.747538461538461</v>
      </c>
    </row>
    <row r="288" spans="2:21">
      <c r="B288" s="114"/>
      <c r="C288" s="74"/>
      <c r="D288" s="74"/>
      <c r="E288" s="74"/>
      <c r="F288" s="114"/>
      <c r="G288" s="74"/>
      <c r="H288" s="74"/>
      <c r="I288" s="74"/>
      <c r="J288" s="114"/>
      <c r="K288" s="74"/>
      <c r="L288" s="74"/>
      <c r="M288" s="74"/>
      <c r="N288" s="114"/>
      <c r="O288" s="74"/>
      <c r="P288" s="74"/>
      <c r="Q288" s="74"/>
      <c r="R288" s="114"/>
      <c r="S288" s="129"/>
    </row>
    <row r="289" spans="1:21">
      <c r="B289" s="114">
        <v>39</v>
      </c>
      <c r="C289" s="74">
        <f t="shared" si="134"/>
        <v>37.5</v>
      </c>
      <c r="D289" s="74">
        <f t="shared" si="135"/>
        <v>36</v>
      </c>
      <c r="E289" s="74">
        <f t="shared" si="136"/>
        <v>34.5</v>
      </c>
      <c r="F289" s="114">
        <v>33</v>
      </c>
      <c r="G289" s="74">
        <f t="shared" si="137"/>
        <v>31.5</v>
      </c>
      <c r="H289" s="74">
        <f t="shared" si="138"/>
        <v>30</v>
      </c>
      <c r="I289" s="74">
        <f t="shared" si="139"/>
        <v>28.5</v>
      </c>
      <c r="J289" s="114">
        <f t="shared" si="140"/>
        <v>27</v>
      </c>
      <c r="K289" s="74">
        <f t="shared" si="141"/>
        <v>25.875</v>
      </c>
      <c r="L289" s="74">
        <f t="shared" si="142"/>
        <v>24.75</v>
      </c>
      <c r="M289" s="74">
        <f t="shared" si="143"/>
        <v>23.625</v>
      </c>
      <c r="N289" s="114">
        <f t="shared" si="157"/>
        <v>22.5</v>
      </c>
      <c r="O289" s="74">
        <f>SUM(0.25*(R289-N289),N289)</f>
        <v>21.125</v>
      </c>
      <c r="P289" s="74">
        <f>SUM(0.5*(R289-N289),N289)</f>
        <v>19.75</v>
      </c>
      <c r="Q289" s="74">
        <f>SUM(0.75*(R289-N289),N289)</f>
        <v>18.375</v>
      </c>
      <c r="R289" s="114">
        <v>17</v>
      </c>
      <c r="S289" s="129"/>
      <c r="T289" s="117">
        <f>SUM((AD20+AE20+AI18+AJ18)*-0.132/2,(AF19+AG19+AH19+AK17+AL17+AM17+AN16+AO16+AP16+AQ15+AR15+AS15+AT14+AU14+AV14+AW13+AX13+AY13+AZ12+BA12+BB12+BC11+BD11+BE11+BH9+BI9+BJ9)*-0.132/3,(BF10+BG10+BK8+BL8)*-0.132/2,(BK7+BK6+BJ5+BJ4)*-0.132,17)</f>
        <v>16.062461538461537</v>
      </c>
      <c r="U289" s="117">
        <f>Lefty!T289</f>
        <v>15.033538461538463</v>
      </c>
    </row>
    <row r="291" spans="1:21">
      <c r="A291" s="84" t="s">
        <v>177</v>
      </c>
      <c r="B291" s="111">
        <f>COUNT(B11:B289)</f>
        <v>247</v>
      </c>
      <c r="C291" s="111" t="s">
        <v>182</v>
      </c>
      <c r="D291" s="111">
        <f>$B$291</f>
        <v>247</v>
      </c>
      <c r="E291" s="111" t="s">
        <v>181</v>
      </c>
      <c r="F291" s="111">
        <f>PRODUCT(B291,2)</f>
        <v>494</v>
      </c>
    </row>
    <row r="292" spans="1:21" ht="25.5">
      <c r="I292" s="116" t="s">
        <v>175</v>
      </c>
      <c r="M292" s="111"/>
      <c r="N292" s="112"/>
    </row>
    <row r="293" spans="1:21">
      <c r="M293" s="111"/>
      <c r="N293" s="112"/>
    </row>
    <row r="294" spans="1:21">
      <c r="M294" s="111"/>
      <c r="N294" s="112"/>
    </row>
    <row r="295" spans="1:21">
      <c r="B295" s="111" t="s">
        <v>127</v>
      </c>
      <c r="F295" s="113" t="s">
        <v>128</v>
      </c>
      <c r="M295" s="111" t="s">
        <v>129</v>
      </c>
      <c r="N295" s="112"/>
    </row>
    <row r="296" spans="1:21">
      <c r="A296" s="112" t="s">
        <v>126</v>
      </c>
      <c r="B296" s="114">
        <v>0</v>
      </c>
      <c r="C296" s="74">
        <f t="shared" ref="C296" si="158">SUM(0.25*(F296-B296),B296)</f>
        <v>3.75</v>
      </c>
      <c r="D296" s="74">
        <f t="shared" ref="D296" si="159">SUM(0.5*(F296-B296)+B296)</f>
        <v>7.5</v>
      </c>
      <c r="E296" s="74">
        <f t="shared" ref="E296" si="160">SUM(0.75*(F296-B296),B296)</f>
        <v>11.25</v>
      </c>
      <c r="F296" s="114">
        <v>15</v>
      </c>
      <c r="G296" s="74">
        <f t="shared" ref="G296" si="161">SUM(0.25*(J296-F296),F296)</f>
        <v>18.75</v>
      </c>
      <c r="H296" s="74">
        <f t="shared" ref="H296" si="162">SUM(0.5*(J296-F296)+F296)</f>
        <v>22.5</v>
      </c>
      <c r="I296" s="74">
        <f t="shared" ref="I296" si="163">SUM(0.75*(J296-F296),F296)</f>
        <v>26.25</v>
      </c>
      <c r="J296" s="114">
        <v>30</v>
      </c>
      <c r="K296" s="74">
        <f t="shared" ref="K296" si="164">SUM(0.25*(N296-J296),J296)</f>
        <v>33.75</v>
      </c>
      <c r="L296" s="74">
        <f t="shared" ref="L296" si="165">SUM(0.5*(N296-J296)+J296)</f>
        <v>37.5</v>
      </c>
      <c r="M296" s="114">
        <f t="shared" ref="M296" si="166">SUM(0.75*(N296-J296),J296)</f>
        <v>41.25</v>
      </c>
      <c r="N296" s="115">
        <v>45</v>
      </c>
      <c r="O296" s="74">
        <f>SUM(0.25*(R296-N296),N296)</f>
        <v>48.75</v>
      </c>
      <c r="P296" s="74">
        <f>SUM(0.5*(R296-N296)+N296)</f>
        <v>52.5</v>
      </c>
      <c r="Q296" s="74">
        <f>SUM(0.75*(R296-N296),N296)</f>
        <v>56.25</v>
      </c>
      <c r="R296" s="114">
        <v>60</v>
      </c>
      <c r="S296" s="129"/>
    </row>
    <row r="297" spans="1:21">
      <c r="B297" s="114"/>
      <c r="C297" s="74"/>
      <c r="D297" s="74"/>
      <c r="E297" s="74"/>
      <c r="F297" s="114"/>
      <c r="G297" s="74"/>
      <c r="H297" s="74"/>
      <c r="I297" s="74"/>
      <c r="J297" s="114"/>
      <c r="K297" s="74"/>
      <c r="L297" s="74"/>
      <c r="M297" s="114"/>
      <c r="N297" s="115"/>
      <c r="O297" s="74"/>
      <c r="P297" s="74"/>
      <c r="Q297" s="74"/>
      <c r="R297" s="114"/>
      <c r="S297" s="129"/>
    </row>
    <row r="298" spans="1:21">
      <c r="A298" s="112" t="s">
        <v>125</v>
      </c>
      <c r="B298" s="114">
        <v>3.5</v>
      </c>
      <c r="C298" s="74">
        <v>7</v>
      </c>
      <c r="D298" s="74">
        <v>10.5</v>
      </c>
      <c r="E298" s="74">
        <v>14</v>
      </c>
      <c r="F298" s="114">
        <v>17.5</v>
      </c>
      <c r="G298" s="74">
        <v>21</v>
      </c>
      <c r="H298" s="74">
        <v>24.5</v>
      </c>
      <c r="I298" s="74">
        <v>28</v>
      </c>
      <c r="J298" s="114">
        <v>31.5</v>
      </c>
      <c r="K298" s="74">
        <v>35</v>
      </c>
      <c r="L298" s="74">
        <v>38.5</v>
      </c>
      <c r="M298" s="114">
        <v>42</v>
      </c>
      <c r="N298" s="115">
        <v>45.5</v>
      </c>
      <c r="O298" s="74">
        <v>49</v>
      </c>
      <c r="P298" s="74">
        <v>52.5</v>
      </c>
      <c r="Q298" s="74">
        <v>56</v>
      </c>
      <c r="R298" s="114">
        <v>58.5</v>
      </c>
      <c r="S298" s="129"/>
    </row>
    <row r="299" spans="1:21">
      <c r="B299" s="114"/>
      <c r="C299" s="74"/>
      <c r="D299" s="74"/>
      <c r="E299" s="74"/>
      <c r="F299" s="114"/>
      <c r="G299" s="74"/>
      <c r="H299" s="74"/>
      <c r="I299" s="74"/>
      <c r="J299" s="114"/>
      <c r="K299" s="74"/>
      <c r="L299" s="74"/>
      <c r="M299" s="114"/>
      <c r="N299" s="115"/>
      <c r="O299" s="74"/>
      <c r="P299" s="74"/>
      <c r="Q299" s="74"/>
      <c r="R299" s="114"/>
      <c r="S299" s="129"/>
    </row>
    <row r="300" spans="1:21">
      <c r="A300" s="112"/>
      <c r="B300" s="114"/>
      <c r="C300" s="74"/>
      <c r="D300" s="74"/>
      <c r="E300" s="74"/>
      <c r="F300" s="114"/>
      <c r="G300" s="74"/>
      <c r="H300" s="74"/>
      <c r="I300" s="74"/>
      <c r="J300" s="114"/>
      <c r="K300" s="74"/>
      <c r="L300" s="74"/>
      <c r="M300" s="114"/>
      <c r="N300" s="115"/>
      <c r="O300" s="74"/>
      <c r="P300" s="74"/>
      <c r="Q300" s="74"/>
      <c r="R300" s="114"/>
      <c r="S300" s="129"/>
    </row>
    <row r="301" spans="1:21">
      <c r="A301" s="112"/>
      <c r="B301" s="114"/>
      <c r="C301" s="74"/>
      <c r="D301" s="74"/>
      <c r="E301" s="74"/>
      <c r="F301" s="114"/>
      <c r="G301" s="74"/>
      <c r="H301" s="74"/>
      <c r="I301" s="74"/>
      <c r="J301" s="114"/>
      <c r="K301" s="74"/>
      <c r="L301" s="74"/>
      <c r="M301" s="114"/>
      <c r="N301" s="115"/>
      <c r="O301" s="74"/>
      <c r="P301" s="74"/>
      <c r="Q301" s="74"/>
      <c r="R301" s="114"/>
      <c r="S301" s="129"/>
    </row>
    <row r="302" spans="1:21">
      <c r="B302" s="114">
        <v>1</v>
      </c>
      <c r="C302" s="74">
        <f t="shared" ref="C302:C358" si="167">SUM(0.25*(F302-B302),B302)</f>
        <v>1</v>
      </c>
      <c r="D302" s="74">
        <f t="shared" ref="D302:D358" si="168">SUM(0.5*(F302-B302)+B302)</f>
        <v>1</v>
      </c>
      <c r="E302" s="74">
        <f t="shared" ref="E302:E358" si="169">SUM(0.75*(F302-B302),B302)</f>
        <v>1</v>
      </c>
      <c r="F302" s="114">
        <v>1</v>
      </c>
      <c r="G302" s="74">
        <f t="shared" ref="G302:G358" si="170">SUM(0.25*(J302-F302),F302)</f>
        <v>1</v>
      </c>
      <c r="H302" s="74">
        <f t="shared" ref="H302:H358" si="171">SUM(0.5*(J302-F302),F302)</f>
        <v>1</v>
      </c>
      <c r="I302" s="74">
        <f t="shared" ref="I302:I358" si="172">SUM(0.75*(J302-F302),F302)</f>
        <v>1</v>
      </c>
      <c r="J302" s="114">
        <f t="shared" ref="J302:J358" si="173">SUM(F302,-B302,F302)</f>
        <v>1</v>
      </c>
      <c r="K302" s="74">
        <f t="shared" ref="K302:K308" si="174">SUM(0.333*(M302-J302),J302)</f>
        <v>1.7991999999999999</v>
      </c>
      <c r="L302" s="74">
        <f>SUM(0.666*(M302-J302),J302)</f>
        <v>2.5983999999999998</v>
      </c>
      <c r="M302" s="114">
        <f>SUM(J302,-F302,J302,0.2*ABS(J302-F302),0.15*(17-F302))</f>
        <v>3.4</v>
      </c>
      <c r="N302" s="115">
        <f>SUM(0.2*(R302-M302),M302)</f>
        <v>6.12</v>
      </c>
      <c r="O302" s="74">
        <f>SUM(0.4*(R302-M302),M302)</f>
        <v>8.84</v>
      </c>
      <c r="P302" s="74">
        <f>SUM(0.6*(R302-M302),M302)</f>
        <v>11.56</v>
      </c>
      <c r="Q302" s="74">
        <f>SUM(0.8*(R302-M302),M302)</f>
        <v>14.280000000000001</v>
      </c>
      <c r="R302" s="114">
        <v>17</v>
      </c>
      <c r="S302" s="129"/>
      <c r="T302" s="117">
        <f>SUM((DB20+DB19+DB18+DB17+DB16+DB15+DB14+DB13+DB12+DA11)*-0.132,(CZ10+CY10+CX9+CW9)*-0.132/2,(CV8+CU8+CT8+CS8+CR8+CQ8+CP7+CO7+CN7+CM7+CL7+CK7)*-0.132/6,(CJ6+CI6+CH6+CG6+CF6+CE5+CD5+CC5+CB5+CA5+BZ4+BY4+BX4+BW4+BV4)*-0.132/5,17)</f>
        <v>18.592461538461539</v>
      </c>
      <c r="U302" s="117">
        <f>Lefty!T302</f>
        <v>16.86393846153846</v>
      </c>
    </row>
    <row r="303" spans="1:21">
      <c r="B303" s="114"/>
      <c r="C303" s="74"/>
      <c r="D303" s="74"/>
      <c r="E303" s="74"/>
      <c r="F303" s="114"/>
      <c r="G303" s="74"/>
      <c r="H303" s="74"/>
      <c r="I303" s="74"/>
      <c r="J303" s="114"/>
      <c r="K303" s="74"/>
      <c r="L303" s="74"/>
      <c r="M303" s="114"/>
      <c r="N303" s="115"/>
      <c r="O303" s="74"/>
      <c r="P303" s="74"/>
      <c r="Q303" s="74"/>
      <c r="R303" s="114"/>
      <c r="S303" s="129"/>
    </row>
    <row r="304" spans="1:21">
      <c r="B304" s="114">
        <v>1</v>
      </c>
      <c r="C304" s="74">
        <f t="shared" si="167"/>
        <v>1.25</v>
      </c>
      <c r="D304" s="74">
        <f t="shared" si="168"/>
        <v>1.5</v>
      </c>
      <c r="E304" s="74">
        <f t="shared" si="169"/>
        <v>1.75</v>
      </c>
      <c r="F304" s="114">
        <v>2</v>
      </c>
      <c r="G304" s="74">
        <f t="shared" si="170"/>
        <v>2.25</v>
      </c>
      <c r="H304" s="74">
        <f t="shared" si="171"/>
        <v>2.5</v>
      </c>
      <c r="I304" s="74">
        <f t="shared" si="172"/>
        <v>2.75</v>
      </c>
      <c r="J304" s="114">
        <f t="shared" si="173"/>
        <v>3</v>
      </c>
      <c r="K304" s="74">
        <f t="shared" si="174"/>
        <v>3.4662000000000002</v>
      </c>
      <c r="L304" s="74">
        <f t="shared" ref="L304:L366" si="175">SUM(0.666*(M304-J304),J304)</f>
        <v>3.9324000000000003</v>
      </c>
      <c r="M304" s="114">
        <f>SUM(J304,-F304,J304,0.4*ABS(J304-F304))</f>
        <v>4.4000000000000004</v>
      </c>
      <c r="N304" s="115">
        <f>SUM(0.2*(R304-M304),M304)</f>
        <v>6.92</v>
      </c>
      <c r="O304" s="74">
        <f>SUM(0.4*(R304-M304),M304)</f>
        <v>9.4400000000000013</v>
      </c>
      <c r="P304" s="74">
        <f>SUM(0.6*(R304-M304),M304)</f>
        <v>11.96</v>
      </c>
      <c r="Q304" s="74">
        <f>SUM(0.8*(R304-M304),M304)</f>
        <v>14.48</v>
      </c>
      <c r="R304" s="114">
        <v>17</v>
      </c>
      <c r="S304" s="129"/>
      <c r="T304" s="117">
        <f>SUM((DB20+DA19+DA18+CZ17+CZ16+CY15+CY14+CX13+CX12+CW11+CW10+CV9)*-0.132,(CU8+CT8+CS8+CR8+CQ8+CP8)*-0.132/6,(CO7+CN7+CM7+CL7+CK7+CJ6+CI6+CH6+CG6+CF6+CE5+CD5+CC5+CB5+CA5+BZ4+BY4+BX4+BW4+BV4)*-0.132/5,17)</f>
        <v>17.994061538461537</v>
      </c>
      <c r="U304" s="117">
        <f>Lefty!T304</f>
        <v>16.74513846153846</v>
      </c>
    </row>
    <row r="305" spans="2:21">
      <c r="B305" s="114">
        <v>2</v>
      </c>
      <c r="C305" s="74">
        <f t="shared" si="167"/>
        <v>2</v>
      </c>
      <c r="D305" s="74">
        <f t="shared" si="168"/>
        <v>2</v>
      </c>
      <c r="E305" s="74">
        <f t="shared" si="169"/>
        <v>2</v>
      </c>
      <c r="F305" s="114">
        <v>2</v>
      </c>
      <c r="G305" s="74">
        <f t="shared" si="170"/>
        <v>2</v>
      </c>
      <c r="H305" s="74">
        <f t="shared" si="171"/>
        <v>2</v>
      </c>
      <c r="I305" s="74">
        <f t="shared" si="172"/>
        <v>2</v>
      </c>
      <c r="J305" s="114">
        <f t="shared" si="173"/>
        <v>2</v>
      </c>
      <c r="K305" s="74">
        <f t="shared" si="174"/>
        <v>2.74925</v>
      </c>
      <c r="L305" s="74">
        <f t="shared" si="175"/>
        <v>3.4984999999999999</v>
      </c>
      <c r="M305" s="114">
        <f>SUM(J305,-F305,J305,0.2*ABS(J305-F305),0.15*(17-F305))</f>
        <v>4.25</v>
      </c>
      <c r="N305" s="115">
        <f>SUM(0.2*(R305-M305),M305)</f>
        <v>6.8000000000000007</v>
      </c>
      <c r="O305" s="74">
        <f>SUM(0.4*(R305-M305),M305)</f>
        <v>9.3500000000000014</v>
      </c>
      <c r="P305" s="74">
        <f>SUM(0.6*(R305-M305),M305)</f>
        <v>11.899999999999999</v>
      </c>
      <c r="Q305" s="74">
        <f>SUM(0.8*(R305-M305),M305)</f>
        <v>14.450000000000001</v>
      </c>
      <c r="R305" s="114">
        <v>17</v>
      </c>
      <c r="S305" s="129"/>
      <c r="T305" s="117">
        <f>SUM((CZ20+CZ19+CZ18+CZ17+CZ16+CZ15+CZ14+CZ13+CZ12+CY11+CX10)*-0.132,(CW9+CV9)*-0.132/2,(CU8+CT8+CS8+CR8+CQ8+CP8)*-0.132/6,(CO7+CN7+CM7+CL7+CK7+CJ6+CI6+CH6+CG6+CF6+CE5+CD5+CC5+CB5+CA5+BZ4+BY4+BX4+BW4+BV4)*-0.132/5,17)</f>
        <v>17.532061538461537</v>
      </c>
      <c r="U305" s="117">
        <f>Lefty!T305</f>
        <v>15.557138461538461</v>
      </c>
    </row>
    <row r="306" spans="2:21">
      <c r="B306" s="114"/>
      <c r="C306" s="74"/>
      <c r="D306" s="74"/>
      <c r="E306" s="74"/>
      <c r="F306" s="114"/>
      <c r="G306" s="74"/>
      <c r="H306" s="74"/>
      <c r="I306" s="74"/>
      <c r="J306" s="114"/>
      <c r="K306" s="74"/>
      <c r="L306" s="74"/>
      <c r="M306" s="114"/>
      <c r="N306" s="115"/>
      <c r="O306" s="74"/>
      <c r="P306" s="74"/>
      <c r="Q306" s="74"/>
      <c r="R306" s="114"/>
      <c r="S306" s="129"/>
    </row>
    <row r="307" spans="2:21">
      <c r="B307" s="114">
        <v>1</v>
      </c>
      <c r="C307" s="74">
        <f t="shared" si="167"/>
        <v>1.5</v>
      </c>
      <c r="D307" s="74">
        <f t="shared" si="168"/>
        <v>2</v>
      </c>
      <c r="E307" s="74">
        <f t="shared" si="169"/>
        <v>2.5</v>
      </c>
      <c r="F307" s="114">
        <v>3</v>
      </c>
      <c r="G307" s="74">
        <f t="shared" si="170"/>
        <v>3.5</v>
      </c>
      <c r="H307" s="74">
        <f t="shared" si="171"/>
        <v>4</v>
      </c>
      <c r="I307" s="74">
        <f t="shared" si="172"/>
        <v>4.5</v>
      </c>
      <c r="J307" s="114">
        <f t="shared" si="173"/>
        <v>5</v>
      </c>
      <c r="K307" s="74">
        <f t="shared" si="174"/>
        <v>5.9324000000000003</v>
      </c>
      <c r="L307" s="74">
        <f t="shared" si="175"/>
        <v>6.8647999999999998</v>
      </c>
      <c r="M307" s="114">
        <f>SUM(J307,-F307,J307,0.4*ABS(J307-F307))</f>
        <v>7.8</v>
      </c>
      <c r="N307" s="115">
        <f>SUM(0.2*(R307-M307),M307)</f>
        <v>9.64</v>
      </c>
      <c r="O307" s="74">
        <f>SUM(0.4*(R307-M307),M307)</f>
        <v>11.48</v>
      </c>
      <c r="P307" s="74">
        <f>SUM(0.6*(R307-M307),M307)</f>
        <v>13.32</v>
      </c>
      <c r="Q307" s="74">
        <f>SUM(0.8*(R307-M307),M307)</f>
        <v>15.16</v>
      </c>
      <c r="R307" s="114">
        <v>17</v>
      </c>
      <c r="S307" s="129"/>
      <c r="T307" s="117">
        <f>SUM((DB20+DA19+CZ18+CY17+CX16+CW15+CV14+CU13+CT12+CS11)*-0.132,(CR10+CQ10+CP9+CO9)*-0.132/2,(CN8+CM8+CL8+CK8+CJ7+CI7+CH7+CG7+CF6+CE6+CD6+CC6+CB5+CA5+BZ5+BY5)*-0.132/4,(BX4+BW4+BV4)*-0.132/3,17)</f>
        <v>17.833461538461538</v>
      </c>
      <c r="U307" s="117">
        <f>Lefty!T307</f>
        <v>17.178538461538462</v>
      </c>
    </row>
    <row r="308" spans="2:21">
      <c r="B308" s="114">
        <v>2</v>
      </c>
      <c r="C308" s="74">
        <f t="shared" si="167"/>
        <v>2.25</v>
      </c>
      <c r="D308" s="74">
        <f t="shared" si="168"/>
        <v>2.5</v>
      </c>
      <c r="E308" s="74">
        <f t="shared" si="169"/>
        <v>2.75</v>
      </c>
      <c r="F308" s="114">
        <v>3</v>
      </c>
      <c r="G308" s="74">
        <f t="shared" si="170"/>
        <v>3.25</v>
      </c>
      <c r="H308" s="74">
        <f t="shared" si="171"/>
        <v>3.5</v>
      </c>
      <c r="I308" s="74">
        <f t="shared" si="172"/>
        <v>3.75</v>
      </c>
      <c r="J308" s="114">
        <f t="shared" si="173"/>
        <v>4</v>
      </c>
      <c r="K308" s="74">
        <f t="shared" si="174"/>
        <v>4.4662000000000006</v>
      </c>
      <c r="L308" s="74">
        <f t="shared" si="175"/>
        <v>4.9324000000000003</v>
      </c>
      <c r="M308" s="114">
        <f>SUM(J308,-F308,J308,0.4*ABS(J308-F308))</f>
        <v>5.4</v>
      </c>
      <c r="N308" s="115">
        <f>SUM(0.2*(R308-M308),M308)</f>
        <v>7.7200000000000006</v>
      </c>
      <c r="O308" s="74">
        <f>SUM(0.4*(R308-M308),M308)</f>
        <v>10.039999999999999</v>
      </c>
      <c r="P308" s="74">
        <f>SUM(0.6*(R308-M308),M308)</f>
        <v>12.36</v>
      </c>
      <c r="Q308" s="74">
        <f>SUM(0.8*(R308-M308),M308)</f>
        <v>14.68</v>
      </c>
      <c r="R308" s="114">
        <v>17</v>
      </c>
      <c r="S308" s="129"/>
      <c r="T308" s="117">
        <f>SUM((CZ20+CY19+CY18+CX17+CX16+CW15+CW14+CV13+CV12+CU11+CU10+CT9)*-0.132,(CS8+CR8+CQ8+CP8+CO8+CN7+CM7+CL7+CK7+CJ7+CI6+CH6+CG6+CF6+CE6+CD5+CC5+CB5+CA5+BZ5)*-0.132/5,(BY4+BX4+BW4+BV4)*-0.132/4,17)</f>
        <v>17.48366153846154</v>
      </c>
      <c r="U308" s="117">
        <f>Lefty!T308</f>
        <v>16.793538461538461</v>
      </c>
    </row>
    <row r="309" spans="2:21">
      <c r="B309" s="114">
        <v>3</v>
      </c>
      <c r="C309" s="74">
        <f t="shared" si="167"/>
        <v>3</v>
      </c>
      <c r="D309" s="74">
        <f t="shared" si="168"/>
        <v>3</v>
      </c>
      <c r="E309" s="74">
        <f t="shared" si="169"/>
        <v>3</v>
      </c>
      <c r="F309" s="114">
        <v>3</v>
      </c>
      <c r="G309" s="74">
        <f t="shared" si="170"/>
        <v>3</v>
      </c>
      <c r="H309" s="74">
        <f t="shared" si="171"/>
        <v>3</v>
      </c>
      <c r="I309" s="74">
        <f t="shared" si="172"/>
        <v>3</v>
      </c>
      <c r="J309" s="114">
        <f t="shared" si="173"/>
        <v>3</v>
      </c>
      <c r="K309" s="74">
        <f>SUM(0.333*(M309-J309),J309)</f>
        <v>3.6993</v>
      </c>
      <c r="L309" s="74">
        <f t="shared" si="175"/>
        <v>4.3986000000000001</v>
      </c>
      <c r="M309" s="114">
        <f>SUM(J309,-F309,J309,0.2*ABS(J309-F309),0.15*(17-F309))</f>
        <v>5.0999999999999996</v>
      </c>
      <c r="N309" s="115">
        <f>SUM(0.2*(R309-M309),M309)</f>
        <v>7.48</v>
      </c>
      <c r="O309" s="74">
        <f>SUM(0.4*(R309-M309),M309)</f>
        <v>9.86</v>
      </c>
      <c r="P309" s="74">
        <f>SUM(0.6*(R309-M309),M309)</f>
        <v>12.239999999999998</v>
      </c>
      <c r="Q309" s="74">
        <f>SUM(0.8*(R309-M309),M309)</f>
        <v>14.620000000000001</v>
      </c>
      <c r="R309" s="114">
        <v>17</v>
      </c>
      <c r="S309" s="129"/>
      <c r="T309" s="117">
        <f>SUM((CX20+CX19+CX18+CX17+CX16+CX15+CX14+CX13+CX12+CW11+CV10)*-0.132,(CU9+CT9)*-0.132/2,(CS8+CR8+CQ8+CP8+CO8+CN7+CM7+CL7+CK7+CJ7+CI6+CH6+CG6+CF6+CE6+CD5+CC5+CB5+CA5+BZ5)*-0.132/5,(BY4+BX4+BW4+BV4)*-0.132/4,17)</f>
        <v>17.94566153846154</v>
      </c>
      <c r="U309" s="117">
        <f>Lefty!T309</f>
        <v>17.189538461538461</v>
      </c>
    </row>
    <row r="310" spans="2:21">
      <c r="B310" s="114">
        <v>4</v>
      </c>
      <c r="C310" s="74">
        <f t="shared" si="167"/>
        <v>3.75</v>
      </c>
      <c r="D310" s="74">
        <f t="shared" si="168"/>
        <v>3.5</v>
      </c>
      <c r="E310" s="74">
        <f t="shared" si="169"/>
        <v>3.25</v>
      </c>
      <c r="F310" s="114">
        <v>3</v>
      </c>
      <c r="G310" s="74">
        <f t="shared" si="170"/>
        <v>2.75</v>
      </c>
      <c r="H310" s="74">
        <f t="shared" si="171"/>
        <v>2.5</v>
      </c>
      <c r="I310" s="74">
        <f t="shared" si="172"/>
        <v>2.25</v>
      </c>
      <c r="J310" s="114">
        <f t="shared" si="173"/>
        <v>2</v>
      </c>
      <c r="K310" s="74">
        <f t="shared" ref="K310:K373" si="176">SUM(0.333*(M310-J310),J310)</f>
        <v>1.8002</v>
      </c>
      <c r="L310" s="74">
        <f t="shared" si="175"/>
        <v>1.6004</v>
      </c>
      <c r="M310" s="114">
        <f>SUM(J310,-F310,J310,0.4*ABS(J310-F310))</f>
        <v>1.4</v>
      </c>
      <c r="N310" s="115">
        <f>SUM(0.2*(R310-M310),M310)</f>
        <v>4.5199999999999996</v>
      </c>
      <c r="O310" s="74">
        <f>SUM(0.4*(R310-M310),M310)</f>
        <v>7.6400000000000006</v>
      </c>
      <c r="P310" s="74">
        <f>SUM(0.6*(R310-M310),M310)</f>
        <v>10.76</v>
      </c>
      <c r="Q310" s="74">
        <f>SUM(0.8*(R310-M310),M310)</f>
        <v>13.88</v>
      </c>
      <c r="R310" s="114">
        <v>17</v>
      </c>
      <c r="S310" s="129"/>
      <c r="T310" s="117">
        <f>SUM((CV20+CW19+CW18+CX17+CX16+CY15+CY14+CZ13+CZ12+DA11+DA10+DA9)*-0.132,(CZ8+CY8+CX8+CW8+CV8+CU8+CT8)*-0.132/7,(CS7+CR7+CQ7+CP7+CO7+CN7+CM6+CL6+CK6+CJ6+CI6+CH6+CG5+CF5+CE5+CD5+CC5+CB5+CA4+BZ4+BY4+BX4+BW4+BV4)*-0.132/6,17)</f>
        <v>18.315890109890109</v>
      </c>
      <c r="U310" s="117">
        <f>Lefty!T310</f>
        <v>16.969538461538463</v>
      </c>
    </row>
    <row r="311" spans="2:21">
      <c r="B311" s="114"/>
      <c r="C311" s="74"/>
      <c r="D311" s="74"/>
      <c r="E311" s="74"/>
      <c r="F311" s="114"/>
      <c r="G311" s="74"/>
      <c r="H311" s="74"/>
      <c r="I311" s="74"/>
      <c r="J311" s="114"/>
      <c r="K311" s="74"/>
      <c r="L311" s="74"/>
      <c r="M311" s="114"/>
      <c r="N311" s="115"/>
      <c r="O311" s="74"/>
      <c r="P311" s="74"/>
      <c r="Q311" s="74"/>
      <c r="R311" s="114"/>
      <c r="S311" s="129"/>
    </row>
    <row r="312" spans="2:21">
      <c r="B312" s="114">
        <v>1</v>
      </c>
      <c r="C312" s="74">
        <f t="shared" si="167"/>
        <v>1.75</v>
      </c>
      <c r="D312" s="74">
        <f t="shared" si="168"/>
        <v>2.5</v>
      </c>
      <c r="E312" s="74">
        <f t="shared" si="169"/>
        <v>3.25</v>
      </c>
      <c r="F312" s="114">
        <v>4</v>
      </c>
      <c r="G312" s="74">
        <f t="shared" si="170"/>
        <v>4.75</v>
      </c>
      <c r="H312" s="74">
        <f t="shared" si="171"/>
        <v>5.5</v>
      </c>
      <c r="I312" s="74">
        <f t="shared" si="172"/>
        <v>6.25</v>
      </c>
      <c r="J312" s="114">
        <f t="shared" si="173"/>
        <v>7</v>
      </c>
      <c r="K312" s="74">
        <f t="shared" si="176"/>
        <v>8.3986000000000001</v>
      </c>
      <c r="L312" s="74">
        <f t="shared" si="175"/>
        <v>9.7972000000000001</v>
      </c>
      <c r="M312" s="114">
        <f>SUM(J312,-F312,J312,0.4*ABS(J312-F312))</f>
        <v>11.2</v>
      </c>
      <c r="N312" s="115">
        <f>SUM(0.2*(R312-M312),M312)</f>
        <v>12.36</v>
      </c>
      <c r="O312" s="74">
        <f>SUM(0.4*(R312-M312),M312)</f>
        <v>13.52</v>
      </c>
      <c r="P312" s="74">
        <f>SUM(0.6*(R312-M312),M312)</f>
        <v>14.68</v>
      </c>
      <c r="Q312" s="74">
        <f>SUM(0.8*(R312-M312),M312)</f>
        <v>15.84</v>
      </c>
      <c r="R312" s="114">
        <v>17</v>
      </c>
      <c r="S312" s="129"/>
      <c r="T312" s="117">
        <f>SUM((DB20+CY18+CV16+CS14+CP12)*-0.132,(DA19+CZ19+CX17+CW17+CU15+CT15+CR13+CQ13+CO11+CN11+CM10+CL10)*-0.132/2,(CK9+CJ9+CI9+CH8+CG8+CF8+CE7+CD7+CC7+CB6+CA6+BZ6)*-0.132/3,(BY5+BX5+BW4+BV4)*-0.132/2,17)</f>
        <v>18.306461538461537</v>
      </c>
      <c r="U312" s="117">
        <f>Lefty!T312</f>
        <v>17.56353846153846</v>
      </c>
    </row>
    <row r="313" spans="2:21">
      <c r="B313" s="114">
        <v>2</v>
      </c>
      <c r="C313" s="74">
        <f t="shared" si="167"/>
        <v>2.5</v>
      </c>
      <c r="D313" s="74">
        <f t="shared" si="168"/>
        <v>3</v>
      </c>
      <c r="E313" s="74">
        <f t="shared" si="169"/>
        <v>3.5</v>
      </c>
      <c r="F313" s="114">
        <v>4</v>
      </c>
      <c r="G313" s="74">
        <f t="shared" si="170"/>
        <v>4.5</v>
      </c>
      <c r="H313" s="74">
        <f t="shared" si="171"/>
        <v>5</v>
      </c>
      <c r="I313" s="74">
        <f t="shared" si="172"/>
        <v>5.5</v>
      </c>
      <c r="J313" s="114">
        <f t="shared" si="173"/>
        <v>6</v>
      </c>
      <c r="K313" s="74">
        <f t="shared" si="176"/>
        <v>6.9324000000000003</v>
      </c>
      <c r="L313" s="74">
        <f t="shared" si="175"/>
        <v>7.8648000000000007</v>
      </c>
      <c r="M313" s="114">
        <f>SUM(J313,-F313,J313,0.4*ABS(J313-F313))</f>
        <v>8.8000000000000007</v>
      </c>
      <c r="N313" s="115">
        <f>SUM(0.2*(R313-M313),M313)</f>
        <v>10.440000000000001</v>
      </c>
      <c r="O313" s="74">
        <f>SUM(0.4*(R313-M313),M313)</f>
        <v>12.08</v>
      </c>
      <c r="P313" s="74">
        <f>SUM(0.6*(R313-M313),M313)</f>
        <v>13.719999999999999</v>
      </c>
      <c r="Q313" s="74">
        <f>SUM(0.8*(R313-M313),M313)</f>
        <v>15.36</v>
      </c>
      <c r="R313" s="114">
        <v>17</v>
      </c>
      <c r="S313" s="129"/>
      <c r="T313" s="117">
        <f>SUM((CZ20+CY19+CX18+CW17+CV16+CU15+CT14+CS13+CR12+CQ11)*-0.132,(CP10+CO10+CN9+CM9)*-0.132/2,(CL8+CK8+CJ8+CI8+CH7+CG7+CF7+CE7)*-0.132/4,(CD6+CC6+CB6+CA5+BZ5+BY5+BX4+BW4+BV4)*-0.132/3,17)</f>
        <v>18.603461538461538</v>
      </c>
      <c r="U313" s="117">
        <f>Lefty!T313</f>
        <v>17.695538461538462</v>
      </c>
    </row>
    <row r="314" spans="2:21">
      <c r="B314" s="114">
        <v>3</v>
      </c>
      <c r="C314" s="74">
        <f t="shared" si="167"/>
        <v>3.25</v>
      </c>
      <c r="D314" s="74">
        <f t="shared" si="168"/>
        <v>3.5</v>
      </c>
      <c r="E314" s="74">
        <f t="shared" si="169"/>
        <v>3.75</v>
      </c>
      <c r="F314" s="114">
        <v>4</v>
      </c>
      <c r="G314" s="74">
        <f t="shared" si="170"/>
        <v>4.25</v>
      </c>
      <c r="H314" s="74">
        <f t="shared" si="171"/>
        <v>4.5</v>
      </c>
      <c r="I314" s="74">
        <f t="shared" si="172"/>
        <v>4.75</v>
      </c>
      <c r="J314" s="114">
        <f t="shared" si="173"/>
        <v>5</v>
      </c>
      <c r="K314" s="74">
        <f t="shared" si="176"/>
        <v>5.4662000000000006</v>
      </c>
      <c r="L314" s="74">
        <f t="shared" si="175"/>
        <v>5.9324000000000003</v>
      </c>
      <c r="M314" s="114">
        <f>SUM(J314,-F314,J314,0.4*ABS(J314-F314))</f>
        <v>6.4</v>
      </c>
      <c r="N314" s="115">
        <f>SUM(0.2*(R314-M314),M314)</f>
        <v>8.52</v>
      </c>
      <c r="O314" s="74">
        <f>SUM(0.4*(R314-M314),M314)</f>
        <v>10.64</v>
      </c>
      <c r="P314" s="74">
        <f>SUM(0.6*(R314-M314),M314)</f>
        <v>12.76</v>
      </c>
      <c r="Q314" s="74">
        <f>SUM(0.8*(R314-M314),M314)</f>
        <v>14.88</v>
      </c>
      <c r="R314" s="114">
        <v>17</v>
      </c>
      <c r="S314" s="129"/>
      <c r="T314" s="117">
        <f>SUM((CX20+CW19+CW18+CV17+CV16+CU15+CU14+CT13+CT12+CS11+CS10+CR9)*-0.132,(CQ8+CP8+CO8+CN8+CM8+CL7+CK7+CJ7+CI7+CH7)*-0.132/5,(CG6+CF6+CE6+CD6+CC5+CB5+CA5+BZ5+BY4+BX4+BW4+BV4)*-0.132/4,17)</f>
        <v>17.549661538461539</v>
      </c>
      <c r="U314" s="117">
        <f>Lefty!T314</f>
        <v>16.707738461538462</v>
      </c>
    </row>
    <row r="315" spans="2:21">
      <c r="B315" s="114">
        <v>4</v>
      </c>
      <c r="C315" s="74">
        <f t="shared" si="167"/>
        <v>4</v>
      </c>
      <c r="D315" s="74">
        <f t="shared" si="168"/>
        <v>4</v>
      </c>
      <c r="E315" s="74">
        <f t="shared" si="169"/>
        <v>4</v>
      </c>
      <c r="F315" s="114">
        <v>4</v>
      </c>
      <c r="G315" s="74">
        <f t="shared" si="170"/>
        <v>4</v>
      </c>
      <c r="H315" s="74">
        <f t="shared" si="171"/>
        <v>4</v>
      </c>
      <c r="I315" s="74">
        <f t="shared" si="172"/>
        <v>4</v>
      </c>
      <c r="J315" s="114">
        <f t="shared" si="173"/>
        <v>4</v>
      </c>
      <c r="K315" s="74">
        <f t="shared" si="176"/>
        <v>4.6493500000000001</v>
      </c>
      <c r="L315" s="74">
        <f t="shared" si="175"/>
        <v>5.2987000000000002</v>
      </c>
      <c r="M315" s="114">
        <f>SUM(J315,-F315,J315,0.2*ABS(J315-F315),0.15*(17-F315))</f>
        <v>5.95</v>
      </c>
      <c r="N315" s="115">
        <f>SUM(0.2*(R315-M315),M315)</f>
        <v>8.16</v>
      </c>
      <c r="O315" s="74">
        <f>SUM(0.4*(R315-M315),M315)</f>
        <v>10.370000000000001</v>
      </c>
      <c r="P315" s="74">
        <f>SUM(0.6*(R315-M315),M315)</f>
        <v>12.58</v>
      </c>
      <c r="Q315" s="74">
        <f>SUM(0.8*(R315-M315),M315)</f>
        <v>14.790000000000003</v>
      </c>
      <c r="R315" s="114">
        <v>17</v>
      </c>
      <c r="S315" s="129"/>
      <c r="T315" s="117">
        <f>SUM((CV20+CV19+CV18+CV17+CV16+CV15+CV14+CV13+CV12+CU11+CT10)*-0.132,(CS9+CR9)*-0.132/2,(CQ8+CP8+CO8+CN8+CM8+CL7+CK7+CJ7+CI7+CH7)*-0.132/5,(CG6+CF6+CE6+CD6+CC5+CB5+CA5+BZ5+BY4+BX4+BW4+BV4)*-0.132/4,17)</f>
        <v>18.341661538461537</v>
      </c>
      <c r="U315" s="117">
        <f>Lefty!T315</f>
        <v>17.23573846153846</v>
      </c>
    </row>
    <row r="316" spans="2:21">
      <c r="B316" s="114">
        <v>5</v>
      </c>
      <c r="C316" s="74">
        <f t="shared" si="167"/>
        <v>4.75</v>
      </c>
      <c r="D316" s="74">
        <f t="shared" si="168"/>
        <v>4.5</v>
      </c>
      <c r="E316" s="74">
        <f t="shared" si="169"/>
        <v>4.25</v>
      </c>
      <c r="F316" s="114">
        <v>4</v>
      </c>
      <c r="G316" s="74">
        <f t="shared" si="170"/>
        <v>3.75</v>
      </c>
      <c r="H316" s="74">
        <f t="shared" si="171"/>
        <v>3.5</v>
      </c>
      <c r="I316" s="74">
        <f t="shared" si="172"/>
        <v>3.25</v>
      </c>
      <c r="J316" s="114">
        <f t="shared" si="173"/>
        <v>3</v>
      </c>
      <c r="K316" s="74">
        <f t="shared" si="176"/>
        <v>2.8001999999999998</v>
      </c>
      <c r="L316" s="74">
        <f t="shared" si="175"/>
        <v>2.6004</v>
      </c>
      <c r="M316" s="114">
        <f>SUM(J316,-F316,J316,0.4*ABS(J316-F316))</f>
        <v>2.4</v>
      </c>
      <c r="N316" s="115">
        <f>SUM(0.2*(R316-M316),M316)</f>
        <v>5.32</v>
      </c>
      <c r="O316" s="74">
        <f>SUM(0.4*(R316-M316),M316)</f>
        <v>8.24</v>
      </c>
      <c r="P316" s="74">
        <f>SUM(0.6*(R316-M316),M316)</f>
        <v>11.16</v>
      </c>
      <c r="Q316" s="74">
        <f>SUM(0.8*(R316-M316),M316)</f>
        <v>14.08</v>
      </c>
      <c r="R316" s="114">
        <v>17</v>
      </c>
      <c r="S316" s="129"/>
      <c r="T316" s="117">
        <f>SUM((CT20+CU19+CU18+CV17+CV16+CW15+CW14+CX13+CX12+CY11+CY10+CZ9)*-0.132,(CY8+CX8+CW8+CV8+CU8+CT8+CS7+CR7+CQ7+CP7+CO7+CN7+CM6+CL6+CK6+CJ6+CI6+CH6+CG5+CF5+CE5+CD5+CC5+CB5+CA4+BZ4+BY4+BX4+BW4+BV4)*-0.132/6,17)</f>
        <v>18.460461538461537</v>
      </c>
      <c r="U316" s="117">
        <f>Lefty!T316</f>
        <v>16.59553846153846</v>
      </c>
    </row>
    <row r="317" spans="2:21">
      <c r="B317" s="114"/>
      <c r="C317" s="74"/>
      <c r="D317" s="74"/>
      <c r="E317" s="74"/>
      <c r="F317" s="114"/>
      <c r="G317" s="74"/>
      <c r="H317" s="74"/>
      <c r="I317" s="74"/>
      <c r="J317" s="114"/>
      <c r="K317" s="74"/>
      <c r="L317" s="74"/>
      <c r="M317" s="114"/>
      <c r="N317" s="115"/>
      <c r="O317" s="74"/>
      <c r="P317" s="74"/>
      <c r="Q317" s="74"/>
      <c r="R317" s="114"/>
      <c r="S317" s="129"/>
    </row>
    <row r="318" spans="2:21">
      <c r="B318" s="114">
        <v>1</v>
      </c>
      <c r="C318" s="74">
        <f t="shared" si="167"/>
        <v>2</v>
      </c>
      <c r="D318" s="74">
        <f t="shared" si="168"/>
        <v>3</v>
      </c>
      <c r="E318" s="74">
        <f t="shared" si="169"/>
        <v>4</v>
      </c>
      <c r="F318" s="114">
        <v>5</v>
      </c>
      <c r="G318" s="74">
        <f t="shared" si="170"/>
        <v>6</v>
      </c>
      <c r="H318" s="74">
        <f t="shared" si="171"/>
        <v>7</v>
      </c>
      <c r="I318" s="74">
        <f t="shared" si="172"/>
        <v>8</v>
      </c>
      <c r="J318" s="114">
        <f t="shared" si="173"/>
        <v>9</v>
      </c>
      <c r="K318" s="74">
        <f t="shared" si="176"/>
        <v>9.9990000000000006</v>
      </c>
      <c r="L318" s="74">
        <f t="shared" si="175"/>
        <v>10.998000000000001</v>
      </c>
      <c r="M318" s="114">
        <f>SUM(J318,J318-G318)</f>
        <v>12</v>
      </c>
      <c r="N318" s="115">
        <f t="shared" ref="N318:N324" si="177">SUM(0.2*(R318-M318),M318)</f>
        <v>13</v>
      </c>
      <c r="O318" s="74">
        <f t="shared" ref="O318:O324" si="178">SUM(0.4*(R318-M318),M318)</f>
        <v>14</v>
      </c>
      <c r="P318" s="74">
        <f t="shared" ref="P318:P324" si="179">SUM(0.6*(R318-M318),M318)</f>
        <v>15</v>
      </c>
      <c r="Q318" s="74">
        <f t="shared" ref="Q318:Q324" si="180">SUM(0.8*(R318-M318),M318)</f>
        <v>16</v>
      </c>
      <c r="R318" s="114">
        <v>17</v>
      </c>
      <c r="S318" s="129"/>
      <c r="T318" s="117">
        <f>SUM(DB20*-0.132,(DA19+CZ19+CY18+CX18+CW17+CV17+CU16+CT16+CS15+CR15+CQ14+CP14+CO13+CN13+CM12+CL12+CK11+CJ11+CI10+CH10+CG9+CF9+CE8+CD8+CC7+CB7+CA6+BZ6+BY5+BX5+BW4+BV4)*-0.132/2,17)</f>
        <v>18.856461538461538</v>
      </c>
      <c r="U318" s="117">
        <f>Lefty!T318</f>
        <v>17.651538461538461</v>
      </c>
    </row>
    <row r="319" spans="2:21">
      <c r="B319" s="114">
        <v>2</v>
      </c>
      <c r="C319" s="74">
        <f t="shared" si="167"/>
        <v>2.75</v>
      </c>
      <c r="D319" s="74">
        <f t="shared" si="168"/>
        <v>3.5</v>
      </c>
      <c r="E319" s="74">
        <f t="shared" si="169"/>
        <v>4.25</v>
      </c>
      <c r="F319" s="114">
        <v>5</v>
      </c>
      <c r="G319" s="74">
        <f t="shared" si="170"/>
        <v>5.75</v>
      </c>
      <c r="H319" s="74">
        <f t="shared" si="171"/>
        <v>6.5</v>
      </c>
      <c r="I319" s="74">
        <f t="shared" si="172"/>
        <v>7.25</v>
      </c>
      <c r="J319" s="114">
        <f t="shared" si="173"/>
        <v>8</v>
      </c>
      <c r="K319" s="74">
        <f t="shared" si="176"/>
        <v>9.3986000000000001</v>
      </c>
      <c r="L319" s="74">
        <f t="shared" si="175"/>
        <v>10.7972</v>
      </c>
      <c r="M319" s="114">
        <f>SUM(J319,-F319,J319,0.4*ABS(J319-F319))</f>
        <v>12.2</v>
      </c>
      <c r="N319" s="115">
        <f t="shared" si="177"/>
        <v>13.16</v>
      </c>
      <c r="O319" s="74">
        <f t="shared" si="178"/>
        <v>14.12</v>
      </c>
      <c r="P319" s="74">
        <f t="shared" si="179"/>
        <v>15.08</v>
      </c>
      <c r="Q319" s="74">
        <f t="shared" si="180"/>
        <v>16.04</v>
      </c>
      <c r="R319" s="114">
        <v>17</v>
      </c>
      <c r="S319" s="129"/>
      <c r="T319" s="117">
        <f>SUM((CZ20+CW18+CT16+CQ14+CN12)*-0.132,(CY19+CX19+CV17+CU17+CS15+CR15+CP13+CO13+CM11+CL11+CK10+CJ10)*-0.132/2,(CI9+CH9+CG9+CF8+CE8+CD8)*-0.132/3,(CC7+CB7+CA6+BZ6+BY5+BX5+BW4+BV4)*-0.132/2,17)</f>
        <v>18.328461538461539</v>
      </c>
      <c r="U319" s="117">
        <f>Lefty!T319</f>
        <v>17.607538461538461</v>
      </c>
    </row>
    <row r="320" spans="2:21">
      <c r="B320" s="114">
        <v>3</v>
      </c>
      <c r="C320" s="74">
        <f t="shared" si="167"/>
        <v>3.5</v>
      </c>
      <c r="D320" s="74">
        <f t="shared" si="168"/>
        <v>4</v>
      </c>
      <c r="E320" s="74">
        <f t="shared" si="169"/>
        <v>4.5</v>
      </c>
      <c r="F320" s="114">
        <v>5</v>
      </c>
      <c r="G320" s="74">
        <f t="shared" si="170"/>
        <v>5.5</v>
      </c>
      <c r="H320" s="74">
        <f t="shared" si="171"/>
        <v>6</v>
      </c>
      <c r="I320" s="74">
        <f t="shared" si="172"/>
        <v>6.5</v>
      </c>
      <c r="J320" s="114">
        <f t="shared" si="173"/>
        <v>7</v>
      </c>
      <c r="K320" s="74">
        <f t="shared" si="176"/>
        <v>7.9324000000000003</v>
      </c>
      <c r="L320" s="74">
        <f t="shared" si="175"/>
        <v>8.8648000000000007</v>
      </c>
      <c r="M320" s="114">
        <f>SUM(J320,-F320,J320,0.4*ABS(J320-F320))</f>
        <v>9.8000000000000007</v>
      </c>
      <c r="N320" s="115">
        <f t="shared" si="177"/>
        <v>11.24</v>
      </c>
      <c r="O320" s="74">
        <f t="shared" si="178"/>
        <v>12.68</v>
      </c>
      <c r="P320" s="74">
        <f t="shared" si="179"/>
        <v>14.120000000000001</v>
      </c>
      <c r="Q320" s="74">
        <f t="shared" si="180"/>
        <v>15.56</v>
      </c>
      <c r="R320" s="114">
        <v>17</v>
      </c>
      <c r="S320" s="129"/>
      <c r="T320" s="117">
        <f>SUM((CX20+CW19+CV18+CU17+CT16+CS15+CR14+CQ13+CP12+CO11)*-0.132,(CN10+CM10+CL9+CK9)*-0.132/2,(CJ8+CI8+CH8+CG7+CF7+CE7+CD6+CC6+CB6+CA5+BZ5+BY5+BX4+BW4+BV4)*-0.132/3,17)</f>
        <v>18.900461538461538</v>
      </c>
      <c r="U320" s="117">
        <f>Lefty!T320</f>
        <v>17.36553846153846</v>
      </c>
    </row>
    <row r="321" spans="2:21">
      <c r="B321" s="114">
        <v>4</v>
      </c>
      <c r="C321" s="74">
        <f t="shared" si="167"/>
        <v>4.25</v>
      </c>
      <c r="D321" s="74">
        <f t="shared" si="168"/>
        <v>4.5</v>
      </c>
      <c r="E321" s="74">
        <f t="shared" si="169"/>
        <v>4.75</v>
      </c>
      <c r="F321" s="114">
        <v>5</v>
      </c>
      <c r="G321" s="74">
        <f t="shared" si="170"/>
        <v>5.25</v>
      </c>
      <c r="H321" s="74">
        <f t="shared" si="171"/>
        <v>5.5</v>
      </c>
      <c r="I321" s="74">
        <f t="shared" si="172"/>
        <v>5.75</v>
      </c>
      <c r="J321" s="114">
        <f t="shared" si="173"/>
        <v>6</v>
      </c>
      <c r="K321" s="74">
        <f t="shared" si="176"/>
        <v>6.4662000000000006</v>
      </c>
      <c r="L321" s="74">
        <f t="shared" si="175"/>
        <v>6.9324000000000003</v>
      </c>
      <c r="M321" s="114">
        <f>SUM(J321,-F321,J321,0.4*ABS(J321-F321))</f>
        <v>7.4</v>
      </c>
      <c r="N321" s="115">
        <f t="shared" si="177"/>
        <v>9.32</v>
      </c>
      <c r="O321" s="74">
        <f t="shared" si="178"/>
        <v>11.24</v>
      </c>
      <c r="P321" s="74">
        <f t="shared" si="179"/>
        <v>13.16</v>
      </c>
      <c r="Q321" s="74">
        <f t="shared" si="180"/>
        <v>15.08</v>
      </c>
      <c r="R321" s="114">
        <v>17</v>
      </c>
      <c r="S321" s="129"/>
      <c r="T321" s="117">
        <f>SUM((CV20+CU19+CU18+CT17+CT16+CS15+CS14+CR13+CR12+CQ11+CQ10+CP9)*-0.132,(CO8+CN8+CM8+CL8+CK7+CJ7+CI7+CH7+CG6+CF6+CE6+CD6+CC5+CB5+CA5+BZ5+BY4+BX4+BW4+BV4)*-0.132/4,17)</f>
        <v>19.153461538461539</v>
      </c>
      <c r="U321" s="117">
        <f>Lefty!T321</f>
        <v>18.014538461538461</v>
      </c>
    </row>
    <row r="322" spans="2:21">
      <c r="B322" s="114">
        <v>5</v>
      </c>
      <c r="C322" s="74">
        <f t="shared" si="167"/>
        <v>5</v>
      </c>
      <c r="D322" s="74">
        <f t="shared" si="168"/>
        <v>5</v>
      </c>
      <c r="E322" s="74">
        <f t="shared" si="169"/>
        <v>5</v>
      </c>
      <c r="F322" s="114">
        <v>5</v>
      </c>
      <c r="G322" s="74">
        <f t="shared" si="170"/>
        <v>5</v>
      </c>
      <c r="H322" s="74">
        <f t="shared" si="171"/>
        <v>5</v>
      </c>
      <c r="I322" s="74">
        <f t="shared" si="172"/>
        <v>5</v>
      </c>
      <c r="J322" s="114">
        <f t="shared" si="173"/>
        <v>5</v>
      </c>
      <c r="K322" s="74">
        <f t="shared" si="176"/>
        <v>5.5994000000000002</v>
      </c>
      <c r="L322" s="74">
        <f t="shared" si="175"/>
        <v>6.1988000000000003</v>
      </c>
      <c r="M322" s="114">
        <f>SUM(J322,-F322,J322,0.2*ABS(J322-F322),0.15*(17-F322))</f>
        <v>6.8</v>
      </c>
      <c r="N322" s="115">
        <f t="shared" si="177"/>
        <v>8.84</v>
      </c>
      <c r="O322" s="74">
        <f t="shared" si="178"/>
        <v>10.879999999999999</v>
      </c>
      <c r="P322" s="74">
        <f t="shared" si="179"/>
        <v>12.919999999999998</v>
      </c>
      <c r="Q322" s="74">
        <f t="shared" si="180"/>
        <v>14.96</v>
      </c>
      <c r="R322" s="114">
        <v>17</v>
      </c>
      <c r="S322" s="129"/>
      <c r="T322" s="117">
        <f>SUM((CT20+CT19+CT18+CT17+CT16+CT15+CT14+CT13+CT12+CS11+CR10+CQ9)*-0.132,(CP8+CO8+CN8+CM8+CL8)*-0.132/5,(CK7+CJ7+CI7+CH7+CG6+CF6+CE6+CD6+CC5+CB5+CA5+BZ5+BY4+BX4+BW4+BV4)*-0.132/4,17)</f>
        <v>17.939061538461537</v>
      </c>
      <c r="U322" s="117">
        <f>Lefty!T322</f>
        <v>17.631738461538461</v>
      </c>
    </row>
    <row r="323" spans="2:21">
      <c r="B323" s="114">
        <v>6</v>
      </c>
      <c r="C323" s="74">
        <f t="shared" si="167"/>
        <v>5.75</v>
      </c>
      <c r="D323" s="74">
        <f t="shared" si="168"/>
        <v>5.5</v>
      </c>
      <c r="E323" s="74">
        <f t="shared" si="169"/>
        <v>5.25</v>
      </c>
      <c r="F323" s="114">
        <v>5</v>
      </c>
      <c r="G323" s="74">
        <f t="shared" si="170"/>
        <v>4.75</v>
      </c>
      <c r="H323" s="74">
        <f t="shared" si="171"/>
        <v>4.5</v>
      </c>
      <c r="I323" s="74">
        <f t="shared" si="172"/>
        <v>4.25</v>
      </c>
      <c r="J323" s="114">
        <f t="shared" si="173"/>
        <v>4</v>
      </c>
      <c r="K323" s="74">
        <f t="shared" si="176"/>
        <v>3.8001999999999998</v>
      </c>
      <c r="L323" s="74">
        <f t="shared" si="175"/>
        <v>3.6004</v>
      </c>
      <c r="M323" s="114">
        <f>SUM(J323,-F323,J323,0.4*ABS(J323-F323))</f>
        <v>3.4</v>
      </c>
      <c r="N323" s="115">
        <f t="shared" si="177"/>
        <v>6.12</v>
      </c>
      <c r="O323" s="74">
        <f t="shared" si="178"/>
        <v>8.84</v>
      </c>
      <c r="P323" s="74">
        <f t="shared" si="179"/>
        <v>11.56</v>
      </c>
      <c r="Q323" s="74">
        <f t="shared" si="180"/>
        <v>14.280000000000001</v>
      </c>
      <c r="R323" s="114">
        <v>17</v>
      </c>
      <c r="S323" s="129"/>
      <c r="T323" s="117">
        <f>SUM((CR20+CS19+CS18+CT17+CT16+CU15+CU14+CV13+CV12+CW11+CW10+CX9)*-0.132,(CW8+CV8+CU8+CT8+CS8+CR8+CQ7+CP7+CO7+CN7+CM7+CL7+CK6+CJ6+CI6+CH6+CG6+CF6)*-0.132/6,(CE5+CD5+CC5+CB5+CA5+BZ4+BY4+BX4+BW4+BV4)*-0.132/5,17)</f>
        <v>18.02486153846154</v>
      </c>
      <c r="U323" s="117">
        <f>Lefty!T323</f>
        <v>17.52393846153846</v>
      </c>
    </row>
    <row r="324" spans="2:21">
      <c r="B324" s="114">
        <v>7</v>
      </c>
      <c r="C324" s="74">
        <f t="shared" si="167"/>
        <v>6.5</v>
      </c>
      <c r="D324" s="74">
        <f t="shared" si="168"/>
        <v>6</v>
      </c>
      <c r="E324" s="74">
        <f t="shared" si="169"/>
        <v>5.5</v>
      </c>
      <c r="F324" s="114">
        <v>5</v>
      </c>
      <c r="G324" s="74">
        <f t="shared" si="170"/>
        <v>4.5</v>
      </c>
      <c r="H324" s="74">
        <f t="shared" si="171"/>
        <v>4</v>
      </c>
      <c r="I324" s="74">
        <f t="shared" si="172"/>
        <v>3.5</v>
      </c>
      <c r="J324" s="114">
        <f t="shared" si="173"/>
        <v>3</v>
      </c>
      <c r="K324" s="74">
        <f t="shared" si="176"/>
        <v>2.6004</v>
      </c>
      <c r="L324" s="74">
        <f t="shared" si="175"/>
        <v>2.2008000000000001</v>
      </c>
      <c r="M324" s="114">
        <f>SUM(J324,-F324,J324,0.4*ABS(J324-F324))</f>
        <v>1.8</v>
      </c>
      <c r="N324" s="115">
        <f t="shared" si="177"/>
        <v>4.84</v>
      </c>
      <c r="O324" s="74">
        <f t="shared" si="178"/>
        <v>7.88</v>
      </c>
      <c r="P324" s="74">
        <f t="shared" si="179"/>
        <v>10.92</v>
      </c>
      <c r="Q324" s="74">
        <f t="shared" si="180"/>
        <v>13.96</v>
      </c>
      <c r="R324" s="114">
        <v>17</v>
      </c>
      <c r="S324" s="129"/>
      <c r="T324" s="117">
        <f>SUM((CP20+CQ19+CR18+CS17+CT16+CU15+CV14+CW13+CX12+CY11+CZ10+DA9)*-0.132,(CZ8+CY8+CX8+CW8+CV8+CU8+CT8)*-0.132/7,(CS7+CR7+CQ7+CP7+CO7+CN7+CM6+CL6+CK6+CJ6+CI6+CH6+CG5+CF5+CE5+CD5+CC5+CB5+CA4+BZ4+BY4+BX4+BW4+BV4)*-0.132/6,17)</f>
        <v>18.579890109890108</v>
      </c>
      <c r="U324" s="117">
        <f>Lefty!T324</f>
        <v>17.629538461538463</v>
      </c>
    </row>
    <row r="325" spans="2:21">
      <c r="B325" s="114"/>
      <c r="C325" s="74"/>
      <c r="D325" s="74"/>
      <c r="E325" s="74"/>
      <c r="F325" s="114"/>
      <c r="G325" s="74"/>
      <c r="H325" s="74"/>
      <c r="I325" s="74"/>
      <c r="J325" s="114"/>
      <c r="K325" s="74"/>
      <c r="L325" s="74"/>
      <c r="M325" s="114"/>
      <c r="N325" s="115"/>
      <c r="O325" s="74"/>
      <c r="P325" s="74"/>
      <c r="Q325" s="74"/>
      <c r="R325" s="114"/>
      <c r="S325" s="129"/>
    </row>
    <row r="326" spans="2:21">
      <c r="B326" s="114">
        <v>3</v>
      </c>
      <c r="C326" s="74">
        <f t="shared" si="167"/>
        <v>3.75</v>
      </c>
      <c r="D326" s="74">
        <f t="shared" si="168"/>
        <v>4.5</v>
      </c>
      <c r="E326" s="74">
        <f t="shared" si="169"/>
        <v>5.25</v>
      </c>
      <c r="F326" s="114">
        <v>6</v>
      </c>
      <c r="G326" s="74">
        <f t="shared" si="170"/>
        <v>6.75</v>
      </c>
      <c r="H326" s="74">
        <f t="shared" si="171"/>
        <v>7.5</v>
      </c>
      <c r="I326" s="74">
        <f t="shared" si="172"/>
        <v>8.25</v>
      </c>
      <c r="J326" s="114">
        <f t="shared" si="173"/>
        <v>9</v>
      </c>
      <c r="K326" s="74">
        <f t="shared" si="176"/>
        <v>10.3986</v>
      </c>
      <c r="L326" s="74">
        <f t="shared" si="175"/>
        <v>11.7972</v>
      </c>
      <c r="M326" s="114">
        <f>SUM(J326,-F326,J326,0.4*ABS(J326-F326))</f>
        <v>13.2</v>
      </c>
      <c r="N326" s="115">
        <f t="shared" ref="N326:N332" si="181">SUM(0.2*(R326-M326),M326)</f>
        <v>13.959999999999999</v>
      </c>
      <c r="O326" s="74">
        <f t="shared" ref="O326:O332" si="182">SUM(0.4*(R326-M326),M326)</f>
        <v>14.719999999999999</v>
      </c>
      <c r="P326" s="74">
        <f t="shared" ref="P326:P332" si="183">SUM(0.6*(R326-M326),M326)</f>
        <v>15.48</v>
      </c>
      <c r="Q326" s="74">
        <f t="shared" ref="Q326:Q332" si="184">SUM(0.8*(R326-M326),M326)</f>
        <v>16.240000000000002</v>
      </c>
      <c r="R326" s="114">
        <v>17</v>
      </c>
      <c r="S326" s="129"/>
      <c r="T326" s="117">
        <f>SUM((CX20+CU18+CR16+CO14+CL12)*-0.132,(CW19+CV19+CT17+CS17+CQ15+CP15+CN13+CM13+CK11+CJ11+CI10+CH10+CG9+CF9+CE8+CD8+CC7+CB7+CA6+BZ6+BY5+BX5+BW4+BV4)*-0.132/2,17)</f>
        <v>19.252461538461539</v>
      </c>
      <c r="U326" s="117">
        <f>Lefty!T326</f>
        <v>18.113538461538461</v>
      </c>
    </row>
    <row r="327" spans="2:21">
      <c r="B327" s="114">
        <v>4</v>
      </c>
      <c r="C327" s="74">
        <f t="shared" si="167"/>
        <v>4.5</v>
      </c>
      <c r="D327" s="74">
        <f t="shared" si="168"/>
        <v>5</v>
      </c>
      <c r="E327" s="74">
        <f t="shared" si="169"/>
        <v>5.5</v>
      </c>
      <c r="F327" s="114">
        <v>6</v>
      </c>
      <c r="G327" s="74">
        <f t="shared" si="170"/>
        <v>6.5</v>
      </c>
      <c r="H327" s="74">
        <f t="shared" si="171"/>
        <v>7</v>
      </c>
      <c r="I327" s="74">
        <f t="shared" si="172"/>
        <v>7.5</v>
      </c>
      <c r="J327" s="114">
        <f t="shared" si="173"/>
        <v>8</v>
      </c>
      <c r="K327" s="74">
        <f t="shared" si="176"/>
        <v>8.9324000000000012</v>
      </c>
      <c r="L327" s="74">
        <f t="shared" si="175"/>
        <v>9.8648000000000007</v>
      </c>
      <c r="M327" s="114">
        <f>SUM(J327,-F327,J327,0.4*ABS(J327-F327))</f>
        <v>10.8</v>
      </c>
      <c r="N327" s="115">
        <f t="shared" si="181"/>
        <v>12.040000000000001</v>
      </c>
      <c r="O327" s="74">
        <f t="shared" si="182"/>
        <v>13.280000000000001</v>
      </c>
      <c r="P327" s="74">
        <f t="shared" si="183"/>
        <v>14.52</v>
      </c>
      <c r="Q327" s="74">
        <f t="shared" si="184"/>
        <v>15.760000000000002</v>
      </c>
      <c r="R327" s="114">
        <v>17</v>
      </c>
      <c r="S327" s="129"/>
      <c r="T327" s="117">
        <f>SUM((CV20+CU19+CT18+CS17+CR16+CQ15+CP14+CO13+CN12+CM11)*-0.132,(CL10+CK10+CJ9+CI9+BY5+BX5+BW4+BV4)*-0.132/2,(CH8+CG8+CF8+CE7+CD7+CC7+CB6+CA6+BZ6)*-0.132/3,17)</f>
        <v>19.494461538461536</v>
      </c>
      <c r="U327" s="117">
        <f>Lefty!T327</f>
        <v>18.157538461538461</v>
      </c>
    </row>
    <row r="328" spans="2:21">
      <c r="B328" s="114">
        <v>5</v>
      </c>
      <c r="C328" s="74">
        <f t="shared" si="167"/>
        <v>5.25</v>
      </c>
      <c r="D328" s="74">
        <f t="shared" si="168"/>
        <v>5.5</v>
      </c>
      <c r="E328" s="74">
        <f t="shared" si="169"/>
        <v>5.75</v>
      </c>
      <c r="F328" s="114">
        <v>6</v>
      </c>
      <c r="G328" s="74">
        <f t="shared" si="170"/>
        <v>6.25</v>
      </c>
      <c r="H328" s="74">
        <f t="shared" si="171"/>
        <v>6.5</v>
      </c>
      <c r="I328" s="74">
        <f t="shared" si="172"/>
        <v>6.75</v>
      </c>
      <c r="J328" s="114">
        <f t="shared" si="173"/>
        <v>7</v>
      </c>
      <c r="K328" s="74">
        <f t="shared" si="176"/>
        <v>7.4662000000000006</v>
      </c>
      <c r="L328" s="74">
        <f t="shared" si="175"/>
        <v>7.9324000000000003</v>
      </c>
      <c r="M328" s="114">
        <f>SUM(J328,-F328,J328,0.4*ABS(J328-F328))</f>
        <v>8.4</v>
      </c>
      <c r="N328" s="115">
        <f t="shared" si="181"/>
        <v>10.120000000000001</v>
      </c>
      <c r="O328" s="74">
        <f t="shared" si="182"/>
        <v>11.84</v>
      </c>
      <c r="P328" s="74">
        <f t="shared" si="183"/>
        <v>13.559999999999999</v>
      </c>
      <c r="Q328" s="74">
        <f t="shared" si="184"/>
        <v>15.280000000000001</v>
      </c>
      <c r="R328" s="114">
        <v>17</v>
      </c>
      <c r="S328" s="129"/>
      <c r="T328" s="117">
        <f>SUM((CT20+CS19+CS18+CR17+CR16+CQ15+CQ14+CP13+CP12+CO11+CO10+CN9)*-0.132,(CM8+CL8+CK8+CJ8+CI7+CH7+CG7+CF7+CE6+CD6+CC6+CB6)*-0.132/4,(CA5+BZ5+BY5+BX4+BW4+BV4)*-0.132/3,17)</f>
        <v>18.735461538461539</v>
      </c>
      <c r="U328" s="117">
        <f>Lefty!T328</f>
        <v>18.058538461538461</v>
      </c>
    </row>
    <row r="329" spans="2:21">
      <c r="B329" s="114">
        <v>6</v>
      </c>
      <c r="C329" s="74">
        <f t="shared" si="167"/>
        <v>6</v>
      </c>
      <c r="D329" s="74">
        <f t="shared" si="168"/>
        <v>6</v>
      </c>
      <c r="E329" s="74">
        <f t="shared" si="169"/>
        <v>6</v>
      </c>
      <c r="F329" s="114">
        <v>6</v>
      </c>
      <c r="G329" s="74">
        <f t="shared" si="170"/>
        <v>6</v>
      </c>
      <c r="H329" s="74">
        <f t="shared" si="171"/>
        <v>6</v>
      </c>
      <c r="I329" s="74">
        <f t="shared" si="172"/>
        <v>6</v>
      </c>
      <c r="J329" s="114">
        <f t="shared" si="173"/>
        <v>6</v>
      </c>
      <c r="K329" s="74">
        <f t="shared" si="176"/>
        <v>6.5494500000000002</v>
      </c>
      <c r="L329" s="74">
        <f t="shared" si="175"/>
        <v>7.0989000000000004</v>
      </c>
      <c r="M329" s="114">
        <f>SUM(J329,-F329,J329,0.2*ABS(J329-F329),0.15*(17-F329))</f>
        <v>7.65</v>
      </c>
      <c r="N329" s="115">
        <f t="shared" si="181"/>
        <v>9.52</v>
      </c>
      <c r="O329" s="74">
        <f t="shared" si="182"/>
        <v>11.39</v>
      </c>
      <c r="P329" s="74">
        <f t="shared" si="183"/>
        <v>13.26</v>
      </c>
      <c r="Q329" s="74">
        <f t="shared" si="184"/>
        <v>15.13</v>
      </c>
      <c r="R329" s="114">
        <v>17</v>
      </c>
      <c r="S329" s="129"/>
      <c r="T329" s="117">
        <f>SUM((CR20+CR19+CR18+CR17+CR16+CR15+CR14+CR13+CR12+CQ11+CP10+CO9)*-0.132,(CN8+CM8+CL8+CK8+CJ7+CI7+CH7+CG7+CF6+CE6+CD6+CC6+CB5+CA5+BZ5+BY5)*-0.132/4,(BX4+BW4+BV4)*-0.132/3,17)</f>
        <v>19.219461538461537</v>
      </c>
      <c r="U329" s="117">
        <f>Lefty!T329</f>
        <v>17.50853846153846</v>
      </c>
    </row>
    <row r="330" spans="2:21">
      <c r="B330" s="114">
        <v>7</v>
      </c>
      <c r="C330" s="74">
        <f t="shared" si="167"/>
        <v>6.75</v>
      </c>
      <c r="D330" s="74">
        <f t="shared" si="168"/>
        <v>6.5</v>
      </c>
      <c r="E330" s="74">
        <f t="shared" si="169"/>
        <v>6.25</v>
      </c>
      <c r="F330" s="114">
        <v>6</v>
      </c>
      <c r="G330" s="74">
        <f t="shared" si="170"/>
        <v>5.75</v>
      </c>
      <c r="H330" s="74">
        <f t="shared" si="171"/>
        <v>5.5</v>
      </c>
      <c r="I330" s="74">
        <f t="shared" si="172"/>
        <v>5.25</v>
      </c>
      <c r="J330" s="114">
        <f t="shared" si="173"/>
        <v>5</v>
      </c>
      <c r="K330" s="74">
        <f t="shared" si="176"/>
        <v>4.8002000000000002</v>
      </c>
      <c r="L330" s="74">
        <f t="shared" si="175"/>
        <v>4.6004000000000005</v>
      </c>
      <c r="M330" s="114">
        <f>SUM(J330,-F330,J330,0.4*ABS(J330-F330))</f>
        <v>4.4000000000000004</v>
      </c>
      <c r="N330" s="115">
        <f t="shared" si="181"/>
        <v>6.92</v>
      </c>
      <c r="O330" s="74">
        <f t="shared" si="182"/>
        <v>9.4400000000000013</v>
      </c>
      <c r="P330" s="74">
        <f t="shared" si="183"/>
        <v>11.96</v>
      </c>
      <c r="Q330" s="74">
        <f t="shared" si="184"/>
        <v>14.48</v>
      </c>
      <c r="R330" s="114">
        <v>17</v>
      </c>
      <c r="S330" s="129"/>
      <c r="T330" s="117">
        <f>SUM((CP20+CQ19+CQ18+CR17+CR16+CS15+CS14+CT13+CT12+CU11+CU10+CV9)*-0.132,(CU8+CT8+CS8+CR8+CQ8+CP8)*-0.132/6,(CO7+CN7+CM7+CL7+CK7+CJ6+CI6+CH6+CG6+CF6+CE5+CD5+CC5+CB5+CA5+BZ4+BY4+BX4+BW4+BV4)*-0.132/5,17)</f>
        <v>17.994061538461537</v>
      </c>
      <c r="U330" s="117">
        <f>Lefty!T330</f>
        <v>18.06513846153846</v>
      </c>
    </row>
    <row r="331" spans="2:21">
      <c r="B331" s="114">
        <v>8</v>
      </c>
      <c r="C331" s="74">
        <f t="shared" si="167"/>
        <v>7.5</v>
      </c>
      <c r="D331" s="74">
        <f t="shared" si="168"/>
        <v>7</v>
      </c>
      <c r="E331" s="74">
        <f t="shared" si="169"/>
        <v>6.5</v>
      </c>
      <c r="F331" s="114">
        <v>6</v>
      </c>
      <c r="G331" s="74">
        <f t="shared" si="170"/>
        <v>5.5</v>
      </c>
      <c r="H331" s="74">
        <f t="shared" si="171"/>
        <v>5</v>
      </c>
      <c r="I331" s="74">
        <f t="shared" si="172"/>
        <v>4.5</v>
      </c>
      <c r="J331" s="114">
        <f t="shared" si="173"/>
        <v>4</v>
      </c>
      <c r="K331" s="74">
        <f t="shared" si="176"/>
        <v>3.6004</v>
      </c>
      <c r="L331" s="74">
        <f t="shared" si="175"/>
        <v>3.2008000000000001</v>
      </c>
      <c r="M331" s="114">
        <f>SUM(J331,-F331,J331,0.4*ABS(J331-F331))</f>
        <v>2.8</v>
      </c>
      <c r="N331" s="115">
        <f t="shared" si="181"/>
        <v>5.64</v>
      </c>
      <c r="O331" s="74">
        <f t="shared" si="182"/>
        <v>8.48</v>
      </c>
      <c r="P331" s="74">
        <f t="shared" si="183"/>
        <v>11.32</v>
      </c>
      <c r="Q331" s="74">
        <f t="shared" si="184"/>
        <v>14.16</v>
      </c>
      <c r="R331" s="114">
        <v>17</v>
      </c>
      <c r="S331" s="129"/>
      <c r="T331" s="117">
        <f>SUM((CN20+CO19+CP18+CQ17+CR16+CS15+CT14+CU13+CV12+CW11+CX10+CY9)*-0.132,(CX8+CW8+CV8+CU8+CT8+CS8+CR7+CQ7+CP7+CO7+CN7+CM7+CL6+CK6+CJ6+CI6+CH6+CG6+CF5+CE5+CD5+CC5+CB5+CA5)*-0.132/6,(BZ4+BY4+BX4+BW4+BV4)*-0.132/5,17)</f>
        <v>18.284461538461539</v>
      </c>
      <c r="U331" s="117">
        <f>Lefty!T331</f>
        <v>18.016738461538463</v>
      </c>
    </row>
    <row r="332" spans="2:21">
      <c r="B332" s="114">
        <v>9</v>
      </c>
      <c r="C332" s="74">
        <f t="shared" si="167"/>
        <v>8.25</v>
      </c>
      <c r="D332" s="74">
        <f t="shared" si="168"/>
        <v>7.5</v>
      </c>
      <c r="E332" s="74">
        <f t="shared" si="169"/>
        <v>6.75</v>
      </c>
      <c r="F332" s="114">
        <v>6</v>
      </c>
      <c r="G332" s="74">
        <f t="shared" si="170"/>
        <v>5.25</v>
      </c>
      <c r="H332" s="74">
        <f t="shared" si="171"/>
        <v>4.5</v>
      </c>
      <c r="I332" s="74">
        <f t="shared" si="172"/>
        <v>3.75</v>
      </c>
      <c r="J332" s="114">
        <f t="shared" si="173"/>
        <v>3</v>
      </c>
      <c r="K332" s="74">
        <f t="shared" si="176"/>
        <v>2.4005999999999998</v>
      </c>
      <c r="L332" s="74">
        <f t="shared" si="175"/>
        <v>1.8012000000000001</v>
      </c>
      <c r="M332" s="114">
        <f>SUM(J332,-F332,J332,0.4*ABS(J332-F332))</f>
        <v>1.2000000000000002</v>
      </c>
      <c r="N332" s="115">
        <f t="shared" si="181"/>
        <v>4.3600000000000003</v>
      </c>
      <c r="O332" s="74">
        <f t="shared" si="182"/>
        <v>7.5200000000000005</v>
      </c>
      <c r="P332" s="74">
        <f t="shared" si="183"/>
        <v>10.68</v>
      </c>
      <c r="Q332" s="74">
        <f t="shared" si="184"/>
        <v>13.84</v>
      </c>
      <c r="R332" s="114">
        <v>17</v>
      </c>
      <c r="S332" s="129"/>
      <c r="T332" s="131">
        <f>SUM((CL20+CO18+CR16+CU14+CX12+CY11+CZ10+DA9)*-0.132,(CM19+CN19+CP17+CQ17+CS15+CT15+CV13+CW13)*-0.132/2,(CZ8+CY8+CX8+CW8+CV8+CU8+CT8)*-0.132/7,(CS7+CR7+CQ7+CP7+CO7+CN7+CM6+CL6+CK6+CJ6+CI6+CH6+CG5+CF5+CE5+CD5+CC5+CB5+CA4+BZ4+BY4+BX4+BW4+BV4)*-0.132/6,17)</f>
        <v>18.24989010989011</v>
      </c>
      <c r="U332" s="131">
        <f>Lefty!T332</f>
        <v>18.02553846153846</v>
      </c>
    </row>
    <row r="333" spans="2:21">
      <c r="B333" s="114"/>
      <c r="C333" s="74"/>
      <c r="D333" s="74"/>
      <c r="E333" s="74"/>
      <c r="F333" s="114"/>
      <c r="G333" s="74"/>
      <c r="H333" s="74"/>
      <c r="I333" s="74"/>
      <c r="J333" s="114"/>
      <c r="K333" s="74"/>
      <c r="L333" s="74"/>
      <c r="M333" s="114"/>
      <c r="N333" s="115"/>
      <c r="O333" s="74"/>
      <c r="P333" s="74"/>
      <c r="Q333" s="74"/>
      <c r="R333" s="114"/>
      <c r="S333" s="129"/>
      <c r="T333" s="126"/>
      <c r="U333" s="126"/>
    </row>
    <row r="334" spans="2:21">
      <c r="B334" s="114">
        <v>4</v>
      </c>
      <c r="C334" s="74">
        <f t="shared" si="167"/>
        <v>4.75</v>
      </c>
      <c r="D334" s="74">
        <f t="shared" si="168"/>
        <v>5.5</v>
      </c>
      <c r="E334" s="74">
        <f t="shared" si="169"/>
        <v>6.25</v>
      </c>
      <c r="F334" s="114">
        <v>7</v>
      </c>
      <c r="G334" s="74">
        <f t="shared" si="170"/>
        <v>7.75</v>
      </c>
      <c r="H334" s="74">
        <f t="shared" si="171"/>
        <v>8.5</v>
      </c>
      <c r="I334" s="74">
        <f t="shared" si="172"/>
        <v>9.25</v>
      </c>
      <c r="J334" s="114">
        <f t="shared" si="173"/>
        <v>10</v>
      </c>
      <c r="K334" s="74">
        <f t="shared" si="176"/>
        <v>11.3986</v>
      </c>
      <c r="L334" s="74">
        <f t="shared" si="175"/>
        <v>12.7972</v>
      </c>
      <c r="M334" s="114">
        <f>SUM(J334,-F334,J334,0.4*ABS(J334-F334))</f>
        <v>14.2</v>
      </c>
      <c r="N334" s="115">
        <f t="shared" ref="N334:N340" si="185">SUM(0.2*(R334-M334),M334)</f>
        <v>14.76</v>
      </c>
      <c r="O334" s="74">
        <f t="shared" ref="O334:O340" si="186">SUM(0.4*(R334-M334),M334)</f>
        <v>15.32</v>
      </c>
      <c r="P334" s="74">
        <f t="shared" ref="P334:P340" si="187">SUM(0.6*(R334-M334),M334)</f>
        <v>15.879999999999999</v>
      </c>
      <c r="Q334" s="74">
        <f t="shared" ref="Q334:Q340" si="188">SUM(0.8*(R334-M334),M334)</f>
        <v>16.440000000000001</v>
      </c>
      <c r="R334" s="114">
        <v>17</v>
      </c>
      <c r="S334" s="129"/>
      <c r="T334" s="117">
        <f>SUM((CV20+CS18+CP16+CM14+CJ12)*-0.132,(CU19+CT19+CR17+CQ17+CO15+CN15+CL13+CK13+CI11+CH11+CG10+CF10+CE9+CD9+CC8+CB8+CA7+BZ7+BY6+BX6)*-0.132/2,(BW5+BV4)*-0.132,17)</f>
        <v>19.714461538461538</v>
      </c>
      <c r="U334" s="117">
        <f>Lefty!T334</f>
        <v>18.37753846153846</v>
      </c>
    </row>
    <row r="335" spans="2:21">
      <c r="B335" s="114">
        <v>5</v>
      </c>
      <c r="C335" s="74">
        <f t="shared" si="167"/>
        <v>5.5</v>
      </c>
      <c r="D335" s="74">
        <f t="shared" si="168"/>
        <v>6</v>
      </c>
      <c r="E335" s="74">
        <f t="shared" si="169"/>
        <v>6.5</v>
      </c>
      <c r="F335" s="114">
        <v>7</v>
      </c>
      <c r="G335" s="74">
        <f t="shared" si="170"/>
        <v>7.5</v>
      </c>
      <c r="H335" s="74">
        <f t="shared" si="171"/>
        <v>8</v>
      </c>
      <c r="I335" s="74">
        <f t="shared" si="172"/>
        <v>8.5</v>
      </c>
      <c r="J335" s="114">
        <f t="shared" si="173"/>
        <v>9</v>
      </c>
      <c r="K335" s="74">
        <f t="shared" si="176"/>
        <v>9.9324000000000012</v>
      </c>
      <c r="L335" s="74">
        <f t="shared" si="175"/>
        <v>10.864800000000001</v>
      </c>
      <c r="M335" s="114">
        <f>SUM(J335,-F335,J335,0.4*ABS(J335-F335))</f>
        <v>11.8</v>
      </c>
      <c r="N335" s="115">
        <f t="shared" si="185"/>
        <v>12.84</v>
      </c>
      <c r="O335" s="74">
        <f t="shared" si="186"/>
        <v>13.88</v>
      </c>
      <c r="P335" s="74">
        <f t="shared" si="187"/>
        <v>14.92</v>
      </c>
      <c r="Q335" s="74">
        <f t="shared" si="188"/>
        <v>15.96</v>
      </c>
      <c r="R335" s="114">
        <v>17</v>
      </c>
      <c r="S335" s="129"/>
      <c r="T335" s="117">
        <f>SUM((CT20+CS19+CR18+CQ17+CP16+CO15+CN14+CM13+CL12+CK11)*-0.132,(CJ10+CI10+CH9+CG9+CC7+CB7+CA6+BZ6+BY5+BX5+BW4+BV4)*-0.132/2,(CF8+CE8+CD8)*-0.132/3,17)</f>
        <v>19.318461538461538</v>
      </c>
      <c r="U335" s="117">
        <f>Lefty!T335</f>
        <v>18.22353846153846</v>
      </c>
    </row>
    <row r="336" spans="2:21">
      <c r="B336" s="114">
        <v>6</v>
      </c>
      <c r="C336" s="74">
        <f t="shared" si="167"/>
        <v>6.25</v>
      </c>
      <c r="D336" s="74">
        <f t="shared" si="168"/>
        <v>6.5</v>
      </c>
      <c r="E336" s="74">
        <f t="shared" si="169"/>
        <v>6.75</v>
      </c>
      <c r="F336" s="114">
        <v>7</v>
      </c>
      <c r="G336" s="74">
        <f t="shared" si="170"/>
        <v>7.25</v>
      </c>
      <c r="H336" s="74">
        <f t="shared" si="171"/>
        <v>7.5</v>
      </c>
      <c r="I336" s="74">
        <f t="shared" si="172"/>
        <v>7.75</v>
      </c>
      <c r="J336" s="114">
        <f t="shared" si="173"/>
        <v>8</v>
      </c>
      <c r="K336" s="74">
        <f t="shared" si="176"/>
        <v>8.4662000000000006</v>
      </c>
      <c r="L336" s="74">
        <f t="shared" si="175"/>
        <v>8.9324000000000012</v>
      </c>
      <c r="M336" s="114">
        <f>SUM(J336,-F336,J336,0.4*ABS(J336-F336))</f>
        <v>9.4</v>
      </c>
      <c r="N336" s="115">
        <f t="shared" si="185"/>
        <v>10.92</v>
      </c>
      <c r="O336" s="74">
        <f t="shared" si="186"/>
        <v>12.440000000000001</v>
      </c>
      <c r="P336" s="74">
        <f t="shared" si="187"/>
        <v>13.96</v>
      </c>
      <c r="Q336" s="74">
        <f t="shared" si="188"/>
        <v>15.48</v>
      </c>
      <c r="R336" s="114">
        <v>17</v>
      </c>
      <c r="S336" s="129"/>
      <c r="T336" s="117">
        <f>SUM((CR20+CQ19+CQ18+CP17+CP16+CO15+CO14+CN13+CN12+CM11+CM10+CL9)*-0.132,(CK8+CJ8+CI8+CH8)*-0.132/4,(CG7+CF7+CE7+CD6+CC6+CB6+CA5+BZ5+BY5+BX4+BW4+BV4)*-0.132/3,17)</f>
        <v>19.043461538461539</v>
      </c>
      <c r="U336" s="117">
        <f>Lefty!T336</f>
        <v>18.12453846153846</v>
      </c>
    </row>
    <row r="337" spans="2:21">
      <c r="B337" s="114">
        <v>7</v>
      </c>
      <c r="C337" s="74">
        <f t="shared" si="167"/>
        <v>7</v>
      </c>
      <c r="D337" s="74">
        <f t="shared" si="168"/>
        <v>7</v>
      </c>
      <c r="E337" s="74">
        <f t="shared" si="169"/>
        <v>7</v>
      </c>
      <c r="F337" s="114">
        <v>7</v>
      </c>
      <c r="G337" s="74">
        <f t="shared" si="170"/>
        <v>7</v>
      </c>
      <c r="H337" s="74">
        <f t="shared" si="171"/>
        <v>7</v>
      </c>
      <c r="I337" s="74">
        <f t="shared" si="172"/>
        <v>7</v>
      </c>
      <c r="J337" s="114">
        <f t="shared" si="173"/>
        <v>7</v>
      </c>
      <c r="K337" s="74">
        <f t="shared" si="176"/>
        <v>7.4995000000000003</v>
      </c>
      <c r="L337" s="74">
        <f t="shared" si="175"/>
        <v>7.9990000000000006</v>
      </c>
      <c r="M337" s="114">
        <f>SUM(J337,-F337,J337,0.2*ABS(J337-F337),0.15*(17-F337))</f>
        <v>8.5</v>
      </c>
      <c r="N337" s="115">
        <f t="shared" si="185"/>
        <v>10.199999999999999</v>
      </c>
      <c r="O337" s="74">
        <f t="shared" si="186"/>
        <v>11.9</v>
      </c>
      <c r="P337" s="74">
        <f t="shared" si="187"/>
        <v>13.6</v>
      </c>
      <c r="Q337" s="74">
        <f t="shared" si="188"/>
        <v>15.3</v>
      </c>
      <c r="R337" s="114">
        <v>17</v>
      </c>
      <c r="S337" s="129"/>
      <c r="T337" s="117">
        <f>SUM((CP20+CP19+CP18+CP17+CP16+CP15+CP14+CP13+CP12+CO11+CN10+CM9)*-0.132,(CL8+CK8+CJ8+CI8+CH7+CG7+CF7+CE7)*-0.132/4,(CD6+CC6+CB6+CA5+BZ5+BY5+BX4+BW4+BV4)*-0.132/3,17)</f>
        <v>18.405461538461537</v>
      </c>
      <c r="U337" s="117">
        <f>Lefty!T337</f>
        <v>18.619538461538461</v>
      </c>
    </row>
    <row r="338" spans="2:21">
      <c r="B338" s="114">
        <v>8</v>
      </c>
      <c r="C338" s="74">
        <f t="shared" si="167"/>
        <v>7.75</v>
      </c>
      <c r="D338" s="74">
        <f t="shared" si="168"/>
        <v>7.5</v>
      </c>
      <c r="E338" s="74">
        <f t="shared" si="169"/>
        <v>7.25</v>
      </c>
      <c r="F338" s="114">
        <v>7</v>
      </c>
      <c r="G338" s="74">
        <f t="shared" si="170"/>
        <v>6.75</v>
      </c>
      <c r="H338" s="74">
        <f t="shared" si="171"/>
        <v>6.5</v>
      </c>
      <c r="I338" s="74">
        <f t="shared" si="172"/>
        <v>6.25</v>
      </c>
      <c r="J338" s="114">
        <f t="shared" si="173"/>
        <v>6</v>
      </c>
      <c r="K338" s="74">
        <f t="shared" si="176"/>
        <v>5.8002000000000002</v>
      </c>
      <c r="L338" s="74">
        <f t="shared" si="175"/>
        <v>5.6004000000000005</v>
      </c>
      <c r="M338" s="114">
        <f>SUM(J338,-F338,J338,0.4*ABS(J338-F338))</f>
        <v>5.4</v>
      </c>
      <c r="N338" s="115">
        <f t="shared" si="185"/>
        <v>7.7200000000000006</v>
      </c>
      <c r="O338" s="74">
        <f t="shared" si="186"/>
        <v>10.039999999999999</v>
      </c>
      <c r="P338" s="74">
        <f t="shared" si="187"/>
        <v>12.36</v>
      </c>
      <c r="Q338" s="74">
        <f t="shared" si="188"/>
        <v>14.68</v>
      </c>
      <c r="R338" s="114">
        <v>17</v>
      </c>
      <c r="S338" s="129"/>
      <c r="T338" s="117">
        <f>SUM((CN20+CO19+CO18+CP17+CP16+CQ15+CQ14+CR13+CR12+CS11+CS10+CT9)*-0.132,(CS8+CR8+CQ8+CP8+CO8+CN7+CM7+CL7+CK7+CJ7+CI6+CH6+CG6+CF6+CE6+CD5+CC5+CB5+CA5+BZ5)*-0.132/5,(BY4+BX4+BW4+BV4)*-0.132/4,17)</f>
        <v>18.14366153846154</v>
      </c>
      <c r="U338" s="117">
        <f>Lefty!T338</f>
        <v>17.585538461538462</v>
      </c>
    </row>
    <row r="339" spans="2:21">
      <c r="B339" s="114">
        <v>9</v>
      </c>
      <c r="C339" s="74">
        <f t="shared" si="167"/>
        <v>8.5</v>
      </c>
      <c r="D339" s="74">
        <f t="shared" si="168"/>
        <v>8</v>
      </c>
      <c r="E339" s="74">
        <f t="shared" si="169"/>
        <v>7.5</v>
      </c>
      <c r="F339" s="114">
        <v>7</v>
      </c>
      <c r="G339" s="74">
        <f t="shared" si="170"/>
        <v>6.5</v>
      </c>
      <c r="H339" s="74">
        <f t="shared" si="171"/>
        <v>6</v>
      </c>
      <c r="I339" s="74">
        <f t="shared" si="172"/>
        <v>5.5</v>
      </c>
      <c r="J339" s="114">
        <f t="shared" si="173"/>
        <v>5</v>
      </c>
      <c r="K339" s="74">
        <f t="shared" si="176"/>
        <v>4.6003999999999996</v>
      </c>
      <c r="L339" s="74">
        <f t="shared" si="175"/>
        <v>4.2008000000000001</v>
      </c>
      <c r="M339" s="114">
        <f>SUM(J339,-F339,J339,0.4*ABS(J339-F339))</f>
        <v>3.8</v>
      </c>
      <c r="N339" s="115">
        <f t="shared" si="185"/>
        <v>6.4399999999999995</v>
      </c>
      <c r="O339" s="74">
        <f t="shared" si="186"/>
        <v>9.08</v>
      </c>
      <c r="P339" s="74">
        <f t="shared" si="187"/>
        <v>11.719999999999999</v>
      </c>
      <c r="Q339" s="74">
        <f t="shared" si="188"/>
        <v>14.36</v>
      </c>
      <c r="R339" s="114">
        <v>17</v>
      </c>
      <c r="S339" s="129"/>
      <c r="T339" s="117">
        <f>SUM((CL20+CM19+CN18+CO17+CP16+CQ15+CR14+CS13+CT12+CU11+CV10+CW9)*-0.132,(CV8+CU8+CT8+CS8+CR8+CQ8+CP7+CO7+CN7+CM7+CL7+CK7)*-0.132/6,(CJ6+CI6+CH6+CG6+CF6+CE5+CD5+CC5+CB5+CA5+BZ4+BY4+BX4+BW4+BV4)*-0.132/5,17)</f>
        <v>18.394461538461538</v>
      </c>
      <c r="U339" s="117">
        <f>Lefty!T339</f>
        <v>17.919938461538461</v>
      </c>
    </row>
    <row r="340" spans="2:21">
      <c r="B340" s="114">
        <v>10</v>
      </c>
      <c r="C340" s="74">
        <f t="shared" si="167"/>
        <v>9.25</v>
      </c>
      <c r="D340" s="74">
        <f t="shared" si="168"/>
        <v>8.5</v>
      </c>
      <c r="E340" s="74">
        <f t="shared" si="169"/>
        <v>7.75</v>
      </c>
      <c r="F340" s="114">
        <v>7</v>
      </c>
      <c r="G340" s="74">
        <f t="shared" si="170"/>
        <v>6.25</v>
      </c>
      <c r="H340" s="74">
        <f t="shared" si="171"/>
        <v>5.5</v>
      </c>
      <c r="I340" s="74">
        <f t="shared" si="172"/>
        <v>4.75</v>
      </c>
      <c r="J340" s="114">
        <f t="shared" si="173"/>
        <v>4</v>
      </c>
      <c r="K340" s="74">
        <f t="shared" si="176"/>
        <v>3.4005999999999998</v>
      </c>
      <c r="L340" s="74">
        <f t="shared" si="175"/>
        <v>2.8012000000000001</v>
      </c>
      <c r="M340" s="114">
        <f>SUM(J340,-F340,J340,0.4*ABS(J340-F340))</f>
        <v>2.2000000000000002</v>
      </c>
      <c r="N340" s="115">
        <f t="shared" si="185"/>
        <v>5.16</v>
      </c>
      <c r="O340" s="74">
        <f t="shared" si="186"/>
        <v>8.120000000000001</v>
      </c>
      <c r="P340" s="74">
        <f t="shared" si="187"/>
        <v>11.080000000000002</v>
      </c>
      <c r="Q340" s="74">
        <f t="shared" si="188"/>
        <v>14.040000000000003</v>
      </c>
      <c r="R340" s="114">
        <v>17</v>
      </c>
      <c r="S340" s="129"/>
      <c r="T340" s="117">
        <f>SUM((CJ20+CM18+CP16+CS14+CV12+CY10+CZ9)*-0.132,(CK19+CL19+CN17+CO17+CQ15+CR15+CT13+CU13+CW11+CX11)*-0.132/2,(CY8+CX8+CW8+CV8+CU8+CT8+CS7+CR7+CQ7+CP7+CO7+CN7+CM6+CL6+CK6+CJ6+CI6+CH6+CG5+CF5+CE5+CD5+CC5+CB5+CA4+BZ4+BY4+BX4+BW4+BV4)*-0.132/6,17)</f>
        <v>17.668461538461539</v>
      </c>
      <c r="U340" s="117">
        <f>Lefty!T340</f>
        <v>17.71753846153846</v>
      </c>
    </row>
    <row r="341" spans="2:21">
      <c r="B341" s="114"/>
      <c r="C341" s="74"/>
      <c r="D341" s="74"/>
      <c r="E341" s="74"/>
      <c r="F341" s="114"/>
      <c r="G341" s="74"/>
      <c r="H341" s="74"/>
      <c r="I341" s="74"/>
      <c r="J341" s="114"/>
      <c r="K341" s="74"/>
      <c r="L341" s="74"/>
      <c r="M341" s="114"/>
      <c r="N341" s="115"/>
      <c r="O341" s="74"/>
      <c r="P341" s="74"/>
      <c r="Q341" s="74"/>
      <c r="R341" s="114"/>
      <c r="S341" s="129"/>
    </row>
    <row r="342" spans="2:21">
      <c r="B342" s="114">
        <v>5</v>
      </c>
      <c r="C342" s="74">
        <f t="shared" si="167"/>
        <v>5.75</v>
      </c>
      <c r="D342" s="74">
        <f t="shared" si="168"/>
        <v>6.5</v>
      </c>
      <c r="E342" s="74">
        <f t="shared" si="169"/>
        <v>7.25</v>
      </c>
      <c r="F342" s="114">
        <v>8</v>
      </c>
      <c r="G342" s="74">
        <f t="shared" si="170"/>
        <v>8.75</v>
      </c>
      <c r="H342" s="74">
        <f t="shared" si="171"/>
        <v>9.5</v>
      </c>
      <c r="I342" s="74">
        <f t="shared" si="172"/>
        <v>10.25</v>
      </c>
      <c r="J342" s="114">
        <f t="shared" si="173"/>
        <v>11</v>
      </c>
      <c r="K342" s="74">
        <f t="shared" si="176"/>
        <v>11.74925</v>
      </c>
      <c r="L342" s="74">
        <f t="shared" si="175"/>
        <v>12.4985</v>
      </c>
      <c r="M342" s="114">
        <f>SUM(J342,J342-G342)</f>
        <v>13.25</v>
      </c>
      <c r="N342" s="115">
        <f t="shared" ref="N342:N349" si="189">SUM(0.2*(R342-M342),M342)</f>
        <v>14</v>
      </c>
      <c r="O342" s="74">
        <f t="shared" ref="O342:O349" si="190">SUM(0.4*(R342-M342),M342)</f>
        <v>14.75</v>
      </c>
      <c r="P342" s="74">
        <f t="shared" ref="P342:P349" si="191">SUM(0.6*(R342-M342),M342)</f>
        <v>15.5</v>
      </c>
      <c r="Q342" s="74">
        <f t="shared" ref="Q342:Q349" si="192">SUM(0.8*(R342-M342),M342)</f>
        <v>16.25</v>
      </c>
      <c r="R342" s="114">
        <v>17</v>
      </c>
      <c r="S342" s="129"/>
      <c r="T342" s="117">
        <f>SUM((CT20+CQ18+CN16+CK14+CH12+CG11+BX6+BW5+BV4)*-0.132,(CS19+CR19+CP17+CO17+CM15+CL15+CJ13+CI13+CF10+CE10+CD9+CC9+CB8+CA8+BZ7+BY7)*-0.132/2,17)</f>
        <v>19.252461538461539</v>
      </c>
      <c r="U342" s="117">
        <f>Lefty!T342</f>
        <v>18.971538461538461</v>
      </c>
    </row>
    <row r="343" spans="2:21">
      <c r="B343" s="114">
        <v>6</v>
      </c>
      <c r="C343" s="74">
        <f t="shared" si="167"/>
        <v>6.5</v>
      </c>
      <c r="D343" s="74">
        <f t="shared" si="168"/>
        <v>7</v>
      </c>
      <c r="E343" s="74">
        <f t="shared" si="169"/>
        <v>7.5</v>
      </c>
      <c r="F343" s="114">
        <v>8</v>
      </c>
      <c r="G343" s="74">
        <f t="shared" si="170"/>
        <v>8.5</v>
      </c>
      <c r="H343" s="74">
        <f t="shared" si="171"/>
        <v>9</v>
      </c>
      <c r="I343" s="74">
        <f t="shared" si="172"/>
        <v>9.5</v>
      </c>
      <c r="J343" s="114">
        <f t="shared" si="173"/>
        <v>10</v>
      </c>
      <c r="K343" s="74">
        <f t="shared" si="176"/>
        <v>10.932400000000001</v>
      </c>
      <c r="L343" s="74">
        <f t="shared" si="175"/>
        <v>11.864800000000001</v>
      </c>
      <c r="M343" s="114">
        <f>SUM(J343,-F343,J343,0.4*ABS(J343-F343))</f>
        <v>12.8</v>
      </c>
      <c r="N343" s="115">
        <f t="shared" si="189"/>
        <v>13.64</v>
      </c>
      <c r="O343" s="74">
        <f t="shared" si="190"/>
        <v>14.48</v>
      </c>
      <c r="P343" s="74">
        <f t="shared" si="191"/>
        <v>15.32</v>
      </c>
      <c r="Q343" s="74">
        <f t="shared" si="192"/>
        <v>16.16</v>
      </c>
      <c r="R343" s="114">
        <v>17</v>
      </c>
      <c r="S343" s="129"/>
      <c r="T343" s="117">
        <f>SUM((CR20+CQ19+CP18+CO17+CN16+CM15+CL14+CK13+CJ12+CI11+BV4)*-0.132,(+CH10+CG10+CF9+CE9+CD8+CC8+CB7+CA7+BZ6+BY6+BX5+BW5)*-0.132/2,17)</f>
        <v>19.64846153846154</v>
      </c>
      <c r="U343" s="117">
        <f>Lefty!T343</f>
        <v>18.575538461538461</v>
      </c>
    </row>
    <row r="344" spans="2:21">
      <c r="B344" s="114">
        <v>7</v>
      </c>
      <c r="C344" s="74">
        <f t="shared" si="167"/>
        <v>7.25</v>
      </c>
      <c r="D344" s="74">
        <f t="shared" si="168"/>
        <v>7.5</v>
      </c>
      <c r="E344" s="74">
        <f t="shared" si="169"/>
        <v>7.75</v>
      </c>
      <c r="F344" s="114">
        <v>8</v>
      </c>
      <c r="G344" s="74">
        <f t="shared" si="170"/>
        <v>8.25</v>
      </c>
      <c r="H344" s="74">
        <f t="shared" si="171"/>
        <v>8.5</v>
      </c>
      <c r="I344" s="74">
        <f t="shared" si="172"/>
        <v>8.75</v>
      </c>
      <c r="J344" s="114">
        <f t="shared" si="173"/>
        <v>9</v>
      </c>
      <c r="K344" s="74">
        <f t="shared" si="176"/>
        <v>9.4662000000000006</v>
      </c>
      <c r="L344" s="74">
        <f t="shared" si="175"/>
        <v>9.9324000000000012</v>
      </c>
      <c r="M344" s="114">
        <f>SUM(J344,-F344,J344,0.4*ABS(J344-F344))</f>
        <v>10.4</v>
      </c>
      <c r="N344" s="115">
        <f t="shared" si="189"/>
        <v>11.72</v>
      </c>
      <c r="O344" s="74">
        <f t="shared" si="190"/>
        <v>13.040000000000001</v>
      </c>
      <c r="P344" s="74">
        <f t="shared" si="191"/>
        <v>14.36</v>
      </c>
      <c r="Q344" s="74">
        <f t="shared" si="192"/>
        <v>15.68</v>
      </c>
      <c r="R344" s="114">
        <v>17</v>
      </c>
      <c r="S344" s="129"/>
      <c r="T344" s="117">
        <f>SUM((CP20+CO19+CO18+CN17+CN16+CM15+CM14+CL13+CL12+CK12+CJ10+CI9)*-0.132,(CH8+CG8+CF8+CE7+CD7+CC7+CB6+CA6+BZ6)*-0.132/3,(BY5+BX5+BW4+BV4)*-0.132/2,17)</f>
        <v>19.663692307692308</v>
      </c>
      <c r="U344" s="117">
        <f>Lefty!T344</f>
        <v>19.110307692307693</v>
      </c>
    </row>
    <row r="345" spans="2:21">
      <c r="B345" s="114">
        <v>8</v>
      </c>
      <c r="C345" s="74">
        <f t="shared" si="167"/>
        <v>8</v>
      </c>
      <c r="D345" s="74">
        <f t="shared" si="168"/>
        <v>8</v>
      </c>
      <c r="E345" s="74">
        <f t="shared" si="169"/>
        <v>8</v>
      </c>
      <c r="F345" s="114">
        <v>8</v>
      </c>
      <c r="G345" s="74">
        <f t="shared" si="170"/>
        <v>8</v>
      </c>
      <c r="H345" s="74">
        <f t="shared" si="171"/>
        <v>8</v>
      </c>
      <c r="I345" s="74">
        <f t="shared" si="172"/>
        <v>8</v>
      </c>
      <c r="J345" s="114">
        <f t="shared" si="173"/>
        <v>8</v>
      </c>
      <c r="K345" s="74">
        <f t="shared" si="176"/>
        <v>8.4495500000000003</v>
      </c>
      <c r="L345" s="74">
        <f t="shared" si="175"/>
        <v>8.8991000000000007</v>
      </c>
      <c r="M345" s="114">
        <f>SUM(J345,-F345,J345,0.2*ABS(J345-F345),0.15*(17-F345))</f>
        <v>9.35</v>
      </c>
      <c r="N345" s="115">
        <f t="shared" si="189"/>
        <v>10.879999999999999</v>
      </c>
      <c r="O345" s="74">
        <f t="shared" si="190"/>
        <v>12.41</v>
      </c>
      <c r="P345" s="74">
        <f t="shared" si="191"/>
        <v>13.94</v>
      </c>
      <c r="Q345" s="74">
        <f t="shared" si="192"/>
        <v>15.47</v>
      </c>
      <c r="R345" s="114">
        <v>17</v>
      </c>
      <c r="S345" s="129"/>
      <c r="T345" s="117">
        <f>SUM((CN20+CN19+CN18+CN17+CN16+CN15+CN14+CN13+CN12+CM11+CL10+CK9)*-0.132,(CJ8+CI8+CH8+CG7+CF7+CE7+CD6+CC6+CB6+CA5+BZ5+BY5+BX4+BW4+BV4)*-0.132/3,17)</f>
        <v>19.824461538461538</v>
      </c>
      <c r="U345" s="117">
        <f>Lefty!T345</f>
        <v>17.82753846153846</v>
      </c>
    </row>
    <row r="346" spans="2:21">
      <c r="B346" s="114">
        <v>9</v>
      </c>
      <c r="C346" s="74">
        <f t="shared" si="167"/>
        <v>8.75</v>
      </c>
      <c r="D346" s="74">
        <f t="shared" si="168"/>
        <v>8.5</v>
      </c>
      <c r="E346" s="74">
        <f t="shared" si="169"/>
        <v>8.25</v>
      </c>
      <c r="F346" s="114">
        <v>8</v>
      </c>
      <c r="G346" s="74">
        <f t="shared" si="170"/>
        <v>7.75</v>
      </c>
      <c r="H346" s="74">
        <f t="shared" si="171"/>
        <v>7.5</v>
      </c>
      <c r="I346" s="74">
        <f t="shared" si="172"/>
        <v>7.25</v>
      </c>
      <c r="J346" s="114">
        <f t="shared" si="173"/>
        <v>7</v>
      </c>
      <c r="K346" s="74">
        <f t="shared" si="176"/>
        <v>6.8002000000000002</v>
      </c>
      <c r="L346" s="74">
        <f t="shared" si="175"/>
        <v>6.6004000000000005</v>
      </c>
      <c r="M346" s="114">
        <f>SUM(J346,-F346,J346,0.4*ABS(J346-F346))</f>
        <v>6.4</v>
      </c>
      <c r="N346" s="115">
        <f t="shared" si="189"/>
        <v>8.52</v>
      </c>
      <c r="O346" s="74">
        <f t="shared" si="190"/>
        <v>10.64</v>
      </c>
      <c r="P346" s="74">
        <f t="shared" si="191"/>
        <v>12.76</v>
      </c>
      <c r="Q346" s="74">
        <f t="shared" si="192"/>
        <v>14.88</v>
      </c>
      <c r="R346" s="114">
        <v>17</v>
      </c>
      <c r="S346" s="129"/>
      <c r="T346" s="117">
        <f>SUM((CL20+CM19+CM18+CN17+CN16+CO15+CO14+CP13+CP12+CQ11+CQ10+CQ9)*-0.132,(CP8+CO8+CN8+CM8+CL8)*-0.132/5,(CK7+CJ7+CI7+CH7+CG6+CF6+CE6+CD6+CC5+CB5+CA5+BZ5+BY4+BX4+BW4+BV4)*-0.132/4,17)</f>
        <v>18.731061538461539</v>
      </c>
      <c r="U346" s="117">
        <f>Lefty!T346</f>
        <v>18.555738461538461</v>
      </c>
    </row>
    <row r="347" spans="2:21">
      <c r="B347" s="114">
        <v>10</v>
      </c>
      <c r="C347" s="74">
        <f t="shared" si="167"/>
        <v>9.5</v>
      </c>
      <c r="D347" s="74">
        <f t="shared" si="168"/>
        <v>9</v>
      </c>
      <c r="E347" s="74">
        <f t="shared" si="169"/>
        <v>8.5</v>
      </c>
      <c r="F347" s="114">
        <v>8</v>
      </c>
      <c r="G347" s="74">
        <f t="shared" si="170"/>
        <v>7.5</v>
      </c>
      <c r="H347" s="74">
        <f t="shared" si="171"/>
        <v>7</v>
      </c>
      <c r="I347" s="74">
        <f t="shared" si="172"/>
        <v>6.5</v>
      </c>
      <c r="J347" s="114">
        <f t="shared" si="173"/>
        <v>6</v>
      </c>
      <c r="K347" s="74">
        <f t="shared" si="176"/>
        <v>5.6003999999999996</v>
      </c>
      <c r="L347" s="74">
        <f t="shared" si="175"/>
        <v>5.2008000000000001</v>
      </c>
      <c r="M347" s="114">
        <f>SUM(J347,-F347,J347,0.4*ABS(J347-F347))</f>
        <v>4.8</v>
      </c>
      <c r="N347" s="115">
        <f t="shared" si="189"/>
        <v>7.24</v>
      </c>
      <c r="O347" s="74">
        <f t="shared" si="190"/>
        <v>9.68</v>
      </c>
      <c r="P347" s="74">
        <f t="shared" si="191"/>
        <v>12.12</v>
      </c>
      <c r="Q347" s="74">
        <f t="shared" si="192"/>
        <v>14.559999999999999</v>
      </c>
      <c r="R347" s="114">
        <v>17</v>
      </c>
      <c r="S347" s="129"/>
      <c r="T347" s="117">
        <f>SUM((CJ20+CK19+CL18+CM17+CN16+CO15+CP14+CQ13+CR12+CS11+CT10+CU9)*-0.132,(CT8+CS8+CR8+CQ8+CP8+CO7+CN7+CM7+CL7+CK7+CJ6+CI6+CH6+CG6+CF6+CE5+CD5+CC5+CB5+CA5+BZ4+BY4+BX4+BW4+BV4)*-0.132/5,17)</f>
        <v>18.513261538461538</v>
      </c>
      <c r="U347" s="117">
        <f>Lefty!T347</f>
        <v>18.073938461538461</v>
      </c>
    </row>
    <row r="348" spans="2:21">
      <c r="B348" s="114">
        <v>11</v>
      </c>
      <c r="C348" s="74">
        <f t="shared" si="167"/>
        <v>10.25</v>
      </c>
      <c r="D348" s="74">
        <f t="shared" si="168"/>
        <v>9.5</v>
      </c>
      <c r="E348" s="74">
        <f t="shared" si="169"/>
        <v>8.75</v>
      </c>
      <c r="F348" s="114">
        <v>8</v>
      </c>
      <c r="G348" s="74">
        <f t="shared" si="170"/>
        <v>7.25</v>
      </c>
      <c r="H348" s="74">
        <f t="shared" si="171"/>
        <v>6.5</v>
      </c>
      <c r="I348" s="74">
        <f t="shared" si="172"/>
        <v>5.75</v>
      </c>
      <c r="J348" s="114">
        <f t="shared" si="173"/>
        <v>5</v>
      </c>
      <c r="K348" s="74">
        <f t="shared" si="176"/>
        <v>4.4005999999999998</v>
      </c>
      <c r="L348" s="74">
        <f t="shared" si="175"/>
        <v>3.8012000000000001</v>
      </c>
      <c r="M348" s="114">
        <f>SUM(J348,-F348,J348,0.4*ABS(J348-F348))</f>
        <v>3.2</v>
      </c>
      <c r="N348" s="115">
        <f t="shared" si="189"/>
        <v>5.9600000000000009</v>
      </c>
      <c r="O348" s="74">
        <f t="shared" si="190"/>
        <v>8.7200000000000006</v>
      </c>
      <c r="P348" s="74">
        <f t="shared" si="191"/>
        <v>11.48</v>
      </c>
      <c r="Q348" s="74">
        <f t="shared" si="192"/>
        <v>14.240000000000002</v>
      </c>
      <c r="R348" s="114">
        <v>17</v>
      </c>
      <c r="S348" s="129"/>
      <c r="T348" s="117">
        <f>SUM((CH20+CK18+CN16+CQ14+CT12+CW10+CX9)*-0.132,(CI19+CJ19+CL17+CM17+CO15+CP15+CR13+CS13+CU11+CV11)*-0.132/2,(CW8+CV8+CU8+CT8+CS8+CR8+CQ7+CP7+CO7+CN7+CM7+CL7+CK6+CJ6+CI6+CH6+CG6+CF6)*-0.132/6,(CE5+CD5+CC5+CB5+CA5+BZ4+BY4+BX4+BW4+BV4)*-0.132/5,17)</f>
        <v>18.090861538461539</v>
      </c>
      <c r="U348" s="117">
        <f>Lefty!T348</f>
        <v>18.513938461538462</v>
      </c>
    </row>
    <row r="349" spans="2:21">
      <c r="B349" s="114">
        <v>12</v>
      </c>
      <c r="C349" s="74">
        <f t="shared" si="167"/>
        <v>11</v>
      </c>
      <c r="D349" s="74">
        <f t="shared" si="168"/>
        <v>10</v>
      </c>
      <c r="E349" s="74">
        <f t="shared" si="169"/>
        <v>9</v>
      </c>
      <c r="F349" s="114">
        <v>8</v>
      </c>
      <c r="G349" s="74">
        <f t="shared" si="170"/>
        <v>7</v>
      </c>
      <c r="H349" s="74">
        <f t="shared" si="171"/>
        <v>6</v>
      </c>
      <c r="I349" s="74">
        <f t="shared" si="172"/>
        <v>5</v>
      </c>
      <c r="J349" s="114">
        <f t="shared" si="173"/>
        <v>4</v>
      </c>
      <c r="K349" s="74">
        <f t="shared" si="176"/>
        <v>3.2008000000000001</v>
      </c>
      <c r="L349" s="74">
        <f t="shared" si="175"/>
        <v>2.4016000000000002</v>
      </c>
      <c r="M349" s="114">
        <f>SUM(J349,-F349,J349,0.4*ABS(J349-F349))</f>
        <v>1.6</v>
      </c>
      <c r="N349" s="115">
        <f t="shared" si="189"/>
        <v>4.68</v>
      </c>
      <c r="O349" s="74">
        <f t="shared" si="190"/>
        <v>7.76</v>
      </c>
      <c r="P349" s="74">
        <f t="shared" si="191"/>
        <v>10.84</v>
      </c>
      <c r="Q349" s="74">
        <f t="shared" si="192"/>
        <v>13.92</v>
      </c>
      <c r="R349" s="114">
        <v>17</v>
      </c>
      <c r="S349" s="129"/>
      <c r="T349" s="131">
        <f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17.919890109890112</v>
      </c>
      <c r="U349" s="131">
        <f>Lefty!T349</f>
        <v>18.685538461538464</v>
      </c>
    </row>
    <row r="350" spans="2:21">
      <c r="B350" s="114"/>
      <c r="C350" s="74"/>
      <c r="D350" s="74"/>
      <c r="E350" s="74"/>
      <c r="F350" s="114"/>
      <c r="G350" s="74"/>
      <c r="H350" s="74"/>
      <c r="I350" s="74"/>
      <c r="J350" s="114"/>
      <c r="K350" s="74"/>
      <c r="L350" s="74"/>
      <c r="M350" s="114"/>
      <c r="N350" s="115"/>
      <c r="O350" s="74"/>
      <c r="P350" s="74"/>
      <c r="Q350" s="74"/>
      <c r="R350" s="114"/>
      <c r="S350" s="129"/>
    </row>
    <row r="351" spans="2:21">
      <c r="B351" s="114">
        <v>7</v>
      </c>
      <c r="C351" s="74">
        <f t="shared" si="167"/>
        <v>7.5</v>
      </c>
      <c r="D351" s="74">
        <f t="shared" si="168"/>
        <v>8</v>
      </c>
      <c r="E351" s="74">
        <f t="shared" si="169"/>
        <v>8.5</v>
      </c>
      <c r="F351" s="114">
        <v>9</v>
      </c>
      <c r="G351" s="74">
        <f t="shared" si="170"/>
        <v>9.5</v>
      </c>
      <c r="H351" s="74">
        <f t="shared" si="171"/>
        <v>10</v>
      </c>
      <c r="I351" s="74">
        <f t="shared" si="172"/>
        <v>10.5</v>
      </c>
      <c r="J351" s="114">
        <f t="shared" si="173"/>
        <v>11</v>
      </c>
      <c r="K351" s="74">
        <f t="shared" si="176"/>
        <v>11.932400000000001</v>
      </c>
      <c r="L351" s="74">
        <f t="shared" si="175"/>
        <v>12.864800000000001</v>
      </c>
      <c r="M351" s="114">
        <f>SUM(J351,-F351,J351,0.4*ABS(J351-F351))</f>
        <v>13.8</v>
      </c>
      <c r="N351" s="115">
        <f t="shared" ref="N351:N358" si="193">SUM(0.2*(R351-M351),M351)</f>
        <v>14.440000000000001</v>
      </c>
      <c r="O351" s="74">
        <f t="shared" ref="O351:O358" si="194">SUM(0.4*(R351-M351),M351)</f>
        <v>15.08</v>
      </c>
      <c r="P351" s="74">
        <f t="shared" ref="P351:P358" si="195">SUM(0.6*(R351-M351),M351)</f>
        <v>15.72</v>
      </c>
      <c r="Q351" s="74">
        <f t="shared" ref="Q351:Q358" si="196">SUM(0.8*(R351-M351),M351)</f>
        <v>16.36</v>
      </c>
      <c r="R351" s="114">
        <v>17</v>
      </c>
      <c r="S351" s="129"/>
      <c r="T351" s="117">
        <f>SUM((CP20+CO19+CN18+CM17+CL16+CK15+CJ14+CI13+CH12+BY7+BX6+BW5+BV4)*-0.132,(CG11+CF11+CE10+CD10+CC9+CB9+CA8+BZ8)*-0.132/2,17)</f>
        <v>18.988461538461539</v>
      </c>
      <c r="U351" s="117">
        <f>Lefty!T351</f>
        <v>19.169538461538462</v>
      </c>
    </row>
    <row r="352" spans="2:21">
      <c r="B352" s="114">
        <v>8</v>
      </c>
      <c r="C352" s="74">
        <f t="shared" si="167"/>
        <v>8.25</v>
      </c>
      <c r="D352" s="74">
        <f t="shared" si="168"/>
        <v>8.5</v>
      </c>
      <c r="E352" s="74">
        <f t="shared" si="169"/>
        <v>8.75</v>
      </c>
      <c r="F352" s="114">
        <v>9</v>
      </c>
      <c r="G352" s="74">
        <f t="shared" si="170"/>
        <v>9.25</v>
      </c>
      <c r="H352" s="74">
        <f t="shared" si="171"/>
        <v>9.5</v>
      </c>
      <c r="I352" s="74">
        <f t="shared" si="172"/>
        <v>9.75</v>
      </c>
      <c r="J352" s="114">
        <f t="shared" si="173"/>
        <v>10</v>
      </c>
      <c r="K352" s="74">
        <f t="shared" si="176"/>
        <v>10.466200000000001</v>
      </c>
      <c r="L352" s="74">
        <f t="shared" si="175"/>
        <v>10.932400000000001</v>
      </c>
      <c r="M352" s="114">
        <f>SUM(J352,-F352,J352,0.4*ABS(J352-F352))</f>
        <v>11.4</v>
      </c>
      <c r="N352" s="115">
        <f t="shared" si="193"/>
        <v>12.52</v>
      </c>
      <c r="O352" s="74">
        <f t="shared" si="194"/>
        <v>13.64</v>
      </c>
      <c r="P352" s="74">
        <f t="shared" si="195"/>
        <v>14.76</v>
      </c>
      <c r="Q352" s="74">
        <f t="shared" si="196"/>
        <v>15.879999999999999</v>
      </c>
      <c r="R352" s="114">
        <v>17</v>
      </c>
      <c r="S352" s="129"/>
      <c r="T352" s="117">
        <f>SUM((CN20+CM19+CM18+CL17+CL16+CK15+CK14+CJ13+CJ12+CI11+CH10+CG9)*-0.132,(CF8+CE8+CD8)*-0.132/3,(CC7+CB7+CA6+BZ6+BY5+BX5+BW4+BV4)*-0.132/2,17)</f>
        <v>18.72446153846154</v>
      </c>
      <c r="U352" s="117">
        <f>Lefty!T352</f>
        <v>19.015538461538462</v>
      </c>
    </row>
    <row r="353" spans="2:21">
      <c r="B353" s="114">
        <v>9</v>
      </c>
      <c r="C353" s="74">
        <f t="shared" si="167"/>
        <v>9</v>
      </c>
      <c r="D353" s="74">
        <f t="shared" si="168"/>
        <v>9</v>
      </c>
      <c r="E353" s="74">
        <f t="shared" si="169"/>
        <v>9</v>
      </c>
      <c r="F353" s="114">
        <v>9</v>
      </c>
      <c r="G353" s="74">
        <f t="shared" si="170"/>
        <v>9</v>
      </c>
      <c r="H353" s="74">
        <f t="shared" si="171"/>
        <v>9</v>
      </c>
      <c r="I353" s="74">
        <f t="shared" si="172"/>
        <v>9</v>
      </c>
      <c r="J353" s="114">
        <f t="shared" si="173"/>
        <v>9</v>
      </c>
      <c r="K353" s="74">
        <f t="shared" si="176"/>
        <v>9.3995999999999995</v>
      </c>
      <c r="L353" s="74">
        <f t="shared" si="175"/>
        <v>9.799199999999999</v>
      </c>
      <c r="M353" s="114">
        <f>SUM(J353,-F353,J353,0.2*ABS(J353-F353),0.15*(17-F353))</f>
        <v>10.199999999999999</v>
      </c>
      <c r="N353" s="115">
        <f t="shared" si="193"/>
        <v>11.559999999999999</v>
      </c>
      <c r="O353" s="74">
        <f t="shared" si="194"/>
        <v>12.92</v>
      </c>
      <c r="P353" s="74">
        <f t="shared" si="195"/>
        <v>14.28</v>
      </c>
      <c r="Q353" s="74">
        <f t="shared" si="196"/>
        <v>15.64</v>
      </c>
      <c r="R353" s="114">
        <v>17</v>
      </c>
      <c r="S353" s="129"/>
      <c r="T353" s="117">
        <f>SUM((CL20+CL19+CL18+CL17+CL16+CL15+CL14+CL13+CL12+CK11+CK10+CJ9)*-0.132,(CI8+CH8+CG8+CF7+CE7+CD7+CC6+CB6+CA6+BZ5+BY5+BX5)*-0.132/3,(BW4+BV4)*-0.132/2,17)</f>
        <v>18.196461538461538</v>
      </c>
      <c r="U353" s="117">
        <f>Lefty!T353</f>
        <v>19.125538461538461</v>
      </c>
    </row>
    <row r="354" spans="2:21">
      <c r="B354" s="114">
        <v>10</v>
      </c>
      <c r="C354" s="74">
        <f t="shared" si="167"/>
        <v>9.75</v>
      </c>
      <c r="D354" s="74">
        <f t="shared" si="168"/>
        <v>9.5</v>
      </c>
      <c r="E354" s="74">
        <f t="shared" si="169"/>
        <v>9.25</v>
      </c>
      <c r="F354" s="114">
        <v>9</v>
      </c>
      <c r="G354" s="74">
        <f t="shared" si="170"/>
        <v>8.75</v>
      </c>
      <c r="H354" s="74">
        <f t="shared" si="171"/>
        <v>8.5</v>
      </c>
      <c r="I354" s="74">
        <f t="shared" si="172"/>
        <v>8.25</v>
      </c>
      <c r="J354" s="114">
        <f t="shared" si="173"/>
        <v>8</v>
      </c>
      <c r="K354" s="74">
        <f t="shared" si="176"/>
        <v>7.8002000000000002</v>
      </c>
      <c r="L354" s="74">
        <f t="shared" si="175"/>
        <v>7.6004000000000005</v>
      </c>
      <c r="M354" s="114">
        <f>SUM(J354,-F354,J354,0.4*ABS(J354-F354))</f>
        <v>7.4</v>
      </c>
      <c r="N354" s="115">
        <f t="shared" si="193"/>
        <v>9.32</v>
      </c>
      <c r="O354" s="74">
        <f t="shared" si="194"/>
        <v>11.24</v>
      </c>
      <c r="P354" s="74">
        <f t="shared" si="195"/>
        <v>13.16</v>
      </c>
      <c r="Q354" s="74">
        <f t="shared" si="196"/>
        <v>15.08</v>
      </c>
      <c r="R354" s="114">
        <v>17</v>
      </c>
      <c r="S354" s="129"/>
      <c r="T354" s="117">
        <f>SUM((CJ20+CK19+CK18+CL17+CL16+CM15+CM14+CN13+CN12+CO11+CO10+CP9)*-0.132,(CO8+CN8+CM8+CL8+CK7+CJ7+CI7+CH7+CG6+CF6+CE6+CD6+CC5+CB5+CA5+BZ5+BY4+BX4+BW4+BV4)*-0.132/4,17)</f>
        <v>18.36146153846154</v>
      </c>
      <c r="U354" s="117">
        <f>Lefty!T354</f>
        <v>18.806538461538462</v>
      </c>
    </row>
    <row r="355" spans="2:21">
      <c r="B355" s="114">
        <v>11</v>
      </c>
      <c r="C355" s="74">
        <f t="shared" si="167"/>
        <v>10.5</v>
      </c>
      <c r="D355" s="74">
        <f t="shared" si="168"/>
        <v>10</v>
      </c>
      <c r="E355" s="74">
        <f t="shared" si="169"/>
        <v>9.5</v>
      </c>
      <c r="F355" s="114">
        <v>9</v>
      </c>
      <c r="G355" s="74">
        <f t="shared" si="170"/>
        <v>8.5</v>
      </c>
      <c r="H355" s="74">
        <f t="shared" si="171"/>
        <v>8</v>
      </c>
      <c r="I355" s="74">
        <f t="shared" si="172"/>
        <v>7.5</v>
      </c>
      <c r="J355" s="114">
        <f t="shared" si="173"/>
        <v>7</v>
      </c>
      <c r="K355" s="74">
        <f t="shared" si="176"/>
        <v>6.6003999999999996</v>
      </c>
      <c r="L355" s="74">
        <f t="shared" si="175"/>
        <v>6.2008000000000001</v>
      </c>
      <c r="M355" s="114">
        <f>SUM(J355,-F355,J355,0.4*ABS(J355-F355))</f>
        <v>5.8</v>
      </c>
      <c r="N355" s="115">
        <f t="shared" si="193"/>
        <v>8.0399999999999991</v>
      </c>
      <c r="O355" s="74">
        <f t="shared" si="194"/>
        <v>10.28</v>
      </c>
      <c r="P355" s="74">
        <f t="shared" si="195"/>
        <v>12.52</v>
      </c>
      <c r="Q355" s="74">
        <f t="shared" si="196"/>
        <v>14.759999999999998</v>
      </c>
      <c r="R355" s="114">
        <v>17</v>
      </c>
      <c r="S355" s="129"/>
      <c r="T355" s="117">
        <f>SUM((CH20+CI19+CJ18+CK17+CL16+CM15+CN14+CO13+CP12+CQ11+CR10+CR9)*-0.132,(CQ8+CP8+CO8+CN8+CM8+CL7+CK7+CJ7+CI7+CH7)*-0.132/5,(CG6+CF6+CE6+CD6+CC5+CB5+CA5+BZ5+BY4+BX4+BW4+BV4)*-0.132/4,17)</f>
        <v>18.077661538461538</v>
      </c>
      <c r="U355" s="117">
        <f>Lefty!T355</f>
        <v>18.951738461538461</v>
      </c>
    </row>
    <row r="356" spans="2:21">
      <c r="B356" s="114">
        <v>12</v>
      </c>
      <c r="C356" s="74">
        <f t="shared" si="167"/>
        <v>11.25</v>
      </c>
      <c r="D356" s="74">
        <f t="shared" si="168"/>
        <v>10.5</v>
      </c>
      <c r="E356" s="74">
        <f t="shared" si="169"/>
        <v>9.75</v>
      </c>
      <c r="F356" s="114">
        <v>9</v>
      </c>
      <c r="G356" s="74">
        <f t="shared" si="170"/>
        <v>8.25</v>
      </c>
      <c r="H356" s="74">
        <f t="shared" si="171"/>
        <v>7.5</v>
      </c>
      <c r="I356" s="74">
        <f t="shared" si="172"/>
        <v>6.75</v>
      </c>
      <c r="J356" s="114">
        <f t="shared" si="173"/>
        <v>6</v>
      </c>
      <c r="K356" s="74">
        <f t="shared" si="176"/>
        <v>5.4005999999999998</v>
      </c>
      <c r="L356" s="74">
        <f t="shared" si="175"/>
        <v>4.8011999999999997</v>
      </c>
      <c r="M356" s="114">
        <f>SUM(J356,-F356,J356,0.4*ABS(J356-F356))</f>
        <v>4.2</v>
      </c>
      <c r="N356" s="115">
        <f t="shared" si="193"/>
        <v>6.7600000000000007</v>
      </c>
      <c r="O356" s="74">
        <f t="shared" si="194"/>
        <v>9.32</v>
      </c>
      <c r="P356" s="74">
        <f t="shared" si="195"/>
        <v>11.879999999999999</v>
      </c>
      <c r="Q356" s="74">
        <f t="shared" si="196"/>
        <v>14.440000000000001</v>
      </c>
      <c r="R356" s="114">
        <v>17</v>
      </c>
      <c r="S356" s="129"/>
      <c r="T356" s="117">
        <f>SUM((CF20+CI18+CL16+CO14+CR12+CU10+CV9)*-0.132,(CG19+CH19+CJ17+CK17+CM15+CN15+CP13+CQ13+CS11+CT11)*-0.132/2,(CU8+CT8+CS8+CR8+CQ8+CP8)*-0.132/6,(CO7+CN7+CM7+CL7+CK7+CJ6+CI6+CH6+CG6+CF6+CE5+CD5+CC5+CB5+CA5+BZ4+BY4+BX4+BW4+BV4)*-0.132/5,17)</f>
        <v>17.664061538461539</v>
      </c>
      <c r="U356" s="117">
        <f>Lefty!T356</f>
        <v>18.659138461538461</v>
      </c>
    </row>
    <row r="357" spans="2:21">
      <c r="B357" s="114">
        <v>13</v>
      </c>
      <c r="C357" s="74">
        <f t="shared" si="167"/>
        <v>12</v>
      </c>
      <c r="D357" s="74">
        <f t="shared" si="168"/>
        <v>11</v>
      </c>
      <c r="E357" s="74">
        <f t="shared" si="169"/>
        <v>10</v>
      </c>
      <c r="F357" s="114">
        <v>9</v>
      </c>
      <c r="G357" s="74">
        <f t="shared" si="170"/>
        <v>8</v>
      </c>
      <c r="H357" s="74">
        <f t="shared" si="171"/>
        <v>7</v>
      </c>
      <c r="I357" s="74">
        <f t="shared" si="172"/>
        <v>6</v>
      </c>
      <c r="J357" s="114">
        <f t="shared" si="173"/>
        <v>5</v>
      </c>
      <c r="K357" s="74">
        <f t="shared" si="176"/>
        <v>4.2008000000000001</v>
      </c>
      <c r="L357" s="74">
        <f t="shared" si="175"/>
        <v>3.4016000000000002</v>
      </c>
      <c r="M357" s="114">
        <f>SUM(J357,-F357,J357,0.4*ABS(J357-F357))</f>
        <v>2.6</v>
      </c>
      <c r="N357" s="115">
        <f t="shared" si="193"/>
        <v>5.48</v>
      </c>
      <c r="O357" s="74">
        <f t="shared" si="194"/>
        <v>8.3600000000000012</v>
      </c>
      <c r="P357" s="74">
        <f t="shared" si="195"/>
        <v>11.24</v>
      </c>
      <c r="Q357" s="74">
        <f t="shared" si="196"/>
        <v>14.120000000000001</v>
      </c>
      <c r="R357" s="114">
        <v>17</v>
      </c>
      <c r="S357" s="129"/>
      <c r="T357" s="117">
        <f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17.888461538461538</v>
      </c>
      <c r="U357" s="117">
        <f>Lefty!T357</f>
        <v>18.874738461538463</v>
      </c>
    </row>
    <row r="358" spans="2:21">
      <c r="B358" s="114">
        <v>14</v>
      </c>
      <c r="C358" s="74">
        <f t="shared" si="167"/>
        <v>12.75</v>
      </c>
      <c r="D358" s="74">
        <f t="shared" si="168"/>
        <v>11.5</v>
      </c>
      <c r="E358" s="74">
        <f t="shared" si="169"/>
        <v>10.25</v>
      </c>
      <c r="F358" s="114">
        <v>9</v>
      </c>
      <c r="G358" s="74">
        <f t="shared" si="170"/>
        <v>7.75</v>
      </c>
      <c r="H358" s="74">
        <f t="shared" si="171"/>
        <v>6.5</v>
      </c>
      <c r="I358" s="74">
        <f t="shared" si="172"/>
        <v>5.25</v>
      </c>
      <c r="J358" s="114">
        <f t="shared" si="173"/>
        <v>4</v>
      </c>
      <c r="K358" s="74">
        <f t="shared" si="176"/>
        <v>3.0009999999999999</v>
      </c>
      <c r="L358" s="74">
        <f t="shared" si="175"/>
        <v>2.0019999999999998</v>
      </c>
      <c r="M358" s="114">
        <f>SUM(J358,-F358,J358,0.4*ABS(J358-F358))</f>
        <v>1</v>
      </c>
      <c r="N358" s="115">
        <f t="shared" si="193"/>
        <v>4.2</v>
      </c>
      <c r="O358" s="74">
        <f t="shared" si="194"/>
        <v>7.4</v>
      </c>
      <c r="P358" s="74">
        <f t="shared" si="195"/>
        <v>10.6</v>
      </c>
      <c r="Q358" s="74">
        <f t="shared" si="196"/>
        <v>13.8</v>
      </c>
      <c r="R358" s="114">
        <v>17</v>
      </c>
      <c r="S358" s="129"/>
      <c r="T358" s="131">
        <f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17.822461538461539</v>
      </c>
      <c r="U358" s="131">
        <f>Lefty!T358</f>
        <v>18.754681318681321</v>
      </c>
    </row>
    <row r="359" spans="2:21">
      <c r="B359" s="114"/>
      <c r="C359" s="74"/>
      <c r="D359" s="74"/>
      <c r="E359" s="74"/>
      <c r="F359" s="114"/>
      <c r="G359" s="74"/>
      <c r="H359" s="74"/>
      <c r="I359" s="74"/>
      <c r="J359" s="114"/>
      <c r="K359" s="74"/>
      <c r="L359" s="74"/>
      <c r="M359" s="114"/>
      <c r="N359" s="115"/>
      <c r="O359" s="74"/>
      <c r="P359" s="74"/>
      <c r="Q359" s="74"/>
      <c r="R359" s="114"/>
      <c r="S359" s="129"/>
    </row>
    <row r="360" spans="2:21">
      <c r="B360" s="114">
        <v>8</v>
      </c>
      <c r="C360" s="74">
        <f>SUM(0.25*(F360-B360),B360)</f>
        <v>8.5</v>
      </c>
      <c r="D360" s="74">
        <f>SUM(0.5*(F360-B360)+B360)</f>
        <v>9</v>
      </c>
      <c r="E360" s="74">
        <f>SUM(0.75*(F360-B360),B360)</f>
        <v>9.5</v>
      </c>
      <c r="F360" s="114">
        <v>10</v>
      </c>
      <c r="G360" s="74">
        <f>SUM(0.25*(J360-F360),F360)</f>
        <v>10.5</v>
      </c>
      <c r="H360" s="74">
        <f>SUM(0.5*(J360-F360),F360)</f>
        <v>11</v>
      </c>
      <c r="I360" s="74">
        <f>SUM(0.75*(J360-F360),F360)</f>
        <v>11.5</v>
      </c>
      <c r="J360" s="114">
        <f>SUM(F360,-B360,F360)</f>
        <v>12</v>
      </c>
      <c r="K360" s="74">
        <f t="shared" si="176"/>
        <v>12.932400000000001</v>
      </c>
      <c r="L360" s="74">
        <f t="shared" si="175"/>
        <v>13.864800000000001</v>
      </c>
      <c r="M360" s="114">
        <f>SUM(J360,-F360,J360,0.4*ABS(J360-F360))</f>
        <v>14.8</v>
      </c>
      <c r="N360" s="115">
        <f t="shared" ref="N360:N367" si="197">SUM(0.2*(R360-M360),M360)</f>
        <v>15.24</v>
      </c>
      <c r="O360" s="74">
        <f t="shared" ref="O360:O367" si="198">SUM(0.4*(R360-M360),M360)</f>
        <v>15.68</v>
      </c>
      <c r="P360" s="74">
        <f t="shared" ref="P360:P367" si="199">SUM(0.6*(R360-M360),M360)</f>
        <v>16.12</v>
      </c>
      <c r="Q360" s="74">
        <f t="shared" ref="Q360:Q367" si="200">SUM(0.8*(R360-M360),M360)</f>
        <v>16.559999999999999</v>
      </c>
      <c r="R360" s="114">
        <v>17</v>
      </c>
      <c r="S360" s="129"/>
      <c r="T360" s="117">
        <f>SUM((CN20+CM19+CL18+CK17+CJ16+CI15+CH14+CG13+CF12+CE11+BZ8+BY7+BX6+BW5+BV4)*-0.132,(CD10+CC10+CB9+CA9)*-0.132/2,17)</f>
        <v>18.196461538461538</v>
      </c>
      <c r="U360" s="117">
        <f>Lefty!T360</f>
        <v>19.103538461538463</v>
      </c>
    </row>
    <row r="361" spans="2:21">
      <c r="B361" s="114">
        <v>9</v>
      </c>
      <c r="C361" s="74">
        <f t="shared" ref="C361:C428" si="201">SUM(0.25*(F361-B361),B361)</f>
        <v>9.25</v>
      </c>
      <c r="D361" s="74">
        <f t="shared" ref="D361:D428" si="202">SUM(0.5*(F361-B361)+B361)</f>
        <v>9.5</v>
      </c>
      <c r="E361" s="74">
        <f t="shared" ref="E361:E428" si="203">SUM(0.75*(F361-B361),B361)</f>
        <v>9.75</v>
      </c>
      <c r="F361" s="114">
        <v>10</v>
      </c>
      <c r="G361" s="74">
        <f t="shared" ref="G361:G428" si="204">SUM(0.25*(J361-F361),F361)</f>
        <v>10.25</v>
      </c>
      <c r="H361" s="74">
        <f t="shared" ref="H361:H428" si="205">SUM(0.5*(J361-F361),F361)</f>
        <v>10.5</v>
      </c>
      <c r="I361" s="74">
        <f t="shared" ref="I361:I428" si="206">SUM(0.75*(J361-F361),F361)</f>
        <v>10.75</v>
      </c>
      <c r="J361" s="114">
        <f t="shared" ref="J361:J428" si="207">SUM(F361,-B361,F361)</f>
        <v>11</v>
      </c>
      <c r="K361" s="74">
        <f t="shared" si="176"/>
        <v>11.466200000000001</v>
      </c>
      <c r="L361" s="74">
        <f t="shared" si="175"/>
        <v>11.932400000000001</v>
      </c>
      <c r="M361" s="114">
        <f>SUM(J361,-F361,J361,0.4*ABS(J361-F361))</f>
        <v>12.4</v>
      </c>
      <c r="N361" s="115">
        <f t="shared" si="197"/>
        <v>13.32</v>
      </c>
      <c r="O361" s="74">
        <f t="shared" si="198"/>
        <v>14.24</v>
      </c>
      <c r="P361" s="74">
        <f t="shared" si="199"/>
        <v>15.16</v>
      </c>
      <c r="Q361" s="74">
        <f t="shared" si="200"/>
        <v>16.079999999999998</v>
      </c>
      <c r="R361" s="114">
        <v>17</v>
      </c>
      <c r="S361" s="129"/>
      <c r="T361" s="117">
        <f>SUM((CL20+CK19+CK18+CJ17+CJ16+CI15+CI14+CH13+CH12+CG11+CF10+CE9+BV4)*-0.132,(CD8+CC8+CB7+CA7+BZ6+BY6+BX5+BW5)*-0.132/2,17)</f>
        <v>17.998461538461537</v>
      </c>
      <c r="U361" s="117">
        <f>Lefty!T361</f>
        <v>19.49953846153846</v>
      </c>
    </row>
    <row r="362" spans="2:21">
      <c r="B362" s="114">
        <v>10</v>
      </c>
      <c r="C362" s="74">
        <f t="shared" si="201"/>
        <v>10</v>
      </c>
      <c r="D362" s="74">
        <f t="shared" si="202"/>
        <v>10</v>
      </c>
      <c r="E362" s="74">
        <f t="shared" si="203"/>
        <v>10</v>
      </c>
      <c r="F362" s="114">
        <v>10</v>
      </c>
      <c r="G362" s="74">
        <f t="shared" si="204"/>
        <v>10</v>
      </c>
      <c r="H362" s="74">
        <f t="shared" si="205"/>
        <v>10</v>
      </c>
      <c r="I362" s="74">
        <f t="shared" si="206"/>
        <v>10</v>
      </c>
      <c r="J362" s="114">
        <f t="shared" si="207"/>
        <v>10</v>
      </c>
      <c r="K362" s="74">
        <f t="shared" si="176"/>
        <v>10.34965</v>
      </c>
      <c r="L362" s="74">
        <f t="shared" si="175"/>
        <v>10.699300000000001</v>
      </c>
      <c r="M362" s="114">
        <f>SUM(J362,-F362,J362,0.2*ABS(J362-F362),0.15*(17-F362))</f>
        <v>11.05</v>
      </c>
      <c r="N362" s="115">
        <f t="shared" si="197"/>
        <v>12.24</v>
      </c>
      <c r="O362" s="74">
        <f t="shared" si="198"/>
        <v>13.43</v>
      </c>
      <c r="P362" s="74">
        <f t="shared" si="199"/>
        <v>14.620000000000001</v>
      </c>
      <c r="Q362" s="74">
        <f t="shared" si="200"/>
        <v>15.81</v>
      </c>
      <c r="R362" s="114">
        <v>17</v>
      </c>
      <c r="S362" s="129"/>
      <c r="T362" s="117">
        <f>SUM((CJ20+CJ19+CJ18+CJ17+CJ16+CJ15+CJ14+CJ13+CJ12+CI11+CI10+CH9)*-0.132,(CG8+CF8+CE8+CD7+CC7+CB7)*-0.132/3,(CA6+BZ6+BY5+BX5+BW4+BV4)*-0.132/2,17)</f>
        <v>17.14046153846154</v>
      </c>
      <c r="U362" s="117">
        <f>Lefty!T362</f>
        <v>20.335538461538462</v>
      </c>
    </row>
    <row r="363" spans="2:21">
      <c r="B363" s="114">
        <v>11</v>
      </c>
      <c r="C363" s="74">
        <f t="shared" si="201"/>
        <v>10.75</v>
      </c>
      <c r="D363" s="74">
        <f t="shared" si="202"/>
        <v>10.5</v>
      </c>
      <c r="E363" s="74">
        <f t="shared" si="203"/>
        <v>10.25</v>
      </c>
      <c r="F363" s="114">
        <v>10</v>
      </c>
      <c r="G363" s="74">
        <f t="shared" si="204"/>
        <v>9.75</v>
      </c>
      <c r="H363" s="74">
        <f t="shared" si="205"/>
        <v>9.5</v>
      </c>
      <c r="I363" s="74">
        <f t="shared" si="206"/>
        <v>9.25</v>
      </c>
      <c r="J363" s="114">
        <f t="shared" si="207"/>
        <v>9</v>
      </c>
      <c r="K363" s="74">
        <f t="shared" si="176"/>
        <v>8.8002000000000002</v>
      </c>
      <c r="L363" s="74">
        <f t="shared" si="175"/>
        <v>8.6004000000000005</v>
      </c>
      <c r="M363" s="114">
        <f>SUM(J363,-F363,J363,0.4*ABS(J363-F363))</f>
        <v>8.4</v>
      </c>
      <c r="N363" s="115">
        <f t="shared" si="197"/>
        <v>10.120000000000001</v>
      </c>
      <c r="O363" s="74">
        <f t="shared" si="198"/>
        <v>11.84</v>
      </c>
      <c r="P363" s="74">
        <f t="shared" si="199"/>
        <v>13.559999999999999</v>
      </c>
      <c r="Q363" s="74">
        <f t="shared" si="200"/>
        <v>15.280000000000001</v>
      </c>
      <c r="R363" s="114">
        <v>17</v>
      </c>
      <c r="S363" s="129"/>
      <c r="T363" s="117">
        <f>SUM((CH20+CI19+CI18+CJ17+CJ16+CK15+CK14+CL13+CL12+CM11+CM10+CM9)*-0.132,(CL8+CK8+CJ8+CI8+CH7+CG7+CF7+CE7)*-0.132/4,(CD6+CC6+CB6+CA5+BZ5+BY5+BX4+BW4+BV4)*-0.132/3,17)</f>
        <v>18.537461538461539</v>
      </c>
      <c r="U363" s="117">
        <f>Lefty!T363</f>
        <v>19.411538461538459</v>
      </c>
    </row>
    <row r="364" spans="2:21">
      <c r="B364" s="114">
        <v>12</v>
      </c>
      <c r="C364" s="74">
        <f t="shared" si="201"/>
        <v>11.5</v>
      </c>
      <c r="D364" s="74">
        <f t="shared" si="202"/>
        <v>11</v>
      </c>
      <c r="E364" s="74">
        <f t="shared" si="203"/>
        <v>10.5</v>
      </c>
      <c r="F364" s="114">
        <v>10</v>
      </c>
      <c r="G364" s="74">
        <f t="shared" si="204"/>
        <v>9.5</v>
      </c>
      <c r="H364" s="74">
        <f t="shared" si="205"/>
        <v>9</v>
      </c>
      <c r="I364" s="74">
        <f t="shared" si="206"/>
        <v>8.5</v>
      </c>
      <c r="J364" s="114">
        <f t="shared" si="207"/>
        <v>8</v>
      </c>
      <c r="K364" s="74">
        <f t="shared" si="176"/>
        <v>7.6003999999999996</v>
      </c>
      <c r="L364" s="74">
        <f t="shared" si="175"/>
        <v>7.2008000000000001</v>
      </c>
      <c r="M364" s="114">
        <f>SUM(J364,-F364,J364,0.4*ABS(J364-F364))</f>
        <v>6.8</v>
      </c>
      <c r="N364" s="115">
        <f t="shared" si="197"/>
        <v>8.84</v>
      </c>
      <c r="O364" s="74">
        <f t="shared" si="198"/>
        <v>10.879999999999999</v>
      </c>
      <c r="P364" s="74">
        <f t="shared" si="199"/>
        <v>12.919999999999998</v>
      </c>
      <c r="Q364" s="74">
        <f t="shared" si="200"/>
        <v>14.96</v>
      </c>
      <c r="R364" s="114">
        <v>17</v>
      </c>
      <c r="S364" s="129"/>
      <c r="T364" s="117">
        <f>SUM((CF20+CG19+CH18+CI17+CJ16+CK15+CL14+CM13+CN12+CO11+CP10+CP9)*-0.132,(CO8+CN8+CM8+CL8+CK7+CJ7+CI7+CH7+CG6+CF6+CE6+CD6+CC5+CB5+CA5+BZ5+BY4+BX4+BW4+BV4)*-0.132/4,17)</f>
        <v>17.833461538461538</v>
      </c>
      <c r="U364" s="117">
        <f>Lefty!T364</f>
        <v>19.466538461538462</v>
      </c>
    </row>
    <row r="365" spans="2:21">
      <c r="B365" s="114">
        <v>13</v>
      </c>
      <c r="C365" s="74">
        <f t="shared" si="201"/>
        <v>12.25</v>
      </c>
      <c r="D365" s="74">
        <f t="shared" si="202"/>
        <v>11.5</v>
      </c>
      <c r="E365" s="74">
        <f t="shared" si="203"/>
        <v>10.75</v>
      </c>
      <c r="F365" s="114">
        <v>10</v>
      </c>
      <c r="G365" s="74">
        <f t="shared" si="204"/>
        <v>9.25</v>
      </c>
      <c r="H365" s="74">
        <f t="shared" si="205"/>
        <v>8.5</v>
      </c>
      <c r="I365" s="74">
        <f t="shared" si="206"/>
        <v>7.75</v>
      </c>
      <c r="J365" s="114">
        <f t="shared" si="207"/>
        <v>7</v>
      </c>
      <c r="K365" s="74">
        <f t="shared" si="176"/>
        <v>6.4005999999999998</v>
      </c>
      <c r="L365" s="74">
        <f t="shared" si="175"/>
        <v>5.8011999999999997</v>
      </c>
      <c r="M365" s="114">
        <f>SUM(J365,-F365,J365,0.4*ABS(J365-F365))</f>
        <v>5.2</v>
      </c>
      <c r="N365" s="115">
        <f t="shared" si="197"/>
        <v>7.5600000000000005</v>
      </c>
      <c r="O365" s="74">
        <f t="shared" si="198"/>
        <v>9.9200000000000017</v>
      </c>
      <c r="P365" s="74">
        <f t="shared" si="199"/>
        <v>12.280000000000001</v>
      </c>
      <c r="Q365" s="74">
        <f t="shared" si="200"/>
        <v>14.64</v>
      </c>
      <c r="R365" s="114">
        <v>17</v>
      </c>
      <c r="S365" s="129"/>
      <c r="T365" s="117">
        <f>SUM((CD20+CG18+CJ16+CM14+CP12+CS10+CT9)*-0.132,(CE19+CF19+CH17+CI17+CK15+CL15+CN13+CO13+CQ11+CR11)*-0.132/2,(CS8+CR8+CQ8+CP8+CO8+CN7+CM7+CL7+CK7+CJ7+CI6+CH6+CG6+CF6+CE6+CD5+CC5+CB5+CA5+BZ5)*-0.132/5,(BY4+BX4+BW4+BV4)*-0.132/4,17)</f>
        <v>17.48366153846154</v>
      </c>
      <c r="U365" s="117">
        <f>Lefty!T365</f>
        <v>19.03753846153846</v>
      </c>
    </row>
    <row r="366" spans="2:21">
      <c r="B366" s="114">
        <v>14</v>
      </c>
      <c r="C366" s="74">
        <f t="shared" si="201"/>
        <v>13</v>
      </c>
      <c r="D366" s="74">
        <f t="shared" si="202"/>
        <v>12</v>
      </c>
      <c r="E366" s="74">
        <f t="shared" si="203"/>
        <v>11</v>
      </c>
      <c r="F366" s="114">
        <v>10</v>
      </c>
      <c r="G366" s="74">
        <f t="shared" si="204"/>
        <v>9</v>
      </c>
      <c r="H366" s="74">
        <f t="shared" si="205"/>
        <v>8</v>
      </c>
      <c r="I366" s="74">
        <f t="shared" si="206"/>
        <v>7</v>
      </c>
      <c r="J366" s="114">
        <f t="shared" si="207"/>
        <v>6</v>
      </c>
      <c r="K366" s="74">
        <f t="shared" si="176"/>
        <v>5.2008000000000001</v>
      </c>
      <c r="L366" s="74">
        <f t="shared" si="175"/>
        <v>4.4016000000000002</v>
      </c>
      <c r="M366" s="114">
        <f>SUM(J366,-F366,J366,0.4*ABS(J366-F366))</f>
        <v>3.6</v>
      </c>
      <c r="N366" s="115">
        <f t="shared" si="197"/>
        <v>6.28</v>
      </c>
      <c r="O366" s="74">
        <f t="shared" si="198"/>
        <v>8.9600000000000009</v>
      </c>
      <c r="P366" s="74">
        <f t="shared" si="199"/>
        <v>11.639999999999999</v>
      </c>
      <c r="Q366" s="74">
        <f t="shared" si="200"/>
        <v>14.32</v>
      </c>
      <c r="R366" s="114">
        <v>17</v>
      </c>
      <c r="S366" s="129"/>
      <c r="T366" s="117">
        <f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18.064461538461536</v>
      </c>
      <c r="U366" s="117">
        <f>Lefty!T366</f>
        <v>18.711938461538463</v>
      </c>
    </row>
    <row r="367" spans="2:21">
      <c r="B367" s="114">
        <v>15</v>
      </c>
      <c r="C367" s="74">
        <f t="shared" si="201"/>
        <v>13.75</v>
      </c>
      <c r="D367" s="74">
        <f t="shared" si="202"/>
        <v>12.5</v>
      </c>
      <c r="E367" s="74">
        <f t="shared" si="203"/>
        <v>11.25</v>
      </c>
      <c r="F367" s="114">
        <v>10</v>
      </c>
      <c r="G367" s="74">
        <f t="shared" si="204"/>
        <v>8.75</v>
      </c>
      <c r="H367" s="74">
        <f t="shared" si="205"/>
        <v>7.5</v>
      </c>
      <c r="I367" s="74">
        <f t="shared" si="206"/>
        <v>6.25</v>
      </c>
      <c r="J367" s="114">
        <f t="shared" si="207"/>
        <v>5</v>
      </c>
      <c r="K367" s="74">
        <f t="shared" si="176"/>
        <v>4.0009999999999994</v>
      </c>
      <c r="L367" s="74">
        <f t="shared" ref="L367:L435" si="208">SUM(0.666*(M367-J367),J367)</f>
        <v>3.0019999999999998</v>
      </c>
      <c r="M367" s="114">
        <f>SUM(J367,-F367,J367,0.4*ABS(J367-F367))</f>
        <v>2</v>
      </c>
      <c r="N367" s="115">
        <f t="shared" si="197"/>
        <v>5</v>
      </c>
      <c r="O367" s="74">
        <f t="shared" si="198"/>
        <v>8</v>
      </c>
      <c r="P367" s="74">
        <f t="shared" si="199"/>
        <v>11</v>
      </c>
      <c r="Q367" s="74">
        <f t="shared" si="200"/>
        <v>14</v>
      </c>
      <c r="R367" s="114">
        <v>17</v>
      </c>
      <c r="S367" s="129"/>
      <c r="T367" s="117">
        <f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18.020461538461539</v>
      </c>
      <c r="U367" s="117">
        <f>Lefty!T367</f>
        <v>18.729538461538461</v>
      </c>
    </row>
    <row r="368" spans="2:21">
      <c r="B368" s="114"/>
      <c r="C368" s="74"/>
      <c r="D368" s="74"/>
      <c r="E368" s="74"/>
      <c r="F368" s="114"/>
      <c r="G368" s="74"/>
      <c r="H368" s="74"/>
      <c r="I368" s="74"/>
      <c r="J368" s="114"/>
      <c r="K368" s="74"/>
      <c r="L368" s="74"/>
      <c r="M368" s="114"/>
      <c r="N368" s="115"/>
      <c r="O368" s="74"/>
      <c r="P368" s="74"/>
      <c r="Q368" s="74"/>
      <c r="R368" s="114"/>
      <c r="S368" s="129"/>
    </row>
    <row r="369" spans="2:21">
      <c r="B369" s="114">
        <v>9</v>
      </c>
      <c r="C369" s="74">
        <f t="shared" si="201"/>
        <v>9.5</v>
      </c>
      <c r="D369" s="74">
        <f t="shared" si="202"/>
        <v>10</v>
      </c>
      <c r="E369" s="74">
        <f t="shared" si="203"/>
        <v>10.5</v>
      </c>
      <c r="F369" s="114">
        <v>11</v>
      </c>
      <c r="G369" s="74">
        <f t="shared" si="204"/>
        <v>11.5</v>
      </c>
      <c r="H369" s="74">
        <f t="shared" si="205"/>
        <v>12</v>
      </c>
      <c r="I369" s="74">
        <f t="shared" si="206"/>
        <v>12.5</v>
      </c>
      <c r="J369" s="114">
        <f t="shared" si="207"/>
        <v>13</v>
      </c>
      <c r="K369" s="74">
        <f t="shared" si="176"/>
        <v>13.499499999999999</v>
      </c>
      <c r="L369" s="74">
        <f t="shared" si="208"/>
        <v>13.999000000000001</v>
      </c>
      <c r="M369" s="114">
        <f>SUM(J369,J369-G369)</f>
        <v>14.5</v>
      </c>
      <c r="N369" s="115">
        <f t="shared" ref="N369:N377" si="209">SUM(0.2*(R369-M369),M369)</f>
        <v>15</v>
      </c>
      <c r="O369" s="74">
        <f t="shared" ref="O369:O377" si="210">SUM(0.4*(R369-M369),M369)</f>
        <v>15.5</v>
      </c>
      <c r="P369" s="74">
        <f t="shared" ref="P369:P377" si="211">SUM(0.6*(R369-M369),M369)</f>
        <v>16</v>
      </c>
      <c r="Q369" s="74">
        <f t="shared" ref="Q369:Q377" si="212">SUM(0.8*(R369-M369),M369)</f>
        <v>16.5</v>
      </c>
      <c r="R369" s="114">
        <v>17</v>
      </c>
      <c r="S369" s="129"/>
      <c r="T369" s="117">
        <f>SUM((CL20+CK19+CJ18+CI17+CH16+CG15+CF14+CE13+CD12+CC11+CB10+CA9+BZ8+BY7+BX6+BW5+BV4)*-0.132,17)</f>
        <v>17.932461538461538</v>
      </c>
      <c r="U369" s="117">
        <f>Lefty!T369</f>
        <v>18.971538461538461</v>
      </c>
    </row>
    <row r="370" spans="2:21">
      <c r="B370" s="114">
        <v>10</v>
      </c>
      <c r="C370" s="74">
        <f t="shared" si="201"/>
        <v>10.25</v>
      </c>
      <c r="D370" s="74">
        <f t="shared" si="202"/>
        <v>10.5</v>
      </c>
      <c r="E370" s="74">
        <f t="shared" si="203"/>
        <v>10.75</v>
      </c>
      <c r="F370" s="114">
        <v>11</v>
      </c>
      <c r="G370" s="74">
        <f t="shared" si="204"/>
        <v>11.25</v>
      </c>
      <c r="H370" s="74">
        <f t="shared" si="205"/>
        <v>11.5</v>
      </c>
      <c r="I370" s="74">
        <f t="shared" si="206"/>
        <v>11.75</v>
      </c>
      <c r="J370" s="114">
        <f t="shared" si="207"/>
        <v>12</v>
      </c>
      <c r="K370" s="74">
        <f t="shared" si="176"/>
        <v>12.466200000000001</v>
      </c>
      <c r="L370" s="74">
        <f t="shared" si="208"/>
        <v>12.932400000000001</v>
      </c>
      <c r="M370" s="114">
        <f>SUM(J370,-F370,J370,0.4*ABS(J370-F370))</f>
        <v>13.4</v>
      </c>
      <c r="N370" s="115">
        <f t="shared" si="209"/>
        <v>14.120000000000001</v>
      </c>
      <c r="O370" s="74">
        <f t="shared" si="210"/>
        <v>14.84</v>
      </c>
      <c r="P370" s="74">
        <f t="shared" si="211"/>
        <v>15.56</v>
      </c>
      <c r="Q370" s="74">
        <f t="shared" si="212"/>
        <v>16.28</v>
      </c>
      <c r="R370" s="114">
        <v>17</v>
      </c>
      <c r="S370" s="129"/>
      <c r="T370" s="117">
        <f>SUM((CJ20+CI19+CI18+CH17+CH16+CG15+CG14+CF13+CF12+CE11+CD10+CC9)*-0.132,(CB8+CA8+BZ7+BY7)*-0.132/2,(BX6+BW5+BV4)*-0.132,17)</f>
        <v>17.800461538461537</v>
      </c>
      <c r="U370" s="117">
        <f>Lefty!T370</f>
        <v>19.301538461538463</v>
      </c>
    </row>
    <row r="371" spans="2:21">
      <c r="B371" s="114">
        <v>11</v>
      </c>
      <c r="C371" s="74">
        <f t="shared" si="201"/>
        <v>11</v>
      </c>
      <c r="D371" s="74">
        <f t="shared" si="202"/>
        <v>11</v>
      </c>
      <c r="E371" s="74">
        <f t="shared" si="203"/>
        <v>11</v>
      </c>
      <c r="F371" s="114">
        <v>11</v>
      </c>
      <c r="G371" s="74">
        <f t="shared" si="204"/>
        <v>11</v>
      </c>
      <c r="H371" s="74">
        <f t="shared" si="205"/>
        <v>11</v>
      </c>
      <c r="I371" s="74">
        <f t="shared" si="206"/>
        <v>11</v>
      </c>
      <c r="J371" s="114">
        <f t="shared" si="207"/>
        <v>11</v>
      </c>
      <c r="K371" s="74">
        <f t="shared" si="176"/>
        <v>11.2997</v>
      </c>
      <c r="L371" s="74">
        <f t="shared" si="208"/>
        <v>11.599400000000001</v>
      </c>
      <c r="M371" s="114">
        <f>SUM(J371,-F371,J371,0.2*ABS(J371-F371),0.15*(17-F371))</f>
        <v>11.9</v>
      </c>
      <c r="N371" s="115">
        <f t="shared" si="209"/>
        <v>12.92</v>
      </c>
      <c r="O371" s="74">
        <f t="shared" si="210"/>
        <v>13.940000000000001</v>
      </c>
      <c r="P371" s="74">
        <f t="shared" si="211"/>
        <v>14.96</v>
      </c>
      <c r="Q371" s="74">
        <f t="shared" si="212"/>
        <v>15.98</v>
      </c>
      <c r="R371" s="114">
        <v>17</v>
      </c>
      <c r="S371" s="129"/>
      <c r="T371" s="117">
        <f>SUM((CH20+CH19+CH18+CH17+CH16+CH15+CH14+CH13+CH12+CG11+CG10+CF9)*-0.132,(CE8+CD8+CC7+CB7+CA6+BZ6+BY5+BX5+BW4+BV4)*-0.132/2,17)</f>
        <v>17.404461538461536</v>
      </c>
      <c r="U371" s="117">
        <f>Lefty!T371</f>
        <v>19.763538461538463</v>
      </c>
    </row>
    <row r="372" spans="2:21">
      <c r="B372" s="114">
        <v>12</v>
      </c>
      <c r="C372" s="74">
        <f t="shared" si="201"/>
        <v>11.75</v>
      </c>
      <c r="D372" s="74">
        <f t="shared" si="202"/>
        <v>11.5</v>
      </c>
      <c r="E372" s="74">
        <f t="shared" si="203"/>
        <v>11.25</v>
      </c>
      <c r="F372" s="114">
        <v>11</v>
      </c>
      <c r="G372" s="74">
        <f t="shared" si="204"/>
        <v>10.75</v>
      </c>
      <c r="H372" s="74">
        <f t="shared" si="205"/>
        <v>10.5</v>
      </c>
      <c r="I372" s="74">
        <f t="shared" si="206"/>
        <v>10.25</v>
      </c>
      <c r="J372" s="114">
        <f t="shared" si="207"/>
        <v>10</v>
      </c>
      <c r="K372" s="74">
        <f t="shared" si="176"/>
        <v>9.8002000000000002</v>
      </c>
      <c r="L372" s="74">
        <f t="shared" si="208"/>
        <v>9.6004000000000005</v>
      </c>
      <c r="M372" s="114">
        <f t="shared" ref="M372:M377" si="213">SUM(J372,-F372,J372,0.4*ABS(J372-F372))</f>
        <v>9.4</v>
      </c>
      <c r="N372" s="115">
        <f t="shared" si="209"/>
        <v>10.92</v>
      </c>
      <c r="O372" s="74">
        <f t="shared" si="210"/>
        <v>12.440000000000001</v>
      </c>
      <c r="P372" s="74">
        <f t="shared" si="211"/>
        <v>13.96</v>
      </c>
      <c r="Q372" s="74">
        <f t="shared" si="212"/>
        <v>15.48</v>
      </c>
      <c r="R372" s="114">
        <v>17</v>
      </c>
      <c r="S372" s="129"/>
      <c r="T372" s="117">
        <f>SUM((CF20+CG19+CG18+CH17+CH16+CI15+CI14+CJ13+CJ12+CK11+CK10+CK9)*-0.132,(CJ8+CI8+CH8+CG7+CF7+CE7+CD6+CC6+CB6+CA5+BZ5+BY5+BX4+BW4+BV4)*-0.132/3,17)</f>
        <v>17.844461538461537</v>
      </c>
      <c r="U372" s="117">
        <f>Lefty!T372</f>
        <v>20.071538461538459</v>
      </c>
    </row>
    <row r="373" spans="2:21">
      <c r="B373" s="114">
        <v>13</v>
      </c>
      <c r="C373" s="74">
        <f t="shared" si="201"/>
        <v>12.5</v>
      </c>
      <c r="D373" s="74">
        <f t="shared" si="202"/>
        <v>12</v>
      </c>
      <c r="E373" s="74">
        <f t="shared" si="203"/>
        <v>11.5</v>
      </c>
      <c r="F373" s="114">
        <v>11</v>
      </c>
      <c r="G373" s="74">
        <f t="shared" si="204"/>
        <v>10.5</v>
      </c>
      <c r="H373" s="74">
        <f t="shared" si="205"/>
        <v>10</v>
      </c>
      <c r="I373" s="74">
        <f t="shared" si="206"/>
        <v>9.5</v>
      </c>
      <c r="J373" s="114">
        <f t="shared" si="207"/>
        <v>9</v>
      </c>
      <c r="K373" s="74">
        <f t="shared" si="176"/>
        <v>8.6004000000000005</v>
      </c>
      <c r="L373" s="74">
        <f t="shared" si="208"/>
        <v>8.2007999999999992</v>
      </c>
      <c r="M373" s="114">
        <f t="shared" si="213"/>
        <v>7.8</v>
      </c>
      <c r="N373" s="115">
        <f t="shared" si="209"/>
        <v>9.64</v>
      </c>
      <c r="O373" s="74">
        <f t="shared" si="210"/>
        <v>11.48</v>
      </c>
      <c r="P373" s="74">
        <f t="shared" si="211"/>
        <v>13.32</v>
      </c>
      <c r="Q373" s="74">
        <f t="shared" si="212"/>
        <v>15.16</v>
      </c>
      <c r="R373" s="114">
        <v>17</v>
      </c>
      <c r="S373" s="129"/>
      <c r="T373" s="117">
        <f>SUM((CD20+CE19+CF18+CG17+CH16+CI15+CJ14+CK13+CL12+CM11+CN10+CN9)*-0.132,(CM8+CL8+CK8+CJ8+CI7+CH7+CG7+CF7+CE6+CD6+CC6+CB6)*-0.132/4,(CA5+BZ5+BY5+BX4+BW4+BV4)*-0.132/3,17)</f>
        <v>18.47146153846154</v>
      </c>
      <c r="U373" s="117">
        <f>Lefty!T373</f>
        <v>19.510538461538459</v>
      </c>
    </row>
    <row r="374" spans="2:21">
      <c r="B374" s="114">
        <v>14</v>
      </c>
      <c r="C374" s="74">
        <f t="shared" si="201"/>
        <v>13.25</v>
      </c>
      <c r="D374" s="74">
        <f t="shared" si="202"/>
        <v>12.5</v>
      </c>
      <c r="E374" s="74">
        <f t="shared" si="203"/>
        <v>11.75</v>
      </c>
      <c r="F374" s="114">
        <v>11</v>
      </c>
      <c r="G374" s="74">
        <f t="shared" si="204"/>
        <v>10.25</v>
      </c>
      <c r="H374" s="74">
        <f t="shared" si="205"/>
        <v>9.5</v>
      </c>
      <c r="I374" s="74">
        <f t="shared" si="206"/>
        <v>8.75</v>
      </c>
      <c r="J374" s="114">
        <f t="shared" si="207"/>
        <v>8</v>
      </c>
      <c r="K374" s="74">
        <f t="shared" ref="K374:K443" si="214">SUM(0.333*(M374-J374),J374)</f>
        <v>7.4005999999999998</v>
      </c>
      <c r="L374" s="74">
        <f t="shared" si="208"/>
        <v>6.8011999999999997</v>
      </c>
      <c r="M374" s="114">
        <f t="shared" si="213"/>
        <v>6.2</v>
      </c>
      <c r="N374" s="115">
        <f t="shared" si="209"/>
        <v>8.36</v>
      </c>
      <c r="O374" s="74">
        <f t="shared" si="210"/>
        <v>10.52</v>
      </c>
      <c r="P374" s="74">
        <f t="shared" si="211"/>
        <v>12.68</v>
      </c>
      <c r="Q374" s="74">
        <f t="shared" si="212"/>
        <v>14.84</v>
      </c>
      <c r="R374" s="114">
        <v>17</v>
      </c>
      <c r="S374" s="129"/>
      <c r="T374" s="117">
        <f>SUM((CB20+CE18+CH16+CK14+CN12+CQ10+CR9)*-0.132,(CC19+CD19+CF17+CG17+CI15+CJ15+CL13+CM13+CO11+CP11)*-0.132/2,(CQ8+CP8+CO8+CN8+CM8+CL7+CK7+CJ7+CI7+CH7)*-0.132/5,(CG6+CF6+CE6+CD6+CC5+CB5+CA5+BZ5+BY4+BX4+BW4+BV4)*-0.132/4,17)</f>
        <v>17.94566153846154</v>
      </c>
      <c r="U374" s="117">
        <f>Lefty!T374</f>
        <v>18.951738461538461</v>
      </c>
    </row>
    <row r="375" spans="2:21">
      <c r="B375" s="114">
        <v>15</v>
      </c>
      <c r="C375" s="74">
        <f t="shared" si="201"/>
        <v>14</v>
      </c>
      <c r="D375" s="74">
        <f t="shared" si="202"/>
        <v>13</v>
      </c>
      <c r="E375" s="74">
        <f t="shared" si="203"/>
        <v>12</v>
      </c>
      <c r="F375" s="114">
        <v>11</v>
      </c>
      <c r="G375" s="74">
        <f t="shared" si="204"/>
        <v>10</v>
      </c>
      <c r="H375" s="74">
        <f t="shared" si="205"/>
        <v>9</v>
      </c>
      <c r="I375" s="74">
        <f t="shared" si="206"/>
        <v>8</v>
      </c>
      <c r="J375" s="114">
        <f t="shared" si="207"/>
        <v>7</v>
      </c>
      <c r="K375" s="74">
        <f t="shared" si="214"/>
        <v>6.2008000000000001</v>
      </c>
      <c r="L375" s="74">
        <f t="shared" si="208"/>
        <v>5.4016000000000002</v>
      </c>
      <c r="M375" s="114">
        <f t="shared" si="213"/>
        <v>4.5999999999999996</v>
      </c>
      <c r="N375" s="115">
        <f t="shared" si="209"/>
        <v>7.08</v>
      </c>
      <c r="O375" s="74">
        <f t="shared" si="210"/>
        <v>9.56</v>
      </c>
      <c r="P375" s="74">
        <f t="shared" si="211"/>
        <v>12.04</v>
      </c>
      <c r="Q375" s="74">
        <f t="shared" si="212"/>
        <v>14.520000000000001</v>
      </c>
      <c r="R375" s="114">
        <v>17</v>
      </c>
      <c r="S375" s="129"/>
      <c r="T375" s="117">
        <f>SUM((CA19+CB19+CC18+CD18+CE17+CF17+CG16+CH16+CI15+CJ15+CK14+CL14+CM13+CN13+CO12+CP12+CQ11+CR11+CS10+CT10)*-0.132/2,(BZ20+CU9)*-0.132,(CT8+CS8+CR8+CQ8+CP8+CO7+CN7+CM7+CL7+CK7+CJ6+CI6+CH6+CG6+CF6+CE5+CD5+CC5+CB5+CA5+BZ4+BY4+BX4+BW4+BV4)*-0.132/5,17)</f>
        <v>17.589261538461539</v>
      </c>
      <c r="U375" s="117">
        <f>Lefty!T375</f>
        <v>19.129938461538462</v>
      </c>
    </row>
    <row r="376" spans="2:21">
      <c r="B376" s="114">
        <v>16</v>
      </c>
      <c r="C376" s="74">
        <f t="shared" si="201"/>
        <v>14.75</v>
      </c>
      <c r="D376" s="74">
        <f t="shared" si="202"/>
        <v>13.5</v>
      </c>
      <c r="E376" s="74">
        <f t="shared" si="203"/>
        <v>12.25</v>
      </c>
      <c r="F376" s="114">
        <v>11</v>
      </c>
      <c r="G376" s="74">
        <f t="shared" si="204"/>
        <v>9.75</v>
      </c>
      <c r="H376" s="74">
        <f t="shared" si="205"/>
        <v>8.5</v>
      </c>
      <c r="I376" s="74">
        <f t="shared" si="206"/>
        <v>7.25</v>
      </c>
      <c r="J376" s="114">
        <f t="shared" si="207"/>
        <v>6</v>
      </c>
      <c r="K376" s="74">
        <f t="shared" si="214"/>
        <v>5.0009999999999994</v>
      </c>
      <c r="L376" s="74">
        <f t="shared" si="208"/>
        <v>4.0019999999999998</v>
      </c>
      <c r="M376" s="114">
        <f t="shared" si="213"/>
        <v>3</v>
      </c>
      <c r="N376" s="115">
        <f t="shared" si="209"/>
        <v>5.8000000000000007</v>
      </c>
      <c r="O376" s="74">
        <f t="shared" si="210"/>
        <v>8.6000000000000014</v>
      </c>
      <c r="P376" s="74">
        <f t="shared" si="211"/>
        <v>11.4</v>
      </c>
      <c r="Q376" s="74">
        <f t="shared" si="212"/>
        <v>14.200000000000001</v>
      </c>
      <c r="R376" s="114">
        <v>17</v>
      </c>
      <c r="S376" s="129"/>
      <c r="T376" s="117">
        <f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17.87086153846154</v>
      </c>
      <c r="U376" s="117">
        <f>Lefty!T376</f>
        <v>18.865938461538462</v>
      </c>
    </row>
    <row r="377" spans="2:21">
      <c r="B377" s="114">
        <v>17</v>
      </c>
      <c r="C377" s="74">
        <f t="shared" si="201"/>
        <v>15.5</v>
      </c>
      <c r="D377" s="74">
        <f t="shared" si="202"/>
        <v>14</v>
      </c>
      <c r="E377" s="74">
        <f t="shared" si="203"/>
        <v>12.5</v>
      </c>
      <c r="F377" s="114">
        <v>11</v>
      </c>
      <c r="G377" s="74">
        <f t="shared" si="204"/>
        <v>9.5</v>
      </c>
      <c r="H377" s="74">
        <f t="shared" si="205"/>
        <v>8</v>
      </c>
      <c r="I377" s="74">
        <f t="shared" si="206"/>
        <v>6.5</v>
      </c>
      <c r="J377" s="114">
        <f t="shared" si="207"/>
        <v>5</v>
      </c>
      <c r="K377" s="74">
        <f t="shared" si="214"/>
        <v>3.8012000000000001</v>
      </c>
      <c r="L377" s="74">
        <f t="shared" si="208"/>
        <v>2.6024000000000003</v>
      </c>
      <c r="M377" s="114">
        <f t="shared" si="213"/>
        <v>1.4000000000000004</v>
      </c>
      <c r="N377" s="115">
        <f t="shared" si="209"/>
        <v>4.5200000000000005</v>
      </c>
      <c r="O377" s="74">
        <f t="shared" si="210"/>
        <v>7.6400000000000006</v>
      </c>
      <c r="P377" s="74">
        <f t="shared" si="211"/>
        <v>10.76</v>
      </c>
      <c r="Q377" s="74">
        <f t="shared" si="212"/>
        <v>13.88</v>
      </c>
      <c r="R377" s="114">
        <v>17</v>
      </c>
      <c r="S377" s="129"/>
      <c r="T377" s="131">
        <f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17.809890109890109</v>
      </c>
      <c r="U377" s="131">
        <f>Lefty!T377</f>
        <v>18.861538461538458</v>
      </c>
    </row>
    <row r="378" spans="2:21">
      <c r="B378" s="114"/>
      <c r="C378" s="74"/>
      <c r="D378" s="74"/>
      <c r="E378" s="74"/>
      <c r="F378" s="114"/>
      <c r="G378" s="74"/>
      <c r="H378" s="74"/>
      <c r="I378" s="74"/>
      <c r="J378" s="114"/>
      <c r="K378" s="74"/>
      <c r="L378" s="74"/>
      <c r="M378" s="114"/>
      <c r="N378" s="115"/>
      <c r="O378" s="74"/>
      <c r="P378" s="74"/>
      <c r="Q378" s="74"/>
      <c r="R378" s="114"/>
      <c r="S378" s="129"/>
    </row>
    <row r="379" spans="2:21">
      <c r="B379" s="114">
        <v>11</v>
      </c>
      <c r="C379" s="74">
        <f t="shared" si="201"/>
        <v>11.25</v>
      </c>
      <c r="D379" s="74">
        <f t="shared" si="202"/>
        <v>11.5</v>
      </c>
      <c r="E379" s="74">
        <f t="shared" si="203"/>
        <v>11.75</v>
      </c>
      <c r="F379" s="114">
        <v>12</v>
      </c>
      <c r="G379" s="74">
        <f t="shared" si="204"/>
        <v>12.25</v>
      </c>
      <c r="H379" s="74">
        <f t="shared" si="205"/>
        <v>12.5</v>
      </c>
      <c r="I379" s="74">
        <f t="shared" si="206"/>
        <v>12.75</v>
      </c>
      <c r="J379" s="114">
        <f t="shared" si="207"/>
        <v>13</v>
      </c>
      <c r="K379" s="74">
        <f t="shared" si="214"/>
        <v>13.466200000000001</v>
      </c>
      <c r="L379" s="74">
        <f t="shared" si="208"/>
        <v>13.932400000000001</v>
      </c>
      <c r="M379" s="114">
        <f>SUM(J379,-F379,J379,0.4*ABS(J379-F379))</f>
        <v>14.4</v>
      </c>
      <c r="N379" s="115">
        <f t="shared" ref="N379:N386" si="215">SUM(0.2*(R379-M379),M379)</f>
        <v>14.92</v>
      </c>
      <c r="O379" s="74">
        <f t="shared" ref="O379:O386" si="216">SUM(0.4*(R379-M379),M379)</f>
        <v>15.44</v>
      </c>
      <c r="P379" s="74">
        <f t="shared" ref="P379:P386" si="217">SUM(0.6*(R379-M379),M379)</f>
        <v>15.96</v>
      </c>
      <c r="Q379" s="74">
        <f t="shared" ref="Q379:Q386" si="218">SUM(0.8*(R379-M379),M379)</f>
        <v>16.48</v>
      </c>
      <c r="R379" s="114">
        <v>17</v>
      </c>
      <c r="S379" s="129"/>
      <c r="T379" s="117">
        <f>SUM((CH20+CG19+CG18+CF17+CF16+CE15+CE14+CD13+CD12+CC11+CB10+CA9+BZ8+BY7+BX6+BW5+BV4)*-0.132,17)</f>
        <v>17.800461538461537</v>
      </c>
      <c r="U379" s="117">
        <f>Lefty!T379</f>
        <v>18.83953846153846</v>
      </c>
    </row>
    <row r="380" spans="2:21">
      <c r="B380" s="114">
        <v>12</v>
      </c>
      <c r="C380" s="74">
        <f t="shared" si="201"/>
        <v>12</v>
      </c>
      <c r="D380" s="74">
        <f t="shared" si="202"/>
        <v>12</v>
      </c>
      <c r="E380" s="74">
        <f t="shared" si="203"/>
        <v>12</v>
      </c>
      <c r="F380" s="114">
        <v>12</v>
      </c>
      <c r="G380" s="74">
        <f t="shared" si="204"/>
        <v>12</v>
      </c>
      <c r="H380" s="74">
        <f t="shared" si="205"/>
        <v>12</v>
      </c>
      <c r="I380" s="74">
        <f t="shared" si="206"/>
        <v>12</v>
      </c>
      <c r="J380" s="114">
        <f t="shared" si="207"/>
        <v>12</v>
      </c>
      <c r="K380" s="74">
        <f t="shared" si="214"/>
        <v>12.249750000000001</v>
      </c>
      <c r="L380" s="74">
        <f t="shared" si="208"/>
        <v>12.499499999999999</v>
      </c>
      <c r="M380" s="114">
        <f>SUM(J380,-F380,J380,0.2*ABS(J380-F380),0.15*(17-F380))</f>
        <v>12.75</v>
      </c>
      <c r="N380" s="115">
        <f t="shared" si="215"/>
        <v>13.6</v>
      </c>
      <c r="O380" s="74">
        <f t="shared" si="216"/>
        <v>14.45</v>
      </c>
      <c r="P380" s="74">
        <f t="shared" si="217"/>
        <v>15.3</v>
      </c>
      <c r="Q380" s="74">
        <f t="shared" si="218"/>
        <v>16.149999999999999</v>
      </c>
      <c r="R380" s="114">
        <v>17</v>
      </c>
      <c r="S380" s="129"/>
      <c r="T380" s="117">
        <f>SUM((CF20+CF19+CF18+CF17+CF16+CF15+CF14+CF13+CF12+CF11+CE10+CD9)*-0.132,(CC8+CB8+CA7+BZ7+BY6+BX6)*-0.132/2,(BW5+BV4)*-0.132,17)</f>
        <v>17.536461538461538</v>
      </c>
      <c r="U380" s="117">
        <f>Lefty!T380</f>
        <v>19.631538461538462</v>
      </c>
    </row>
    <row r="381" spans="2:21">
      <c r="B381" s="114">
        <v>13</v>
      </c>
      <c r="C381" s="74">
        <f t="shared" si="201"/>
        <v>12.75</v>
      </c>
      <c r="D381" s="74">
        <f t="shared" si="202"/>
        <v>12.5</v>
      </c>
      <c r="E381" s="74">
        <f t="shared" si="203"/>
        <v>12.25</v>
      </c>
      <c r="F381" s="114">
        <v>12</v>
      </c>
      <c r="G381" s="74">
        <f t="shared" si="204"/>
        <v>11.75</v>
      </c>
      <c r="H381" s="74">
        <f t="shared" si="205"/>
        <v>11.5</v>
      </c>
      <c r="I381" s="74">
        <f t="shared" si="206"/>
        <v>11.25</v>
      </c>
      <c r="J381" s="114">
        <f t="shared" si="207"/>
        <v>11</v>
      </c>
      <c r="K381" s="74">
        <f t="shared" si="214"/>
        <v>10.8002</v>
      </c>
      <c r="L381" s="74">
        <f t="shared" si="208"/>
        <v>10.6004</v>
      </c>
      <c r="M381" s="114">
        <f t="shared" ref="M381:M386" si="219">SUM(J381,-F381,J381,0.4*ABS(J381-F381))</f>
        <v>10.4</v>
      </c>
      <c r="N381" s="115">
        <f t="shared" si="215"/>
        <v>11.72</v>
      </c>
      <c r="O381" s="74">
        <f t="shared" si="216"/>
        <v>13.040000000000001</v>
      </c>
      <c r="P381" s="74">
        <f t="shared" si="217"/>
        <v>14.36</v>
      </c>
      <c r="Q381" s="74">
        <f t="shared" si="218"/>
        <v>15.68</v>
      </c>
      <c r="R381" s="114">
        <v>17</v>
      </c>
      <c r="S381" s="129"/>
      <c r="T381" s="117">
        <f>SUM((CD20+CE19+CE18+CF17+CF16+CG15+CG14+CH13+CH12+CI11+CI10+CI9)*-0.132,(CH8+CG8+CF8+CE7+CD7+CC7+CB6+CA6+BZ6)*-0.132/3,(BY5+BX5+BW4+BV4)*-0.132/2,17)</f>
        <v>17.646461538461537</v>
      </c>
      <c r="U381" s="117">
        <f>Lefty!T381</f>
        <v>19.279538461538461</v>
      </c>
    </row>
    <row r="382" spans="2:21">
      <c r="B382" s="114">
        <v>14</v>
      </c>
      <c r="C382" s="74">
        <f t="shared" si="201"/>
        <v>13.5</v>
      </c>
      <c r="D382" s="74">
        <f t="shared" si="202"/>
        <v>13</v>
      </c>
      <c r="E382" s="74">
        <f t="shared" si="203"/>
        <v>12.5</v>
      </c>
      <c r="F382" s="114">
        <v>12</v>
      </c>
      <c r="G382" s="74">
        <f t="shared" si="204"/>
        <v>11.5</v>
      </c>
      <c r="H382" s="74">
        <f t="shared" si="205"/>
        <v>11</v>
      </c>
      <c r="I382" s="74">
        <f t="shared" si="206"/>
        <v>10.5</v>
      </c>
      <c r="J382" s="114">
        <f t="shared" si="207"/>
        <v>10</v>
      </c>
      <c r="K382" s="74">
        <f t="shared" si="214"/>
        <v>9.6004000000000005</v>
      </c>
      <c r="L382" s="74">
        <f t="shared" si="208"/>
        <v>9.200800000000001</v>
      </c>
      <c r="M382" s="114">
        <f t="shared" si="219"/>
        <v>8.8000000000000007</v>
      </c>
      <c r="N382" s="115">
        <f t="shared" si="215"/>
        <v>10.440000000000001</v>
      </c>
      <c r="O382" s="74">
        <f t="shared" si="216"/>
        <v>12.08</v>
      </c>
      <c r="P382" s="74">
        <f t="shared" si="217"/>
        <v>13.719999999999999</v>
      </c>
      <c r="Q382" s="74">
        <f t="shared" si="218"/>
        <v>15.36</v>
      </c>
      <c r="R382" s="114">
        <v>17</v>
      </c>
      <c r="S382" s="129"/>
      <c r="T382" s="117">
        <f>SUM((CB20+CC19+CD18+CE17+CF16+CG15+CH14+CI13+CJ12+CK11+CL10+CL9)*-0.132,(CK8+CJ8+CI8+CH8)*-0.132/4,(CG7+CF7+CE7+CD6+CC6+CB6+CA5+BZ5+BY5+BX4+BW4+BV4)*-0.132/3,17)</f>
        <v>17.855461538461537</v>
      </c>
      <c r="U382" s="117">
        <f>Lefty!T382</f>
        <v>19.312538461538463</v>
      </c>
    </row>
    <row r="383" spans="2:21">
      <c r="B383" s="114">
        <v>15</v>
      </c>
      <c r="C383" s="74">
        <f t="shared" si="201"/>
        <v>14.25</v>
      </c>
      <c r="D383" s="74">
        <f t="shared" si="202"/>
        <v>13.5</v>
      </c>
      <c r="E383" s="74">
        <f t="shared" si="203"/>
        <v>12.75</v>
      </c>
      <c r="F383" s="114">
        <v>12</v>
      </c>
      <c r="G383" s="74">
        <f t="shared" si="204"/>
        <v>11.25</v>
      </c>
      <c r="H383" s="74">
        <f t="shared" si="205"/>
        <v>10.5</v>
      </c>
      <c r="I383" s="74">
        <f t="shared" si="206"/>
        <v>9.75</v>
      </c>
      <c r="J383" s="114">
        <f t="shared" si="207"/>
        <v>9</v>
      </c>
      <c r="K383" s="74">
        <f t="shared" si="214"/>
        <v>8.4006000000000007</v>
      </c>
      <c r="L383" s="74">
        <f t="shared" si="208"/>
        <v>7.8011999999999997</v>
      </c>
      <c r="M383" s="114">
        <f t="shared" si="219"/>
        <v>7.2</v>
      </c>
      <c r="N383" s="115">
        <f t="shared" si="215"/>
        <v>9.16</v>
      </c>
      <c r="O383" s="74">
        <f t="shared" si="216"/>
        <v>11.120000000000001</v>
      </c>
      <c r="P383" s="74">
        <f t="shared" si="217"/>
        <v>13.08</v>
      </c>
      <c r="Q383" s="74">
        <f t="shared" si="218"/>
        <v>15.040000000000001</v>
      </c>
      <c r="R383" s="114">
        <v>17</v>
      </c>
      <c r="S383" s="129"/>
      <c r="T383" s="117">
        <f>SUM((BZ20+CC18+CF16+CI14+CL12+CO10+CP9)*-0.132,(CA19+CB19+CD17+CE17+CG15+CH15+CJ13+CK13+CM11+CN11)*-0.132/2,(CO8+CN8+CM8+CL8+CK7+CJ7+CI7+CH7+CG6+CF6+CE6+CD6+CC5+CB5+CA5+BZ5+BY4+BX4+BW4+BV4)*-0.132/4,17)</f>
        <v>17.569461538461539</v>
      </c>
      <c r="U383" s="117">
        <f>Lefty!T383</f>
        <v>19.664538461538463</v>
      </c>
    </row>
    <row r="384" spans="2:21">
      <c r="B384" s="114">
        <v>16</v>
      </c>
      <c r="C384" s="74">
        <f t="shared" si="201"/>
        <v>15</v>
      </c>
      <c r="D384" s="74">
        <f t="shared" si="202"/>
        <v>14</v>
      </c>
      <c r="E384" s="74">
        <f t="shared" si="203"/>
        <v>13</v>
      </c>
      <c r="F384" s="114">
        <v>12</v>
      </c>
      <c r="G384" s="74">
        <f t="shared" si="204"/>
        <v>11</v>
      </c>
      <c r="H384" s="74">
        <f t="shared" si="205"/>
        <v>10</v>
      </c>
      <c r="I384" s="74">
        <f t="shared" si="206"/>
        <v>9</v>
      </c>
      <c r="J384" s="114">
        <f t="shared" si="207"/>
        <v>8</v>
      </c>
      <c r="K384" s="74">
        <f t="shared" si="214"/>
        <v>7.2008000000000001</v>
      </c>
      <c r="L384" s="74">
        <f t="shared" si="208"/>
        <v>6.4016000000000002</v>
      </c>
      <c r="M384" s="114">
        <f t="shared" si="219"/>
        <v>5.6</v>
      </c>
      <c r="N384" s="115">
        <f t="shared" si="215"/>
        <v>7.88</v>
      </c>
      <c r="O384" s="74">
        <f t="shared" si="216"/>
        <v>10.16</v>
      </c>
      <c r="P384" s="74">
        <f t="shared" si="217"/>
        <v>12.44</v>
      </c>
      <c r="Q384" s="74">
        <f t="shared" si="218"/>
        <v>14.72</v>
      </c>
      <c r="R384" s="114">
        <v>17</v>
      </c>
      <c r="S384" s="129"/>
      <c r="T384" s="117">
        <f>SUM((BY19+BZ19+CA18+CB18+CC17+CD17+CE16+CF16+CG15+CH15+CI14+CJ14+CK13+CL13+CM12+CN12+CO11+CP11+CQ10+CR10)*-0.132/2,(BX20+CS9)*-0.132,(CR8+CQ8+CP8+CO8+CN8+CM7+CL7+CK7+CJ7+CI7+CH6+CG6+CF6+CE6+CD6)*-0.132/5,(CC5+CB5+CA5+BZ5+BY4+BX4+BW4+BV4)*-0.132/4,17)</f>
        <v>17.734461538461538</v>
      </c>
      <c r="U384" s="117">
        <f>Lefty!T384</f>
        <v>19.215738461538461</v>
      </c>
    </row>
    <row r="385" spans="2:21">
      <c r="B385" s="114">
        <v>17</v>
      </c>
      <c r="C385" s="74">
        <f t="shared" si="201"/>
        <v>15.75</v>
      </c>
      <c r="D385" s="74">
        <f t="shared" si="202"/>
        <v>14.5</v>
      </c>
      <c r="E385" s="74">
        <f t="shared" si="203"/>
        <v>13.25</v>
      </c>
      <c r="F385" s="114">
        <v>12</v>
      </c>
      <c r="G385" s="74">
        <f t="shared" si="204"/>
        <v>10.75</v>
      </c>
      <c r="H385" s="74">
        <f t="shared" si="205"/>
        <v>9.5</v>
      </c>
      <c r="I385" s="74">
        <f t="shared" si="206"/>
        <v>8.25</v>
      </c>
      <c r="J385" s="114">
        <f t="shared" si="207"/>
        <v>7</v>
      </c>
      <c r="K385" s="74">
        <f t="shared" si="214"/>
        <v>6.0009999999999994</v>
      </c>
      <c r="L385" s="74">
        <f t="shared" si="208"/>
        <v>5.0019999999999998</v>
      </c>
      <c r="M385" s="114">
        <f t="shared" si="219"/>
        <v>4</v>
      </c>
      <c r="N385" s="115">
        <f t="shared" si="215"/>
        <v>6.6</v>
      </c>
      <c r="O385" s="74">
        <f t="shared" si="216"/>
        <v>9.1999999999999993</v>
      </c>
      <c r="P385" s="74">
        <f t="shared" si="217"/>
        <v>11.8</v>
      </c>
      <c r="Q385" s="74">
        <f t="shared" si="218"/>
        <v>14.4</v>
      </c>
      <c r="R385" s="114">
        <v>17</v>
      </c>
      <c r="S385" s="129"/>
      <c r="T385" s="117">
        <f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17.488061538461537</v>
      </c>
      <c r="U385" s="117">
        <f>Lefty!T385</f>
        <v>19.143138461538463</v>
      </c>
    </row>
    <row r="386" spans="2:21">
      <c r="B386" s="114">
        <v>18</v>
      </c>
      <c r="C386" s="74">
        <f t="shared" si="201"/>
        <v>16.5</v>
      </c>
      <c r="D386" s="74">
        <f t="shared" si="202"/>
        <v>15</v>
      </c>
      <c r="E386" s="74">
        <f t="shared" si="203"/>
        <v>13.5</v>
      </c>
      <c r="F386" s="114">
        <v>12</v>
      </c>
      <c r="G386" s="74">
        <f t="shared" si="204"/>
        <v>10.5</v>
      </c>
      <c r="H386" s="74">
        <f t="shared" si="205"/>
        <v>9</v>
      </c>
      <c r="I386" s="74">
        <f t="shared" si="206"/>
        <v>7.5</v>
      </c>
      <c r="J386" s="114">
        <f t="shared" si="207"/>
        <v>6</v>
      </c>
      <c r="K386" s="74">
        <f t="shared" si="214"/>
        <v>4.8011999999999997</v>
      </c>
      <c r="L386" s="74">
        <f t="shared" si="208"/>
        <v>3.6024000000000003</v>
      </c>
      <c r="M386" s="114">
        <f t="shared" si="219"/>
        <v>2.4000000000000004</v>
      </c>
      <c r="N386" s="115">
        <f t="shared" si="215"/>
        <v>5.32</v>
      </c>
      <c r="O386" s="74">
        <f t="shared" si="216"/>
        <v>8.24</v>
      </c>
      <c r="P386" s="74">
        <f t="shared" si="217"/>
        <v>11.16</v>
      </c>
      <c r="Q386" s="74">
        <f t="shared" si="218"/>
        <v>14.08</v>
      </c>
      <c r="R386" s="114">
        <v>17</v>
      </c>
      <c r="S386" s="129"/>
      <c r="T386" s="117">
        <f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17.558461538461536</v>
      </c>
      <c r="U386" s="117">
        <f>Lefty!T386</f>
        <v>18.76473846153846</v>
      </c>
    </row>
    <row r="387" spans="2:21">
      <c r="B387" s="114"/>
      <c r="C387" s="74"/>
      <c r="D387" s="74"/>
      <c r="E387" s="74"/>
      <c r="F387" s="114"/>
      <c r="G387" s="74"/>
      <c r="H387" s="74"/>
      <c r="I387" s="74"/>
      <c r="J387" s="114"/>
      <c r="K387" s="74"/>
      <c r="L387" s="74"/>
      <c r="M387" s="114"/>
      <c r="N387" s="115"/>
      <c r="O387" s="74"/>
      <c r="P387" s="74"/>
      <c r="Q387" s="74"/>
      <c r="R387" s="114"/>
      <c r="S387" s="129"/>
    </row>
    <row r="388" spans="2:21">
      <c r="B388" s="114">
        <v>12</v>
      </c>
      <c r="C388" s="74">
        <f t="shared" si="201"/>
        <v>12.25</v>
      </c>
      <c r="D388" s="74">
        <f t="shared" si="202"/>
        <v>12.5</v>
      </c>
      <c r="E388" s="74">
        <f t="shared" si="203"/>
        <v>12.75</v>
      </c>
      <c r="F388" s="114">
        <v>13</v>
      </c>
      <c r="G388" s="74">
        <f t="shared" si="204"/>
        <v>13.25</v>
      </c>
      <c r="H388" s="74">
        <f t="shared" si="205"/>
        <v>13.5</v>
      </c>
      <c r="I388" s="74">
        <f t="shared" si="206"/>
        <v>13.75</v>
      </c>
      <c r="J388" s="114">
        <f t="shared" si="207"/>
        <v>14</v>
      </c>
      <c r="K388" s="74">
        <f t="shared" si="214"/>
        <v>14.466200000000001</v>
      </c>
      <c r="L388" s="74">
        <f t="shared" si="208"/>
        <v>14.932400000000001</v>
      </c>
      <c r="M388" s="114">
        <f>SUM(J388,-F388,J388,0.4*ABS(J388-F388))</f>
        <v>15.4</v>
      </c>
      <c r="N388" s="115">
        <f t="shared" ref="N388:N396" si="220">SUM(0.2*(R388-M388),M388)</f>
        <v>15.72</v>
      </c>
      <c r="O388" s="74">
        <f t="shared" ref="O388:O396" si="221">SUM(0.4*(R388-M388),M388)</f>
        <v>16.04</v>
      </c>
      <c r="P388" s="74">
        <f t="shared" ref="P388:P396" si="222">SUM(0.6*(R388-M388),M388)</f>
        <v>16.36</v>
      </c>
      <c r="Q388" s="74">
        <f t="shared" ref="Q388:Q396" si="223">SUM(0.8*(R388-M388),M388)</f>
        <v>16.68</v>
      </c>
      <c r="R388" s="114">
        <v>17</v>
      </c>
      <c r="S388" s="129"/>
      <c r="T388" s="117">
        <f>SUM((CF20+CE19+CE18+CD17+CD16+CC15+CC14+CB13+CB12+CA11+BZ10+BY9+BX8+BW7+BW6+BV5+BV4)*-0.132,17)</f>
        <v>16.876461538461538</v>
      </c>
      <c r="U388" s="117">
        <f>Lefty!T388</f>
        <v>19.103538461538459</v>
      </c>
    </row>
    <row r="389" spans="2:21">
      <c r="B389" s="114">
        <v>13</v>
      </c>
      <c r="C389" s="74">
        <f t="shared" si="201"/>
        <v>13</v>
      </c>
      <c r="D389" s="74">
        <f t="shared" si="202"/>
        <v>13</v>
      </c>
      <c r="E389" s="74">
        <f t="shared" si="203"/>
        <v>13</v>
      </c>
      <c r="F389" s="114">
        <v>13</v>
      </c>
      <c r="G389" s="74">
        <f t="shared" si="204"/>
        <v>13</v>
      </c>
      <c r="H389" s="74">
        <f t="shared" si="205"/>
        <v>13</v>
      </c>
      <c r="I389" s="74">
        <f t="shared" si="206"/>
        <v>13</v>
      </c>
      <c r="J389" s="114">
        <f t="shared" si="207"/>
        <v>13</v>
      </c>
      <c r="K389" s="74">
        <f t="shared" si="214"/>
        <v>13.1998</v>
      </c>
      <c r="L389" s="74">
        <f t="shared" si="208"/>
        <v>13.3996</v>
      </c>
      <c r="M389" s="114">
        <f>SUM(J389,-F389,J389,0.2*ABS(J389-F389),0.15*(17-F389))</f>
        <v>13.6</v>
      </c>
      <c r="N389" s="115">
        <f t="shared" si="220"/>
        <v>14.28</v>
      </c>
      <c r="O389" s="74">
        <f t="shared" si="221"/>
        <v>14.96</v>
      </c>
      <c r="P389" s="74">
        <f t="shared" si="222"/>
        <v>15.64</v>
      </c>
      <c r="Q389" s="74">
        <f t="shared" si="223"/>
        <v>16.32</v>
      </c>
      <c r="R389" s="114">
        <v>17</v>
      </c>
      <c r="S389" s="129"/>
      <c r="T389" s="117">
        <f>SUM((CD20+CD19+CD18+CD17+CD16+CD15+CD14+CD13+CD12+CD11+CD10+CC9+BX6+BW5+BV4)*-0.132,(CB8+CA8+BZ7+BY7)*-0.132/2,17)</f>
        <v>17.272461538461538</v>
      </c>
      <c r="U389" s="117">
        <f>Lefty!T389</f>
        <v>19.433538461538461</v>
      </c>
    </row>
    <row r="390" spans="2:21">
      <c r="B390" s="114">
        <v>14</v>
      </c>
      <c r="C390" s="74">
        <f t="shared" si="201"/>
        <v>13.75</v>
      </c>
      <c r="D390" s="74">
        <f t="shared" si="202"/>
        <v>13.5</v>
      </c>
      <c r="E390" s="74">
        <f t="shared" si="203"/>
        <v>13.25</v>
      </c>
      <c r="F390" s="114">
        <v>13</v>
      </c>
      <c r="G390" s="74">
        <f t="shared" si="204"/>
        <v>12.75</v>
      </c>
      <c r="H390" s="74">
        <f t="shared" si="205"/>
        <v>12.5</v>
      </c>
      <c r="I390" s="74">
        <f t="shared" si="206"/>
        <v>12.25</v>
      </c>
      <c r="J390" s="114">
        <f t="shared" si="207"/>
        <v>12</v>
      </c>
      <c r="K390" s="74">
        <f t="shared" si="214"/>
        <v>11.8002</v>
      </c>
      <c r="L390" s="74">
        <f t="shared" si="208"/>
        <v>11.6004</v>
      </c>
      <c r="M390" s="114">
        <f t="shared" ref="M390:M396" si="224">SUM(J390,-F390,J390,0.4*ABS(J390-F390))</f>
        <v>11.4</v>
      </c>
      <c r="N390" s="115">
        <f t="shared" si="220"/>
        <v>12.52</v>
      </c>
      <c r="O390" s="74">
        <f t="shared" si="221"/>
        <v>13.64</v>
      </c>
      <c r="P390" s="74">
        <f t="shared" si="222"/>
        <v>14.76</v>
      </c>
      <c r="Q390" s="74">
        <f t="shared" si="223"/>
        <v>15.879999999999999</v>
      </c>
      <c r="R390" s="114">
        <v>17</v>
      </c>
      <c r="S390" s="129"/>
      <c r="T390" s="117">
        <f>SUM((CB20+CC19+CC18+CD17+CD16+CE15+CE14+CF13+CF12+CG11+CG10+CG9)*-0.132,(CF8+CE8+CD8)*-0.132/3,(CC7+CB7+CA6+BZ6+BY5+BX5+BW4+BV4)*-0.132/2,17)</f>
        <v>17.800461538461537</v>
      </c>
      <c r="U390" s="117">
        <f>Lefty!T390</f>
        <v>19.015538461538462</v>
      </c>
    </row>
    <row r="391" spans="2:21">
      <c r="B391" s="114">
        <v>15</v>
      </c>
      <c r="C391" s="74">
        <f t="shared" si="201"/>
        <v>14.5</v>
      </c>
      <c r="D391" s="74">
        <f t="shared" si="202"/>
        <v>14</v>
      </c>
      <c r="E391" s="74">
        <f t="shared" si="203"/>
        <v>13.5</v>
      </c>
      <c r="F391" s="114">
        <v>13</v>
      </c>
      <c r="G391" s="74">
        <f t="shared" si="204"/>
        <v>12.5</v>
      </c>
      <c r="H391" s="74">
        <f t="shared" si="205"/>
        <v>12</v>
      </c>
      <c r="I391" s="74">
        <f t="shared" si="206"/>
        <v>11.5</v>
      </c>
      <c r="J391" s="114">
        <f t="shared" si="207"/>
        <v>11</v>
      </c>
      <c r="K391" s="74">
        <f t="shared" si="214"/>
        <v>10.6004</v>
      </c>
      <c r="L391" s="74">
        <f t="shared" si="208"/>
        <v>10.200800000000001</v>
      </c>
      <c r="M391" s="114">
        <f t="shared" si="224"/>
        <v>9.8000000000000007</v>
      </c>
      <c r="N391" s="115">
        <f t="shared" si="220"/>
        <v>11.24</v>
      </c>
      <c r="O391" s="74">
        <f t="shared" si="221"/>
        <v>12.68</v>
      </c>
      <c r="P391" s="74">
        <f t="shared" si="222"/>
        <v>14.120000000000001</v>
      </c>
      <c r="Q391" s="74">
        <f t="shared" si="223"/>
        <v>15.56</v>
      </c>
      <c r="R391" s="114">
        <v>17</v>
      </c>
      <c r="S391" s="129"/>
      <c r="T391" s="117">
        <f>SUM((BZ20+CA19+CB18+CC17+CD16+CE15+CF14+CG13+CH12+CI11+CJ10+CJ9)*-0.132,(CI8+CH8+CG8+CF7+CE7+CD7+CC6+CB6+CA6+BZ5+BY5+BX5)*-0.132/3,(BW4+BV4)*-0.132/2,17)</f>
        <v>17.668461538461539</v>
      </c>
      <c r="U391" s="117">
        <f>Lefty!T391</f>
        <v>19.521538461538462</v>
      </c>
    </row>
    <row r="392" spans="2:21">
      <c r="B392" s="114">
        <v>16</v>
      </c>
      <c r="C392" s="74">
        <f t="shared" si="201"/>
        <v>15.25</v>
      </c>
      <c r="D392" s="74">
        <f t="shared" si="202"/>
        <v>14.5</v>
      </c>
      <c r="E392" s="74">
        <f t="shared" si="203"/>
        <v>13.75</v>
      </c>
      <c r="F392" s="114">
        <v>13</v>
      </c>
      <c r="G392" s="74">
        <f t="shared" si="204"/>
        <v>12.25</v>
      </c>
      <c r="H392" s="74">
        <f t="shared" si="205"/>
        <v>11.5</v>
      </c>
      <c r="I392" s="74">
        <f t="shared" si="206"/>
        <v>10.75</v>
      </c>
      <c r="J392" s="114">
        <f t="shared" si="207"/>
        <v>10</v>
      </c>
      <c r="K392" s="74">
        <f t="shared" si="214"/>
        <v>9.400599999999999</v>
      </c>
      <c r="L392" s="74">
        <f t="shared" si="208"/>
        <v>8.8011999999999997</v>
      </c>
      <c r="M392" s="114">
        <f t="shared" si="224"/>
        <v>8.1999999999999993</v>
      </c>
      <c r="N392" s="115">
        <f t="shared" si="220"/>
        <v>9.9599999999999991</v>
      </c>
      <c r="O392" s="74">
        <f t="shared" si="221"/>
        <v>11.719999999999999</v>
      </c>
      <c r="P392" s="74">
        <f t="shared" si="222"/>
        <v>13.48</v>
      </c>
      <c r="Q392" s="74">
        <f t="shared" si="223"/>
        <v>15.24</v>
      </c>
      <c r="R392" s="114">
        <v>17</v>
      </c>
      <c r="S392" s="129"/>
      <c r="T392" s="117">
        <f>SUM((BX20+CA18+CD16+CG14+CJ12+CM10+CN9)*-0.132,(BY19+BZ19+CB17+CC17+CE15+CF15+CH13+CI13+CK11+CL11)*-0.132/2,(CM8+CL8+CK8+CJ8+CI7+CH7+CG7+CF7+CE6+CD6+CC6+CB6)*-0.132/4,(CA5+BZ5+BY5+BX4+BW4+BV4)*-0.132/3,17)</f>
        <v>17.679461538461538</v>
      </c>
      <c r="U392" s="117">
        <f>Lefty!T392</f>
        <v>19.24653846153846</v>
      </c>
    </row>
    <row r="393" spans="2:21">
      <c r="B393" s="114">
        <v>17</v>
      </c>
      <c r="C393" s="74">
        <f t="shared" si="201"/>
        <v>16</v>
      </c>
      <c r="D393" s="74">
        <f t="shared" si="202"/>
        <v>15</v>
      </c>
      <c r="E393" s="74">
        <f t="shared" si="203"/>
        <v>14</v>
      </c>
      <c r="F393" s="114">
        <v>13</v>
      </c>
      <c r="G393" s="74">
        <f t="shared" si="204"/>
        <v>12</v>
      </c>
      <c r="H393" s="74">
        <f t="shared" si="205"/>
        <v>11</v>
      </c>
      <c r="I393" s="74">
        <f t="shared" si="206"/>
        <v>10</v>
      </c>
      <c r="J393" s="114">
        <f t="shared" si="207"/>
        <v>9</v>
      </c>
      <c r="K393" s="74">
        <f t="shared" si="214"/>
        <v>8.2007999999999992</v>
      </c>
      <c r="L393" s="74">
        <f t="shared" si="208"/>
        <v>7.4016000000000002</v>
      </c>
      <c r="M393" s="114">
        <f t="shared" si="224"/>
        <v>6.6</v>
      </c>
      <c r="N393" s="115">
        <f t="shared" si="220"/>
        <v>8.68</v>
      </c>
      <c r="O393" s="74">
        <f t="shared" si="221"/>
        <v>10.76</v>
      </c>
      <c r="P393" s="74">
        <f t="shared" si="222"/>
        <v>12.84</v>
      </c>
      <c r="Q393" s="74">
        <f t="shared" si="223"/>
        <v>14.92</v>
      </c>
      <c r="R393" s="114">
        <v>17</v>
      </c>
      <c r="S393" s="129"/>
      <c r="T393" s="117">
        <f>SUM((BW19+BX19+BY18+BZ18+CA17+CB17+CC16+CD16+CE15+CF15+CG14+CH14+CI13+CJ13+CK12+CL12+CM11+CN11+CO10+CP10)*-0.132/2,(BV20+CQ9)*-0.132,(CP8+CO8+CN8+CM8+CL8)*-0.132/5,(CK7+CJ7+CI7+CH7+CG6+CF6+CE6+CD6+CC5+CB5+CA5+BZ5+BY4+BX4+BW4+BV4)*-0.132/4,17)</f>
        <v>17.543061538461536</v>
      </c>
      <c r="U393" s="117">
        <f>Lefty!T393</f>
        <v>19.149738461538462</v>
      </c>
    </row>
    <row r="394" spans="2:21">
      <c r="B394" s="114">
        <v>18</v>
      </c>
      <c r="C394" s="74">
        <f t="shared" si="201"/>
        <v>16.75</v>
      </c>
      <c r="D394" s="74">
        <f t="shared" si="202"/>
        <v>15.5</v>
      </c>
      <c r="E394" s="74">
        <f t="shared" si="203"/>
        <v>14.25</v>
      </c>
      <c r="F394" s="114">
        <v>13</v>
      </c>
      <c r="G394" s="74">
        <f t="shared" si="204"/>
        <v>11.75</v>
      </c>
      <c r="H394" s="74">
        <f t="shared" si="205"/>
        <v>10.5</v>
      </c>
      <c r="I394" s="74">
        <f t="shared" si="206"/>
        <v>9.25</v>
      </c>
      <c r="J394" s="114">
        <f t="shared" si="207"/>
        <v>8</v>
      </c>
      <c r="K394" s="74">
        <f t="shared" si="214"/>
        <v>7.0009999999999994</v>
      </c>
      <c r="L394" s="74">
        <f t="shared" si="208"/>
        <v>6.0019999999999998</v>
      </c>
      <c r="M394" s="114">
        <f t="shared" si="224"/>
        <v>5</v>
      </c>
      <c r="N394" s="115">
        <f t="shared" si="220"/>
        <v>7.4</v>
      </c>
      <c r="O394" s="74">
        <f t="shared" si="221"/>
        <v>9.8000000000000007</v>
      </c>
      <c r="P394" s="74">
        <f t="shared" si="222"/>
        <v>12.2</v>
      </c>
      <c r="Q394" s="74">
        <f t="shared" si="223"/>
        <v>14.600000000000001</v>
      </c>
      <c r="R394" s="114">
        <v>17</v>
      </c>
      <c r="S394" s="129"/>
      <c r="T394" s="117">
        <f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17.263661538461538</v>
      </c>
      <c r="U394" s="117">
        <f>Lefty!T394</f>
        <v>18.68553846153846</v>
      </c>
    </row>
    <row r="395" spans="2:21">
      <c r="B395" s="114">
        <v>19</v>
      </c>
      <c r="C395" s="74">
        <f t="shared" si="201"/>
        <v>17.5</v>
      </c>
      <c r="D395" s="74">
        <f t="shared" si="202"/>
        <v>16</v>
      </c>
      <c r="E395" s="74">
        <f t="shared" si="203"/>
        <v>14.5</v>
      </c>
      <c r="F395" s="114">
        <v>13</v>
      </c>
      <c r="G395" s="74">
        <f t="shared" si="204"/>
        <v>11.5</v>
      </c>
      <c r="H395" s="74">
        <f t="shared" si="205"/>
        <v>10</v>
      </c>
      <c r="I395" s="74">
        <f t="shared" si="206"/>
        <v>8.5</v>
      </c>
      <c r="J395" s="114">
        <f t="shared" si="207"/>
        <v>7</v>
      </c>
      <c r="K395" s="74">
        <f t="shared" si="214"/>
        <v>5.8011999999999997</v>
      </c>
      <c r="L395" s="74">
        <f t="shared" si="208"/>
        <v>4.6024000000000003</v>
      </c>
      <c r="M395" s="114">
        <f t="shared" si="224"/>
        <v>3.4000000000000004</v>
      </c>
      <c r="N395" s="115">
        <f t="shared" si="220"/>
        <v>6.120000000000001</v>
      </c>
      <c r="O395" s="74">
        <f t="shared" si="221"/>
        <v>8.84</v>
      </c>
      <c r="P395" s="74">
        <f t="shared" si="222"/>
        <v>11.56</v>
      </c>
      <c r="Q395" s="74">
        <f t="shared" si="223"/>
        <v>14.280000000000001</v>
      </c>
      <c r="R395" s="114">
        <v>17</v>
      </c>
      <c r="S395" s="129"/>
      <c r="T395" s="117">
        <f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17.228461538461538</v>
      </c>
      <c r="U395" s="117">
        <f>Lefty!T395</f>
        <v>18.711938461538459</v>
      </c>
    </row>
    <row r="396" spans="2:21">
      <c r="B396" s="114">
        <v>20</v>
      </c>
      <c r="C396" s="74">
        <f t="shared" si="201"/>
        <v>18.25</v>
      </c>
      <c r="D396" s="74">
        <f t="shared" si="202"/>
        <v>16.5</v>
      </c>
      <c r="E396" s="74">
        <f t="shared" si="203"/>
        <v>14.75</v>
      </c>
      <c r="F396" s="114">
        <v>13</v>
      </c>
      <c r="G396" s="74">
        <f t="shared" si="204"/>
        <v>11.25</v>
      </c>
      <c r="H396" s="74">
        <f t="shared" si="205"/>
        <v>9.5</v>
      </c>
      <c r="I396" s="74">
        <f t="shared" si="206"/>
        <v>7.75</v>
      </c>
      <c r="J396" s="114">
        <f t="shared" si="207"/>
        <v>6</v>
      </c>
      <c r="K396" s="74">
        <f t="shared" si="214"/>
        <v>4.6013999999999999</v>
      </c>
      <c r="L396" s="74">
        <f t="shared" si="208"/>
        <v>3.2028000000000003</v>
      </c>
      <c r="M396" s="114">
        <f t="shared" si="224"/>
        <v>1.8000000000000003</v>
      </c>
      <c r="N396" s="115">
        <f t="shared" si="220"/>
        <v>4.84</v>
      </c>
      <c r="O396" s="74">
        <f t="shared" si="221"/>
        <v>7.8800000000000008</v>
      </c>
      <c r="P396" s="74">
        <f t="shared" si="222"/>
        <v>10.92</v>
      </c>
      <c r="Q396" s="74">
        <f t="shared" si="223"/>
        <v>13.96</v>
      </c>
      <c r="R396" s="114">
        <v>17</v>
      </c>
      <c r="S396" s="129"/>
      <c r="T396" s="131">
        <f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17.426461538461538</v>
      </c>
      <c r="U396" s="131">
        <f>Lefty!T396</f>
        <v>18.509538461538462</v>
      </c>
    </row>
    <row r="397" spans="2:21">
      <c r="B397" s="114"/>
      <c r="C397" s="74"/>
      <c r="D397" s="74"/>
      <c r="E397" s="74"/>
      <c r="F397" s="114"/>
      <c r="G397" s="74"/>
      <c r="H397" s="74"/>
      <c r="I397" s="74"/>
      <c r="J397" s="114"/>
      <c r="K397" s="74"/>
      <c r="L397" s="74"/>
      <c r="M397" s="114"/>
      <c r="N397" s="115"/>
      <c r="O397" s="74"/>
      <c r="P397" s="74"/>
      <c r="Q397" s="74"/>
      <c r="R397" s="114"/>
      <c r="S397" s="129"/>
    </row>
    <row r="398" spans="2:21">
      <c r="B398" s="114">
        <v>13</v>
      </c>
      <c r="C398" s="74">
        <f t="shared" si="201"/>
        <v>13.25</v>
      </c>
      <c r="D398" s="74">
        <f t="shared" si="202"/>
        <v>13.5</v>
      </c>
      <c r="E398" s="74">
        <f t="shared" si="203"/>
        <v>13.75</v>
      </c>
      <c r="F398" s="114">
        <v>14</v>
      </c>
      <c r="G398" s="74">
        <f t="shared" si="204"/>
        <v>14.25</v>
      </c>
      <c r="H398" s="74">
        <f t="shared" si="205"/>
        <v>14.5</v>
      </c>
      <c r="I398" s="74">
        <f t="shared" si="206"/>
        <v>14.75</v>
      </c>
      <c r="J398" s="114">
        <f t="shared" si="207"/>
        <v>15</v>
      </c>
      <c r="K398" s="74">
        <f t="shared" si="214"/>
        <v>15.249750000000001</v>
      </c>
      <c r="L398" s="74">
        <f t="shared" si="208"/>
        <v>15.499499999999999</v>
      </c>
      <c r="M398" s="114">
        <f>SUM(J398,J398-G398)</f>
        <v>15.75</v>
      </c>
      <c r="N398" s="115">
        <f t="shared" ref="N398:N407" si="225">SUM(0.2*(R398-M398),M398)</f>
        <v>16</v>
      </c>
      <c r="O398" s="74">
        <f t="shared" ref="O398:O407" si="226">SUM(0.4*(R398-M398),M398)</f>
        <v>16.25</v>
      </c>
      <c r="P398" s="74">
        <f t="shared" ref="P398:P407" si="227">SUM(0.6*(R398-M398),M398)</f>
        <v>16.5</v>
      </c>
      <c r="Q398" s="74">
        <f t="shared" ref="Q398:Q407" si="228">SUM(0.8*(R398-M398),M398)</f>
        <v>16.75</v>
      </c>
      <c r="R398" s="114">
        <v>17</v>
      </c>
      <c r="S398" s="129"/>
      <c r="T398" s="117">
        <f>SUM((CD20+CC19+CC18+CB17+CB16+CA15+CA14+BZ13+BZ12+BY11+BY10+BX9+BX8+BW7+BW6+BV5+BV4)*-0.132,17)</f>
        <v>16.74446153846154</v>
      </c>
      <c r="U398" s="117">
        <f>Lefty!T398</f>
        <v>18.17953846153846</v>
      </c>
    </row>
    <row r="399" spans="2:21">
      <c r="B399" s="114">
        <v>14</v>
      </c>
      <c r="C399" s="74">
        <f t="shared" si="201"/>
        <v>14</v>
      </c>
      <c r="D399" s="74">
        <f t="shared" si="202"/>
        <v>14</v>
      </c>
      <c r="E399" s="74">
        <f t="shared" si="203"/>
        <v>14</v>
      </c>
      <c r="F399" s="114">
        <v>14</v>
      </c>
      <c r="G399" s="74">
        <f t="shared" si="204"/>
        <v>14</v>
      </c>
      <c r="H399" s="74">
        <f t="shared" si="205"/>
        <v>14</v>
      </c>
      <c r="I399" s="74">
        <f t="shared" si="206"/>
        <v>14</v>
      </c>
      <c r="J399" s="114">
        <f t="shared" si="207"/>
        <v>14</v>
      </c>
      <c r="K399" s="74">
        <f t="shared" si="214"/>
        <v>14.149849999999999</v>
      </c>
      <c r="L399" s="74">
        <f t="shared" si="208"/>
        <v>14.2997</v>
      </c>
      <c r="M399" s="114">
        <f>SUM(J399,-F399,J399,0.2*ABS(J399-F399),0.15*(17-F399))</f>
        <v>14.45</v>
      </c>
      <c r="N399" s="115">
        <f t="shared" si="225"/>
        <v>14.959999999999999</v>
      </c>
      <c r="O399" s="74">
        <f t="shared" si="226"/>
        <v>15.469999999999999</v>
      </c>
      <c r="P399" s="74">
        <f t="shared" si="227"/>
        <v>15.98</v>
      </c>
      <c r="Q399" s="74">
        <f t="shared" si="228"/>
        <v>16.489999999999998</v>
      </c>
      <c r="R399" s="114">
        <v>17</v>
      </c>
      <c r="S399" s="129"/>
      <c r="T399" s="117">
        <f>SUM((CB20+CB19+CB18+CB17+CB16+CB15+CB14+CB13+CB12+CB11+CB10+CA9+BZ8+BY7+BX6+BW5+BV4)*-0.132,17)</f>
        <v>17.272461538461538</v>
      </c>
      <c r="U399" s="117">
        <f>Lefty!T399</f>
        <v>19.763538461538463</v>
      </c>
    </row>
    <row r="400" spans="2:21">
      <c r="B400" s="114">
        <v>15</v>
      </c>
      <c r="C400" s="74">
        <f t="shared" si="201"/>
        <v>14.75</v>
      </c>
      <c r="D400" s="74">
        <f t="shared" si="202"/>
        <v>14.5</v>
      </c>
      <c r="E400" s="74">
        <f t="shared" si="203"/>
        <v>14.25</v>
      </c>
      <c r="F400" s="114">
        <v>14</v>
      </c>
      <c r="G400" s="74">
        <f t="shared" si="204"/>
        <v>13.75</v>
      </c>
      <c r="H400" s="74">
        <f t="shared" si="205"/>
        <v>13.5</v>
      </c>
      <c r="I400" s="74">
        <f t="shared" si="206"/>
        <v>13.25</v>
      </c>
      <c r="J400" s="114">
        <f t="shared" si="207"/>
        <v>13</v>
      </c>
      <c r="K400" s="74">
        <f t="shared" si="214"/>
        <v>12.8002</v>
      </c>
      <c r="L400" s="74">
        <f t="shared" si="208"/>
        <v>12.6004</v>
      </c>
      <c r="M400" s="114">
        <f t="shared" ref="M400:M407" si="229">SUM(J400,-F400,J400,0.4*ABS(J400-F400))</f>
        <v>12.4</v>
      </c>
      <c r="N400" s="115">
        <f t="shared" si="225"/>
        <v>13.32</v>
      </c>
      <c r="O400" s="74">
        <f t="shared" si="226"/>
        <v>14.24</v>
      </c>
      <c r="P400" s="74">
        <f t="shared" si="227"/>
        <v>15.16</v>
      </c>
      <c r="Q400" s="74">
        <f t="shared" si="228"/>
        <v>16.079999999999998</v>
      </c>
      <c r="R400" s="114">
        <v>17</v>
      </c>
      <c r="S400" s="129"/>
      <c r="T400" s="117">
        <f>SUM((BZ20+CA19+CA18+CB17+CB16+CC15+CC14+CD13+CD12+CE11+CE10+CE9+BV4)*-0.132,(CD8+CC8+CB7+CA7+BZ6+BY6+BX5+BW5)*-0.132/2,17)</f>
        <v>16.678461538461537</v>
      </c>
      <c r="U400" s="117">
        <f>Lefty!T400</f>
        <v>19.235538461538461</v>
      </c>
    </row>
    <row r="401" spans="2:21">
      <c r="B401" s="114">
        <v>16</v>
      </c>
      <c r="C401" s="74">
        <f t="shared" si="201"/>
        <v>15.5</v>
      </c>
      <c r="D401" s="74">
        <f t="shared" si="202"/>
        <v>15</v>
      </c>
      <c r="E401" s="74">
        <f t="shared" si="203"/>
        <v>14.5</v>
      </c>
      <c r="F401" s="114">
        <v>14</v>
      </c>
      <c r="G401" s="74">
        <f t="shared" si="204"/>
        <v>13.5</v>
      </c>
      <c r="H401" s="74">
        <f t="shared" si="205"/>
        <v>13</v>
      </c>
      <c r="I401" s="74">
        <f t="shared" si="206"/>
        <v>12.5</v>
      </c>
      <c r="J401" s="114">
        <f t="shared" si="207"/>
        <v>12</v>
      </c>
      <c r="K401" s="74">
        <f t="shared" si="214"/>
        <v>11.6004</v>
      </c>
      <c r="L401" s="74">
        <f t="shared" si="208"/>
        <v>11.200800000000001</v>
      </c>
      <c r="M401" s="114">
        <f t="shared" si="229"/>
        <v>10.8</v>
      </c>
      <c r="N401" s="115">
        <f t="shared" si="225"/>
        <v>12.040000000000001</v>
      </c>
      <c r="O401" s="74">
        <f t="shared" si="226"/>
        <v>13.280000000000001</v>
      </c>
      <c r="P401" s="74">
        <f t="shared" si="227"/>
        <v>14.52</v>
      </c>
      <c r="Q401" s="74">
        <f t="shared" si="228"/>
        <v>15.760000000000002</v>
      </c>
      <c r="R401" s="114">
        <v>17</v>
      </c>
      <c r="S401" s="129"/>
      <c r="T401" s="117">
        <f>SUM((BX20+BY19+BZ18+CA17+CB16+CC15+CD14+CE13+CF12+CG11+CH10+CH9)*-0.132,(CG8+CF8+CE8+CD7+CC7+CB7)*-0.132/3,(CA6+BZ6+BY5+BX5+BW4+BV4)*-0.132/2,17)</f>
        <v>17.272461538461538</v>
      </c>
      <c r="U401" s="117">
        <f>Lefty!T401</f>
        <v>19.411538461538459</v>
      </c>
    </row>
    <row r="402" spans="2:21">
      <c r="B402" s="114">
        <v>17</v>
      </c>
      <c r="C402" s="74">
        <f t="shared" si="201"/>
        <v>16.25</v>
      </c>
      <c r="D402" s="74">
        <f t="shared" si="202"/>
        <v>15.5</v>
      </c>
      <c r="E402" s="74">
        <f t="shared" si="203"/>
        <v>14.75</v>
      </c>
      <c r="F402" s="114">
        <v>14</v>
      </c>
      <c r="G402" s="74">
        <f t="shared" si="204"/>
        <v>13.25</v>
      </c>
      <c r="H402" s="74">
        <f t="shared" si="205"/>
        <v>12.5</v>
      </c>
      <c r="I402" s="74">
        <f t="shared" si="206"/>
        <v>11.75</v>
      </c>
      <c r="J402" s="114">
        <f t="shared" si="207"/>
        <v>11</v>
      </c>
      <c r="K402" s="74">
        <f t="shared" si="214"/>
        <v>10.400599999999999</v>
      </c>
      <c r="L402" s="74">
        <f t="shared" si="208"/>
        <v>9.8011999999999997</v>
      </c>
      <c r="M402" s="114">
        <f t="shared" si="229"/>
        <v>9.1999999999999993</v>
      </c>
      <c r="N402" s="115">
        <f t="shared" si="225"/>
        <v>10.76</v>
      </c>
      <c r="O402" s="74">
        <f t="shared" si="226"/>
        <v>12.32</v>
      </c>
      <c r="P402" s="74">
        <f t="shared" si="227"/>
        <v>13.879999999999999</v>
      </c>
      <c r="Q402" s="74">
        <f t="shared" si="228"/>
        <v>15.440000000000001</v>
      </c>
      <c r="R402" s="114">
        <v>17</v>
      </c>
      <c r="S402" s="129"/>
      <c r="T402" s="117">
        <f>SUM((BV20+BY18+CB16+CE14+CH12+CK10+CL9)*-0.132,(BW19+BX19+BZ17+CA17+CC15+CD15+CF13+CG13+CI11+CJ11)*-0.132/2,(CK8+CJ8+CI8+CH8)*-0.132/4,(CG7+CF7+CE7+CD6+CC6+CB6+CA5+BZ5+BY5+BX4+BW4+BV4)*-0.132/3,17)</f>
        <v>17.789461538461538</v>
      </c>
      <c r="U402" s="117">
        <f>Lefty!T402</f>
        <v>19.180538461538461</v>
      </c>
    </row>
    <row r="403" spans="2:21">
      <c r="B403" s="114">
        <v>18</v>
      </c>
      <c r="C403" s="74">
        <f t="shared" si="201"/>
        <v>17</v>
      </c>
      <c r="D403" s="74">
        <f t="shared" si="202"/>
        <v>16</v>
      </c>
      <c r="E403" s="74">
        <f t="shared" si="203"/>
        <v>15</v>
      </c>
      <c r="F403" s="114">
        <v>14</v>
      </c>
      <c r="G403" s="74">
        <f t="shared" si="204"/>
        <v>13</v>
      </c>
      <c r="H403" s="74">
        <f t="shared" si="205"/>
        <v>12</v>
      </c>
      <c r="I403" s="74">
        <f t="shared" si="206"/>
        <v>11</v>
      </c>
      <c r="J403" s="114">
        <f t="shared" si="207"/>
        <v>10</v>
      </c>
      <c r="K403" s="74">
        <f t="shared" si="214"/>
        <v>9.2007999999999992</v>
      </c>
      <c r="L403" s="74">
        <f t="shared" si="208"/>
        <v>8.4016000000000002</v>
      </c>
      <c r="M403" s="114">
        <f t="shared" si="229"/>
        <v>7.6</v>
      </c>
      <c r="N403" s="115">
        <f t="shared" si="225"/>
        <v>9.48</v>
      </c>
      <c r="O403" s="74">
        <f t="shared" si="226"/>
        <v>11.36</v>
      </c>
      <c r="P403" s="74">
        <f t="shared" si="227"/>
        <v>13.239999999999998</v>
      </c>
      <c r="Q403" s="74">
        <f t="shared" si="228"/>
        <v>15.120000000000001</v>
      </c>
      <c r="R403" s="114">
        <v>17</v>
      </c>
      <c r="S403" s="129"/>
      <c r="T403" s="117">
        <f>SUM((BU19+BV19+BW18+BX18+BY17+BZ17+CA16+CB16+CC15+CD15+CE14+CF14+CG13+CH13+CI12+CJ12+CK11+CL11+CM10+CN10)*-0.132/2,(BT20+CO9)*-0.132,(CN8+CM8+CL8+CK8+CJ7+CI7+CH7+CG7+CF6+CE6+CD6+CC6+CB5+CA5+BZ5+BY5)*-0.132/4,(BX4+BW4+BV4)*-0.132/3,17)</f>
        <v>17.437461538461537</v>
      </c>
      <c r="U403" s="117">
        <f>Lefty!T403</f>
        <v>18.498538461538459</v>
      </c>
    </row>
    <row r="404" spans="2:21">
      <c r="B404" s="114">
        <v>19</v>
      </c>
      <c r="C404" s="74">
        <f t="shared" si="201"/>
        <v>17.75</v>
      </c>
      <c r="D404" s="74">
        <f t="shared" si="202"/>
        <v>16.5</v>
      </c>
      <c r="E404" s="74">
        <f t="shared" si="203"/>
        <v>15.25</v>
      </c>
      <c r="F404" s="114">
        <v>14</v>
      </c>
      <c r="G404" s="74">
        <f t="shared" si="204"/>
        <v>12.75</v>
      </c>
      <c r="H404" s="74">
        <f t="shared" si="205"/>
        <v>11.5</v>
      </c>
      <c r="I404" s="74">
        <f t="shared" si="206"/>
        <v>10.25</v>
      </c>
      <c r="J404" s="114">
        <f t="shared" si="207"/>
        <v>9</v>
      </c>
      <c r="K404" s="74">
        <f t="shared" si="214"/>
        <v>8.0009999999999994</v>
      </c>
      <c r="L404" s="74">
        <f t="shared" si="208"/>
        <v>7.0019999999999998</v>
      </c>
      <c r="M404" s="114">
        <f t="shared" si="229"/>
        <v>6</v>
      </c>
      <c r="N404" s="115">
        <f t="shared" si="225"/>
        <v>8.1999999999999993</v>
      </c>
      <c r="O404" s="74">
        <f t="shared" si="226"/>
        <v>10.4</v>
      </c>
      <c r="P404" s="74">
        <f t="shared" si="227"/>
        <v>12.6</v>
      </c>
      <c r="Q404" s="74">
        <f t="shared" si="228"/>
        <v>14.8</v>
      </c>
      <c r="R404" s="114">
        <v>17</v>
      </c>
      <c r="S404" s="129"/>
      <c r="T404" s="117">
        <f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17.268738461538462</v>
      </c>
      <c r="U404" s="117">
        <f>Lefty!T404</f>
        <v>18.770661538461539</v>
      </c>
    </row>
    <row r="405" spans="2:21">
      <c r="B405" s="114">
        <v>20</v>
      </c>
      <c r="C405" s="74">
        <f t="shared" si="201"/>
        <v>18.5</v>
      </c>
      <c r="D405" s="74">
        <f t="shared" si="202"/>
        <v>17</v>
      </c>
      <c r="E405" s="74">
        <f t="shared" si="203"/>
        <v>15.5</v>
      </c>
      <c r="F405" s="114">
        <v>14</v>
      </c>
      <c r="G405" s="74">
        <f t="shared" si="204"/>
        <v>12.5</v>
      </c>
      <c r="H405" s="74">
        <f t="shared" si="205"/>
        <v>11</v>
      </c>
      <c r="I405" s="74">
        <f t="shared" si="206"/>
        <v>9.5</v>
      </c>
      <c r="J405" s="114">
        <f t="shared" si="207"/>
        <v>8</v>
      </c>
      <c r="K405" s="74">
        <f t="shared" si="214"/>
        <v>6.8011999999999997</v>
      </c>
      <c r="L405" s="74">
        <f t="shared" si="208"/>
        <v>5.6024000000000003</v>
      </c>
      <c r="M405" s="114">
        <f t="shared" si="229"/>
        <v>4.4000000000000004</v>
      </c>
      <c r="N405" s="115">
        <f t="shared" si="225"/>
        <v>6.92</v>
      </c>
      <c r="O405" s="74">
        <f t="shared" si="226"/>
        <v>9.4400000000000013</v>
      </c>
      <c r="P405" s="74">
        <f t="shared" si="227"/>
        <v>11.96</v>
      </c>
      <c r="Q405" s="74">
        <f t="shared" si="228"/>
        <v>14.48</v>
      </c>
      <c r="R405" s="114">
        <v>17</v>
      </c>
      <c r="S405" s="129"/>
      <c r="T405" s="117">
        <f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17.127261538461539</v>
      </c>
      <c r="U405" s="117">
        <f>Lefty!T405</f>
        <v>18.29393846153846</v>
      </c>
    </row>
    <row r="406" spans="2:21">
      <c r="B406" s="114">
        <v>21</v>
      </c>
      <c r="C406" s="74">
        <f t="shared" si="201"/>
        <v>19.25</v>
      </c>
      <c r="D406" s="74">
        <f t="shared" si="202"/>
        <v>17.5</v>
      </c>
      <c r="E406" s="74">
        <f t="shared" si="203"/>
        <v>15.75</v>
      </c>
      <c r="F406" s="114">
        <v>14</v>
      </c>
      <c r="G406" s="74">
        <f t="shared" si="204"/>
        <v>12.25</v>
      </c>
      <c r="H406" s="74">
        <f t="shared" si="205"/>
        <v>10.5</v>
      </c>
      <c r="I406" s="74">
        <f t="shared" si="206"/>
        <v>8.75</v>
      </c>
      <c r="J406" s="114">
        <f t="shared" si="207"/>
        <v>7</v>
      </c>
      <c r="K406" s="74">
        <f t="shared" si="214"/>
        <v>5.6013999999999999</v>
      </c>
      <c r="L406" s="74">
        <f t="shared" si="208"/>
        <v>4.2027999999999999</v>
      </c>
      <c r="M406" s="114">
        <f t="shared" si="229"/>
        <v>2.8000000000000003</v>
      </c>
      <c r="N406" s="115">
        <f t="shared" si="225"/>
        <v>5.6400000000000006</v>
      </c>
      <c r="O406" s="74">
        <f t="shared" si="226"/>
        <v>8.48</v>
      </c>
      <c r="P406" s="74">
        <f t="shared" si="227"/>
        <v>11.32</v>
      </c>
      <c r="Q406" s="74">
        <f t="shared" si="228"/>
        <v>14.16</v>
      </c>
      <c r="R406" s="114">
        <v>17</v>
      </c>
      <c r="S406" s="129"/>
      <c r="T406" s="117">
        <f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17.012861538461539</v>
      </c>
      <c r="U406" s="117">
        <f>Lefty!T406</f>
        <v>18.39293846153846</v>
      </c>
    </row>
    <row r="407" spans="2:21">
      <c r="B407" s="114">
        <v>22</v>
      </c>
      <c r="C407" s="74">
        <f t="shared" si="201"/>
        <v>20</v>
      </c>
      <c r="D407" s="74">
        <f t="shared" si="202"/>
        <v>18</v>
      </c>
      <c r="E407" s="74">
        <f t="shared" si="203"/>
        <v>16</v>
      </c>
      <c r="F407" s="114">
        <v>14</v>
      </c>
      <c r="G407" s="74">
        <f t="shared" si="204"/>
        <v>12</v>
      </c>
      <c r="H407" s="74">
        <f t="shared" si="205"/>
        <v>10</v>
      </c>
      <c r="I407" s="74">
        <f t="shared" si="206"/>
        <v>8</v>
      </c>
      <c r="J407" s="114">
        <f t="shared" si="207"/>
        <v>6</v>
      </c>
      <c r="K407" s="74">
        <f t="shared" si="214"/>
        <v>4.4016000000000002</v>
      </c>
      <c r="L407" s="74">
        <f t="shared" si="208"/>
        <v>2.8031999999999999</v>
      </c>
      <c r="M407" s="114">
        <f t="shared" si="229"/>
        <v>1.2000000000000002</v>
      </c>
      <c r="N407" s="115">
        <f t="shared" si="225"/>
        <v>4.3600000000000003</v>
      </c>
      <c r="O407" s="74">
        <f t="shared" si="226"/>
        <v>7.5200000000000005</v>
      </c>
      <c r="P407" s="74">
        <f t="shared" si="227"/>
        <v>10.68</v>
      </c>
      <c r="Q407" s="74">
        <f t="shared" si="228"/>
        <v>13.84</v>
      </c>
      <c r="R407" s="114">
        <v>17</v>
      </c>
      <c r="S407" s="129"/>
      <c r="T407" s="131">
        <f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17.15146153846154</v>
      </c>
      <c r="U407" s="131">
        <f>Lefty!T407</f>
        <v>18.116681318681319</v>
      </c>
    </row>
    <row r="408" spans="2:21">
      <c r="B408" s="114"/>
      <c r="C408" s="74"/>
      <c r="D408" s="74"/>
      <c r="E408" s="74"/>
      <c r="F408" s="114"/>
      <c r="G408" s="74"/>
      <c r="H408" s="74"/>
      <c r="I408" s="74"/>
      <c r="J408" s="114"/>
      <c r="K408" s="74"/>
      <c r="L408" s="74"/>
      <c r="M408" s="114"/>
      <c r="N408" s="115"/>
      <c r="O408" s="74"/>
      <c r="P408" s="74"/>
      <c r="Q408" s="74"/>
      <c r="R408" s="114"/>
      <c r="S408" s="129"/>
    </row>
    <row r="409" spans="2:21">
      <c r="B409" s="114">
        <v>15</v>
      </c>
      <c r="C409" s="74">
        <f t="shared" si="201"/>
        <v>15</v>
      </c>
      <c r="D409" s="74">
        <f t="shared" si="202"/>
        <v>15</v>
      </c>
      <c r="E409" s="74">
        <f t="shared" si="203"/>
        <v>15</v>
      </c>
      <c r="F409" s="114">
        <v>15</v>
      </c>
      <c r="G409" s="74">
        <f t="shared" si="204"/>
        <v>15</v>
      </c>
      <c r="H409" s="74">
        <f t="shared" si="205"/>
        <v>15</v>
      </c>
      <c r="I409" s="74">
        <f t="shared" si="206"/>
        <v>15</v>
      </c>
      <c r="J409" s="114">
        <f t="shared" si="207"/>
        <v>15</v>
      </c>
      <c r="K409" s="74">
        <f t="shared" si="214"/>
        <v>15.0999</v>
      </c>
      <c r="L409" s="74">
        <f t="shared" si="208"/>
        <v>15.1998</v>
      </c>
      <c r="M409" s="114">
        <f>SUM(J409,-F409,J409,0.2*ABS(J409-F409),0.15*(17-F409))</f>
        <v>15.3</v>
      </c>
      <c r="N409" s="115">
        <f t="shared" ref="N409:N417" si="230">SUM(0.2*(R409-M409),M409)</f>
        <v>15.64</v>
      </c>
      <c r="O409" s="74">
        <f t="shared" ref="O409:O417" si="231">SUM(0.4*(R409-M409),M409)</f>
        <v>15.98</v>
      </c>
      <c r="P409" s="74">
        <f t="shared" ref="P409:P417" si="232">SUM(0.6*(R409-M409),M409)</f>
        <v>16.32</v>
      </c>
      <c r="Q409" s="74">
        <f t="shared" ref="Q409:Q417" si="233">SUM(0.8*(R409-M409),M409)</f>
        <v>16.66</v>
      </c>
      <c r="R409" s="114">
        <v>17</v>
      </c>
      <c r="S409" s="129"/>
      <c r="T409" s="117">
        <f>SUM((BZ20+BZ19+BZ18+BZ17+BZ16+BZ15+BZ14+BZ13+BZ12+BZ11+BZ10+BY9+BX8+BW7+BW6+BV5+BV4)*-0.132,17)</f>
        <v>16.612461538461538</v>
      </c>
      <c r="U409" s="117">
        <f>Lefty!T409</f>
        <v>18.443538461538463</v>
      </c>
    </row>
    <row r="410" spans="2:21">
      <c r="B410" s="114">
        <v>16</v>
      </c>
      <c r="C410" s="74">
        <f t="shared" si="201"/>
        <v>15.75</v>
      </c>
      <c r="D410" s="74">
        <f t="shared" si="202"/>
        <v>15.5</v>
      </c>
      <c r="E410" s="74">
        <f t="shared" si="203"/>
        <v>15.25</v>
      </c>
      <c r="F410" s="114">
        <v>15</v>
      </c>
      <c r="G410" s="74">
        <f t="shared" si="204"/>
        <v>14.75</v>
      </c>
      <c r="H410" s="74">
        <f t="shared" si="205"/>
        <v>14.5</v>
      </c>
      <c r="I410" s="74">
        <f t="shared" si="206"/>
        <v>14.25</v>
      </c>
      <c r="J410" s="114">
        <f t="shared" si="207"/>
        <v>14</v>
      </c>
      <c r="K410" s="74">
        <f t="shared" si="214"/>
        <v>13.8002</v>
      </c>
      <c r="L410" s="74">
        <f t="shared" si="208"/>
        <v>13.6004</v>
      </c>
      <c r="M410" s="114">
        <f t="shared" ref="M410:M417" si="234">SUM(J410,-F410,J410,0.4*ABS(J410-F410))</f>
        <v>13.4</v>
      </c>
      <c r="N410" s="115">
        <f t="shared" si="230"/>
        <v>14.120000000000001</v>
      </c>
      <c r="O410" s="74">
        <f t="shared" si="231"/>
        <v>14.84</v>
      </c>
      <c r="P410" s="74">
        <f t="shared" si="232"/>
        <v>15.56</v>
      </c>
      <c r="Q410" s="74">
        <f t="shared" si="233"/>
        <v>16.28</v>
      </c>
      <c r="R410" s="114">
        <v>17</v>
      </c>
      <c r="S410" s="129"/>
      <c r="T410" s="117">
        <f>SUM((BX20+BY19+BY18+BZ17+BZ16+CA15+CA14+CB13+CB12+CC11+CC10+CC9+BX6+BW5+BV4)*-0.132,(CB8+CA8+BZ7+BY7)*-0.132/2,17)</f>
        <v>16.876461538461538</v>
      </c>
      <c r="U410" s="117">
        <f>Lefty!T410</f>
        <v>19.169538461538462</v>
      </c>
    </row>
    <row r="411" spans="2:21">
      <c r="B411" s="114">
        <v>17</v>
      </c>
      <c r="C411" s="74">
        <f t="shared" si="201"/>
        <v>16.5</v>
      </c>
      <c r="D411" s="74">
        <f t="shared" si="202"/>
        <v>16</v>
      </c>
      <c r="E411" s="74">
        <f t="shared" si="203"/>
        <v>15.5</v>
      </c>
      <c r="F411" s="114">
        <v>15</v>
      </c>
      <c r="G411" s="74">
        <f t="shared" si="204"/>
        <v>14.5</v>
      </c>
      <c r="H411" s="74">
        <f t="shared" si="205"/>
        <v>14</v>
      </c>
      <c r="I411" s="74">
        <f t="shared" si="206"/>
        <v>13.5</v>
      </c>
      <c r="J411" s="114">
        <f t="shared" si="207"/>
        <v>13</v>
      </c>
      <c r="K411" s="74">
        <f t="shared" si="214"/>
        <v>12.6004</v>
      </c>
      <c r="L411" s="74">
        <f t="shared" si="208"/>
        <v>12.200800000000001</v>
      </c>
      <c r="M411" s="114">
        <f t="shared" si="234"/>
        <v>11.8</v>
      </c>
      <c r="N411" s="115">
        <f t="shared" si="230"/>
        <v>12.84</v>
      </c>
      <c r="O411" s="74">
        <f t="shared" si="231"/>
        <v>13.88</v>
      </c>
      <c r="P411" s="74">
        <f t="shared" si="232"/>
        <v>14.92</v>
      </c>
      <c r="Q411" s="74">
        <f t="shared" si="233"/>
        <v>15.96</v>
      </c>
      <c r="R411" s="114">
        <v>17</v>
      </c>
      <c r="S411" s="129"/>
      <c r="T411" s="117">
        <f>SUM((BV20+BW19+BX18+BY17+BZ16+CA15+CB14+CC13+CD12+CE11+CF10+CF9)*-0.132,(CE8+CD8+CC7+CB7+CA6+BZ6+BY5+BX5+BW4+BV4)*-0.132/2,17)</f>
        <v>16.612461538461538</v>
      </c>
      <c r="U411" s="117">
        <f>Lefty!T411</f>
        <v>19.235538461538461</v>
      </c>
    </row>
    <row r="412" spans="2:21">
      <c r="B412" s="114">
        <v>18</v>
      </c>
      <c r="C412" s="74">
        <f t="shared" si="201"/>
        <v>17.25</v>
      </c>
      <c r="D412" s="74">
        <f t="shared" si="202"/>
        <v>16.5</v>
      </c>
      <c r="E412" s="74">
        <f t="shared" si="203"/>
        <v>15.75</v>
      </c>
      <c r="F412" s="114">
        <v>15</v>
      </c>
      <c r="G412" s="74">
        <f t="shared" si="204"/>
        <v>14.25</v>
      </c>
      <c r="H412" s="74">
        <f t="shared" si="205"/>
        <v>13.5</v>
      </c>
      <c r="I412" s="74">
        <f t="shared" si="206"/>
        <v>12.75</v>
      </c>
      <c r="J412" s="114">
        <f t="shared" si="207"/>
        <v>12</v>
      </c>
      <c r="K412" s="74">
        <f t="shared" si="214"/>
        <v>11.400599999999999</v>
      </c>
      <c r="L412" s="74">
        <f t="shared" si="208"/>
        <v>10.8012</v>
      </c>
      <c r="M412" s="114">
        <f t="shared" si="234"/>
        <v>10.199999999999999</v>
      </c>
      <c r="N412" s="115">
        <f t="shared" si="230"/>
        <v>11.559999999999999</v>
      </c>
      <c r="O412" s="74">
        <f t="shared" si="231"/>
        <v>12.92</v>
      </c>
      <c r="P412" s="74">
        <f t="shared" si="232"/>
        <v>14.28</v>
      </c>
      <c r="Q412" s="74">
        <f t="shared" si="233"/>
        <v>15.64</v>
      </c>
      <c r="R412" s="114">
        <v>17</v>
      </c>
      <c r="S412" s="129"/>
      <c r="T412" s="117">
        <f>SUM((BT20+BW18+BZ16+CC14+CF12+CI10+CJ9)*-0.132,(BU19+BV19+BX17+BY17+CA15+CB15+CD13+CE13+CG11+CH11)*-0.132/2,(CI8+CH8+CG8+CF7+CE7+CD7+CC6+CB6+CA6+BZ5+BY5+BX5)*-0.132/3,(BW4+BV4)*-0.132/2,17)</f>
        <v>16.810461538461539</v>
      </c>
      <c r="U412" s="117">
        <f>Lefty!T412</f>
        <v>18.79553846153846</v>
      </c>
    </row>
    <row r="413" spans="2:21">
      <c r="B413" s="114">
        <v>19</v>
      </c>
      <c r="C413" s="74">
        <f t="shared" si="201"/>
        <v>18</v>
      </c>
      <c r="D413" s="74">
        <f t="shared" si="202"/>
        <v>17</v>
      </c>
      <c r="E413" s="74">
        <f t="shared" si="203"/>
        <v>16</v>
      </c>
      <c r="F413" s="114">
        <v>15</v>
      </c>
      <c r="G413" s="74">
        <f t="shared" si="204"/>
        <v>14</v>
      </c>
      <c r="H413" s="74">
        <f t="shared" si="205"/>
        <v>13</v>
      </c>
      <c r="I413" s="74">
        <f t="shared" si="206"/>
        <v>12</v>
      </c>
      <c r="J413" s="114">
        <f t="shared" si="207"/>
        <v>11</v>
      </c>
      <c r="K413" s="74">
        <f t="shared" si="214"/>
        <v>10.200799999999999</v>
      </c>
      <c r="L413" s="74">
        <f t="shared" si="208"/>
        <v>9.4016000000000002</v>
      </c>
      <c r="M413" s="114">
        <f t="shared" si="234"/>
        <v>8.6</v>
      </c>
      <c r="N413" s="115">
        <f t="shared" si="230"/>
        <v>10.28</v>
      </c>
      <c r="O413" s="74">
        <f t="shared" si="231"/>
        <v>11.96</v>
      </c>
      <c r="P413" s="74">
        <f t="shared" si="232"/>
        <v>13.64</v>
      </c>
      <c r="Q413" s="74">
        <f t="shared" si="233"/>
        <v>15.32</v>
      </c>
      <c r="R413" s="114">
        <v>17</v>
      </c>
      <c r="S413" s="129"/>
      <c r="T413" s="117">
        <f>SUM((BS19+BT19+BU18+BV18+BW17+BX17+BY16+BZ16+CA15+CB15+CC14+CD14+CE13+CF13+CG12+CH12+CI11+CJ11+CK10+CL10)*-0.132/2,(BR20+CM9)*-0.132,(CL8+CK8+CJ8+CI8+CH7+CG7+CF7+CE7)*-0.132/4,(CD6+CC6+CB6+CA5+BZ5+BY5+BX4+BW4+BV4)*-0.132/3,17)</f>
        <v>17.217461538461539</v>
      </c>
      <c r="U413" s="117">
        <f>Lefty!T413</f>
        <v>18.817538461538462</v>
      </c>
    </row>
    <row r="414" spans="2:21">
      <c r="B414" s="114">
        <v>20</v>
      </c>
      <c r="C414" s="74">
        <f t="shared" si="201"/>
        <v>18.75</v>
      </c>
      <c r="D414" s="74">
        <f t="shared" si="202"/>
        <v>17.5</v>
      </c>
      <c r="E414" s="74">
        <f t="shared" si="203"/>
        <v>16.25</v>
      </c>
      <c r="F414" s="114">
        <v>15</v>
      </c>
      <c r="G414" s="74">
        <f t="shared" si="204"/>
        <v>13.75</v>
      </c>
      <c r="H414" s="74">
        <f t="shared" si="205"/>
        <v>12.5</v>
      </c>
      <c r="I414" s="74">
        <f t="shared" si="206"/>
        <v>11.25</v>
      </c>
      <c r="J414" s="114">
        <f t="shared" si="207"/>
        <v>10</v>
      </c>
      <c r="K414" s="74">
        <f t="shared" si="214"/>
        <v>9.0009999999999994</v>
      </c>
      <c r="L414" s="74">
        <f t="shared" si="208"/>
        <v>8.0019999999999989</v>
      </c>
      <c r="M414" s="114">
        <f t="shared" si="234"/>
        <v>7</v>
      </c>
      <c r="N414" s="115">
        <f t="shared" si="230"/>
        <v>9</v>
      </c>
      <c r="O414" s="74">
        <f t="shared" si="231"/>
        <v>11</v>
      </c>
      <c r="P414" s="74">
        <f t="shared" si="232"/>
        <v>13</v>
      </c>
      <c r="Q414" s="74">
        <f t="shared" si="233"/>
        <v>15</v>
      </c>
      <c r="R414" s="114">
        <v>17</v>
      </c>
      <c r="S414" s="129"/>
      <c r="T414" s="117">
        <f>SUM((BP20+BQ20+BR19+BS19+BW17+BX17+BY16+BZ16+CD14+CE14+CI12+CJ12+CK11+CL11+CM10+CN10+CO9+CP9)*-0.132/2,(BT18+BU18+BV18+CA15+CB15+CC15+CF13+CG13+CH13)*-0.132/3,(CO8+CN8+CM8+CL8+CK7+CJ7+CI7+CH7+CG6+CF6+CE6+CD6+CC5+CB5+CA5+BZ5+BY4+BX4+BW4+BV4)*-0.132/4,17)</f>
        <v>16.84346153846154</v>
      </c>
      <c r="U414" s="117">
        <f>Lefty!T414</f>
        <v>18.498538461538462</v>
      </c>
    </row>
    <row r="415" spans="2:21">
      <c r="B415" s="114">
        <v>21</v>
      </c>
      <c r="C415" s="74">
        <f t="shared" si="201"/>
        <v>19.5</v>
      </c>
      <c r="D415" s="74">
        <f t="shared" si="202"/>
        <v>18</v>
      </c>
      <c r="E415" s="74">
        <f t="shared" si="203"/>
        <v>16.5</v>
      </c>
      <c r="F415" s="114">
        <v>15</v>
      </c>
      <c r="G415" s="74">
        <f t="shared" si="204"/>
        <v>13.5</v>
      </c>
      <c r="H415" s="74">
        <f t="shared" si="205"/>
        <v>12</v>
      </c>
      <c r="I415" s="74">
        <f t="shared" si="206"/>
        <v>10.5</v>
      </c>
      <c r="J415" s="114">
        <f t="shared" si="207"/>
        <v>9</v>
      </c>
      <c r="K415" s="74">
        <f t="shared" si="214"/>
        <v>7.8011999999999997</v>
      </c>
      <c r="L415" s="74">
        <f t="shared" si="208"/>
        <v>6.6024000000000003</v>
      </c>
      <c r="M415" s="114">
        <f t="shared" si="234"/>
        <v>5.4</v>
      </c>
      <c r="N415" s="115">
        <f t="shared" si="230"/>
        <v>7.7200000000000006</v>
      </c>
      <c r="O415" s="74">
        <f t="shared" si="231"/>
        <v>10.039999999999999</v>
      </c>
      <c r="P415" s="74">
        <f t="shared" si="232"/>
        <v>12.36</v>
      </c>
      <c r="Q415" s="74">
        <f t="shared" si="233"/>
        <v>14.68</v>
      </c>
      <c r="R415" s="114">
        <v>17</v>
      </c>
      <c r="S415" s="129"/>
      <c r="T415" s="117">
        <f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16.854461538461539</v>
      </c>
      <c r="U415" s="117">
        <f>Lefty!T415</f>
        <v>18.225738461538462</v>
      </c>
    </row>
    <row r="416" spans="2:21">
      <c r="B416" s="114">
        <v>22</v>
      </c>
      <c r="C416" s="74">
        <f t="shared" si="201"/>
        <v>20.25</v>
      </c>
      <c r="D416" s="74">
        <f t="shared" si="202"/>
        <v>18.5</v>
      </c>
      <c r="E416" s="74">
        <f t="shared" si="203"/>
        <v>16.75</v>
      </c>
      <c r="F416" s="114">
        <v>15</v>
      </c>
      <c r="G416" s="74">
        <f t="shared" si="204"/>
        <v>13.25</v>
      </c>
      <c r="H416" s="74">
        <f t="shared" si="205"/>
        <v>11.5</v>
      </c>
      <c r="I416" s="74">
        <f t="shared" si="206"/>
        <v>9.75</v>
      </c>
      <c r="J416" s="114">
        <f t="shared" si="207"/>
        <v>8</v>
      </c>
      <c r="K416" s="74">
        <f t="shared" si="214"/>
        <v>6.6013999999999999</v>
      </c>
      <c r="L416" s="74">
        <f t="shared" si="208"/>
        <v>5.2027999999999999</v>
      </c>
      <c r="M416" s="114">
        <f t="shared" si="234"/>
        <v>3.8000000000000003</v>
      </c>
      <c r="N416" s="115">
        <f t="shared" si="230"/>
        <v>6.44</v>
      </c>
      <c r="O416" s="74">
        <f t="shared" si="231"/>
        <v>9.08</v>
      </c>
      <c r="P416" s="74">
        <f t="shared" si="232"/>
        <v>11.719999999999999</v>
      </c>
      <c r="Q416" s="74">
        <f t="shared" si="233"/>
        <v>14.360000000000001</v>
      </c>
      <c r="R416" s="114">
        <v>17</v>
      </c>
      <c r="S416" s="129"/>
      <c r="T416" s="117">
        <f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17.026061538461537</v>
      </c>
      <c r="U416" s="117">
        <f>Lefty!T416</f>
        <v>18.06513846153846</v>
      </c>
    </row>
    <row r="417" spans="2:21">
      <c r="B417" s="114">
        <v>23</v>
      </c>
      <c r="C417" s="74">
        <f t="shared" si="201"/>
        <v>21</v>
      </c>
      <c r="D417" s="74">
        <f t="shared" si="202"/>
        <v>19</v>
      </c>
      <c r="E417" s="74">
        <f t="shared" si="203"/>
        <v>17</v>
      </c>
      <c r="F417" s="114">
        <v>15</v>
      </c>
      <c r="G417" s="74">
        <f t="shared" si="204"/>
        <v>13</v>
      </c>
      <c r="H417" s="74">
        <f t="shared" si="205"/>
        <v>11</v>
      </c>
      <c r="I417" s="74">
        <f t="shared" si="206"/>
        <v>9</v>
      </c>
      <c r="J417" s="114">
        <f t="shared" si="207"/>
        <v>7</v>
      </c>
      <c r="K417" s="74">
        <f t="shared" si="214"/>
        <v>5.4016000000000002</v>
      </c>
      <c r="L417" s="74">
        <f t="shared" si="208"/>
        <v>3.8031999999999999</v>
      </c>
      <c r="M417" s="114">
        <f t="shared" si="234"/>
        <v>2.2000000000000002</v>
      </c>
      <c r="N417" s="115">
        <f t="shared" si="230"/>
        <v>5.16</v>
      </c>
      <c r="O417" s="74">
        <f t="shared" si="231"/>
        <v>8.120000000000001</v>
      </c>
      <c r="P417" s="74">
        <f t="shared" si="232"/>
        <v>11.080000000000002</v>
      </c>
      <c r="Q417" s="74">
        <f t="shared" si="233"/>
        <v>14.040000000000003</v>
      </c>
      <c r="R417" s="114">
        <v>17</v>
      </c>
      <c r="S417" s="129"/>
      <c r="T417" s="131">
        <f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16.799461538461539</v>
      </c>
      <c r="U417" s="131">
        <f>Lefty!T417</f>
        <v>18.058538461538461</v>
      </c>
    </row>
    <row r="418" spans="2:21">
      <c r="B418" s="114"/>
      <c r="C418" s="74"/>
      <c r="D418" s="74"/>
      <c r="E418" s="74"/>
      <c r="F418" s="114"/>
      <c r="G418" s="74"/>
      <c r="H418" s="74"/>
      <c r="I418" s="74"/>
      <c r="J418" s="114"/>
      <c r="K418" s="74"/>
      <c r="L418" s="74"/>
      <c r="M418" s="114"/>
      <c r="N418" s="115"/>
      <c r="O418" s="74"/>
      <c r="P418" s="74"/>
      <c r="Q418" s="74"/>
      <c r="R418" s="114"/>
      <c r="S418" s="129"/>
    </row>
    <row r="419" spans="2:21">
      <c r="B419" s="114">
        <v>16</v>
      </c>
      <c r="C419" s="74">
        <f t="shared" si="201"/>
        <v>16</v>
      </c>
      <c r="D419" s="74">
        <f t="shared" si="202"/>
        <v>16</v>
      </c>
      <c r="E419" s="74">
        <f t="shared" si="203"/>
        <v>16</v>
      </c>
      <c r="F419" s="114">
        <v>16</v>
      </c>
      <c r="G419" s="74">
        <f t="shared" si="204"/>
        <v>16</v>
      </c>
      <c r="H419" s="74">
        <f t="shared" si="205"/>
        <v>16</v>
      </c>
      <c r="I419" s="74">
        <f t="shared" si="206"/>
        <v>16</v>
      </c>
      <c r="J419" s="114">
        <f t="shared" si="207"/>
        <v>16</v>
      </c>
      <c r="K419" s="74">
        <f t="shared" si="214"/>
        <v>16.049949999999999</v>
      </c>
      <c r="L419" s="74">
        <f t="shared" si="208"/>
        <v>16.099899999999998</v>
      </c>
      <c r="M419" s="114">
        <f>SUM(J419,-F419,J419,0.2*ABS(J419-F419),0.15*(17-F419))</f>
        <v>16.149999999999999</v>
      </c>
      <c r="N419" s="115">
        <f t="shared" ref="N419:N428" si="235">SUM(0.2*(R419-M419),M419)</f>
        <v>16.32</v>
      </c>
      <c r="O419" s="74">
        <f t="shared" ref="O419:O428" si="236">SUM(0.4*(R419-M419),M419)</f>
        <v>16.489999999999998</v>
      </c>
      <c r="P419" s="74">
        <f t="shared" ref="P419:P428" si="237">SUM(0.6*(R419-M419),M419)</f>
        <v>16.66</v>
      </c>
      <c r="Q419" s="74">
        <f t="shared" ref="Q419:Q428" si="238">SUM(0.8*(R419-M419),M419)</f>
        <v>16.829999999999998</v>
      </c>
      <c r="R419" s="114">
        <v>17</v>
      </c>
      <c r="S419" s="129"/>
      <c r="T419" s="117">
        <f>SUM((BX20+BX19+BX18+BX17+BX16+BX15+BX14+BX13+BX12+BX11+BX10+BX9+BW8+BW7+BV6+BV5+BV4)*-0.132,17)</f>
        <v>17.008461538461539</v>
      </c>
      <c r="U419" s="117">
        <f>Lefty!T419</f>
        <v>19.103538461538459</v>
      </c>
    </row>
    <row r="420" spans="2:21">
      <c r="B420" s="114">
        <v>17</v>
      </c>
      <c r="C420" s="74">
        <f t="shared" si="201"/>
        <v>16.75</v>
      </c>
      <c r="D420" s="74">
        <f t="shared" si="202"/>
        <v>16.5</v>
      </c>
      <c r="E420" s="74">
        <f t="shared" si="203"/>
        <v>16.25</v>
      </c>
      <c r="F420" s="114">
        <v>16</v>
      </c>
      <c r="G420" s="74">
        <f t="shared" si="204"/>
        <v>15.75</v>
      </c>
      <c r="H420" s="74">
        <f t="shared" si="205"/>
        <v>15.5</v>
      </c>
      <c r="I420" s="74">
        <f t="shared" si="206"/>
        <v>15.25</v>
      </c>
      <c r="J420" s="114">
        <f t="shared" si="207"/>
        <v>15</v>
      </c>
      <c r="K420" s="74">
        <f t="shared" si="214"/>
        <v>14.8002</v>
      </c>
      <c r="L420" s="74">
        <f t="shared" si="208"/>
        <v>14.6004</v>
      </c>
      <c r="M420" s="114">
        <f t="shared" ref="M420:M428" si="239">SUM(J420,-F420,J420,0.4*ABS(J420-F420))</f>
        <v>14.4</v>
      </c>
      <c r="N420" s="115">
        <f t="shared" si="235"/>
        <v>14.92</v>
      </c>
      <c r="O420" s="74">
        <f t="shared" si="236"/>
        <v>15.44</v>
      </c>
      <c r="P420" s="74">
        <f t="shared" si="237"/>
        <v>15.96</v>
      </c>
      <c r="Q420" s="74">
        <f t="shared" si="238"/>
        <v>16.48</v>
      </c>
      <c r="R420" s="114">
        <v>17</v>
      </c>
      <c r="S420" s="129"/>
      <c r="T420" s="117">
        <f>SUM((BV20+BW19+BW18+BX17+BX16+BY15+BY14+BZ13+BZ12+CA11+CA10+CA9+BZ8+BY7+BX6+BW5+BV4)*-0.132,17)</f>
        <v>17.536461538461538</v>
      </c>
      <c r="U420" s="117">
        <f>Lefty!T420</f>
        <v>18.047538461538462</v>
      </c>
    </row>
    <row r="421" spans="2:21">
      <c r="B421" s="114">
        <v>18</v>
      </c>
      <c r="C421" s="74">
        <f t="shared" si="201"/>
        <v>17.5</v>
      </c>
      <c r="D421" s="74">
        <f t="shared" si="202"/>
        <v>17</v>
      </c>
      <c r="E421" s="74">
        <f t="shared" si="203"/>
        <v>16.5</v>
      </c>
      <c r="F421" s="114">
        <v>16</v>
      </c>
      <c r="G421" s="74">
        <f t="shared" si="204"/>
        <v>15.5</v>
      </c>
      <c r="H421" s="74">
        <f t="shared" si="205"/>
        <v>15</v>
      </c>
      <c r="I421" s="74">
        <f t="shared" si="206"/>
        <v>14.5</v>
      </c>
      <c r="J421" s="114">
        <f t="shared" si="207"/>
        <v>14</v>
      </c>
      <c r="K421" s="74">
        <f t="shared" si="214"/>
        <v>13.6004</v>
      </c>
      <c r="L421" s="74">
        <f t="shared" si="208"/>
        <v>13.200800000000001</v>
      </c>
      <c r="M421" s="114">
        <f t="shared" si="239"/>
        <v>12.8</v>
      </c>
      <c r="N421" s="115">
        <f t="shared" si="235"/>
        <v>13.64</v>
      </c>
      <c r="O421" s="74">
        <f t="shared" si="236"/>
        <v>14.48</v>
      </c>
      <c r="P421" s="74">
        <f t="shared" si="237"/>
        <v>15.32</v>
      </c>
      <c r="Q421" s="74">
        <f t="shared" si="238"/>
        <v>16.16</v>
      </c>
      <c r="R421" s="114">
        <v>17</v>
      </c>
      <c r="S421" s="129"/>
      <c r="T421" s="117">
        <f>SUM((BT20+BU19+BV18+BW17+BX16+BY15+BZ14+CA13+CB12+CC11+CD10+CD9)*-0.132,(CC8+CB8+CA7+BZ7+BY6+BX6)*-0.132/2,(BW5+BV4)*-0.132,17)</f>
        <v>17.008461538461539</v>
      </c>
      <c r="U421" s="117">
        <f>Lefty!T421</f>
        <v>18.443538461538459</v>
      </c>
    </row>
    <row r="422" spans="2:21">
      <c r="B422" s="114">
        <v>19</v>
      </c>
      <c r="C422" s="74">
        <f t="shared" si="201"/>
        <v>18.25</v>
      </c>
      <c r="D422" s="74">
        <f t="shared" si="202"/>
        <v>17.5</v>
      </c>
      <c r="E422" s="74">
        <f t="shared" si="203"/>
        <v>16.75</v>
      </c>
      <c r="F422" s="114">
        <v>16</v>
      </c>
      <c r="G422" s="74">
        <f t="shared" si="204"/>
        <v>15.25</v>
      </c>
      <c r="H422" s="74">
        <f t="shared" si="205"/>
        <v>14.5</v>
      </c>
      <c r="I422" s="74">
        <f t="shared" si="206"/>
        <v>13.75</v>
      </c>
      <c r="J422" s="114">
        <f t="shared" si="207"/>
        <v>13</v>
      </c>
      <c r="K422" s="74">
        <f t="shared" si="214"/>
        <v>12.400599999999999</v>
      </c>
      <c r="L422" s="74">
        <f t="shared" si="208"/>
        <v>11.8012</v>
      </c>
      <c r="M422" s="114">
        <f t="shared" si="239"/>
        <v>11.2</v>
      </c>
      <c r="N422" s="115">
        <f t="shared" si="235"/>
        <v>12.36</v>
      </c>
      <c r="O422" s="74">
        <f t="shared" si="236"/>
        <v>13.52</v>
      </c>
      <c r="P422" s="74">
        <f t="shared" si="237"/>
        <v>14.68</v>
      </c>
      <c r="Q422" s="74">
        <f t="shared" si="238"/>
        <v>15.84</v>
      </c>
      <c r="R422" s="114">
        <v>17</v>
      </c>
      <c r="S422" s="129"/>
      <c r="T422" s="117">
        <f>SUM((BR20+BU18+BX16+CA14+CD12+CG10+CH9)*-0.132,(BS19+BT19+BV17+BW17+BY15+BZ15+CB13+CC13+CE11+CF11)*-0.132/2,(CG8+CF8+CE8+CD7+CC7+CB7)*-0.132/3,(CA6+BZ6+BY5+BX5+BW4+BV4)*-0.132/2,17)</f>
        <v>16.74446153846154</v>
      </c>
      <c r="U422" s="117">
        <f>Lefty!T422</f>
        <v>18.421538461538461</v>
      </c>
    </row>
    <row r="423" spans="2:21">
      <c r="B423" s="114">
        <v>20</v>
      </c>
      <c r="C423" s="74">
        <f t="shared" si="201"/>
        <v>19</v>
      </c>
      <c r="D423" s="74">
        <f t="shared" si="202"/>
        <v>18</v>
      </c>
      <c r="E423" s="74">
        <f t="shared" si="203"/>
        <v>17</v>
      </c>
      <c r="F423" s="114">
        <v>16</v>
      </c>
      <c r="G423" s="74">
        <f t="shared" si="204"/>
        <v>15</v>
      </c>
      <c r="H423" s="74">
        <f t="shared" si="205"/>
        <v>14</v>
      </c>
      <c r="I423" s="74">
        <f t="shared" si="206"/>
        <v>13</v>
      </c>
      <c r="J423" s="114">
        <f t="shared" si="207"/>
        <v>12</v>
      </c>
      <c r="K423" s="74">
        <f t="shared" si="214"/>
        <v>11.200799999999999</v>
      </c>
      <c r="L423" s="74">
        <f t="shared" si="208"/>
        <v>10.4016</v>
      </c>
      <c r="M423" s="114">
        <f t="shared" si="239"/>
        <v>9.6</v>
      </c>
      <c r="N423" s="115">
        <f t="shared" si="235"/>
        <v>11.08</v>
      </c>
      <c r="O423" s="74">
        <f t="shared" si="236"/>
        <v>12.56</v>
      </c>
      <c r="P423" s="74">
        <f t="shared" si="237"/>
        <v>14.04</v>
      </c>
      <c r="Q423" s="74">
        <f t="shared" si="238"/>
        <v>15.52</v>
      </c>
      <c r="R423" s="114">
        <v>17</v>
      </c>
      <c r="S423" s="129"/>
      <c r="T423" s="117">
        <f>SUM((BQ19+BR19+BS18+BT18+BU17+BV17+BW16+BX16+BY15+BZ15+CA14+CB14+CC13+CD13+CE12+CF12+CG11+CH11+CI10+CJ10)*-0.132/2,(BP20+CK9)*-0.132,(CJ8+CI8+CH8+CG7+CF7+CE7+CD6+CC6+CB6+CA5+BZ5+BY5+BX4+BW4+BV4)*-0.132/3,17)</f>
        <v>16.854461538461539</v>
      </c>
      <c r="U423" s="117">
        <f>Lefty!T423</f>
        <v>18.421538461538461</v>
      </c>
    </row>
    <row r="424" spans="2:21">
      <c r="B424" s="114">
        <v>21</v>
      </c>
      <c r="C424" s="74">
        <f t="shared" si="201"/>
        <v>19.75</v>
      </c>
      <c r="D424" s="74">
        <f t="shared" si="202"/>
        <v>18.5</v>
      </c>
      <c r="E424" s="74">
        <f t="shared" si="203"/>
        <v>17.25</v>
      </c>
      <c r="F424" s="114">
        <v>16</v>
      </c>
      <c r="G424" s="74">
        <f t="shared" si="204"/>
        <v>14.75</v>
      </c>
      <c r="H424" s="74">
        <f t="shared" si="205"/>
        <v>13.5</v>
      </c>
      <c r="I424" s="74">
        <f t="shared" si="206"/>
        <v>12.25</v>
      </c>
      <c r="J424" s="114">
        <f t="shared" si="207"/>
        <v>11</v>
      </c>
      <c r="K424" s="74">
        <f t="shared" si="214"/>
        <v>10.000999999999999</v>
      </c>
      <c r="L424" s="74">
        <f t="shared" si="208"/>
        <v>9.0019999999999989</v>
      </c>
      <c r="M424" s="114">
        <f t="shared" si="239"/>
        <v>8</v>
      </c>
      <c r="N424" s="115">
        <f t="shared" si="235"/>
        <v>9.8000000000000007</v>
      </c>
      <c r="O424" s="74">
        <f t="shared" si="236"/>
        <v>11.6</v>
      </c>
      <c r="P424" s="74">
        <f t="shared" si="237"/>
        <v>13.399999999999999</v>
      </c>
      <c r="Q424" s="74">
        <f t="shared" si="238"/>
        <v>15.2</v>
      </c>
      <c r="R424" s="114">
        <v>17</v>
      </c>
      <c r="S424" s="129"/>
      <c r="T424" s="117">
        <f>SUM((BN20+BO20+BP19+BQ19+BU17+BV17+BW16+BX16+CB14+CC14+CG12+CH12+CI11+CJ11+CK10+CL10+CM9+CN9)*-0.132/2,(BR18+BS18+BT18+BY15+BZ15+CA15+CD13+CE13+CF13)*-0.132/3,(CM8+CL8+CK8+CJ8+CI7+CH7+CG7+CF7+CE6+CD6+CC6+CB6)*-0.132/4,(CA5+BZ5+BY5+BX4+BW4+BV4)*-0.132/3,17)</f>
        <v>17.107461538461539</v>
      </c>
      <c r="U424" s="117">
        <f>Lefty!T424</f>
        <v>18.190538461538463</v>
      </c>
    </row>
    <row r="425" spans="2:21">
      <c r="B425" s="114">
        <v>22</v>
      </c>
      <c r="C425" s="74">
        <f t="shared" si="201"/>
        <v>20.5</v>
      </c>
      <c r="D425" s="74">
        <f t="shared" si="202"/>
        <v>19</v>
      </c>
      <c r="E425" s="74">
        <f t="shared" si="203"/>
        <v>17.5</v>
      </c>
      <c r="F425" s="114">
        <v>16</v>
      </c>
      <c r="G425" s="74">
        <f t="shared" si="204"/>
        <v>14.5</v>
      </c>
      <c r="H425" s="74">
        <f t="shared" si="205"/>
        <v>13</v>
      </c>
      <c r="I425" s="74">
        <f t="shared" si="206"/>
        <v>11.5</v>
      </c>
      <c r="J425" s="114">
        <f t="shared" si="207"/>
        <v>10</v>
      </c>
      <c r="K425" s="74">
        <f t="shared" si="214"/>
        <v>8.8011999999999997</v>
      </c>
      <c r="L425" s="74">
        <f t="shared" si="208"/>
        <v>7.6024000000000003</v>
      </c>
      <c r="M425" s="114">
        <f t="shared" si="239"/>
        <v>6.4</v>
      </c>
      <c r="N425" s="115">
        <f t="shared" si="235"/>
        <v>8.52</v>
      </c>
      <c r="O425" s="74">
        <f t="shared" si="236"/>
        <v>10.64</v>
      </c>
      <c r="P425" s="74">
        <f t="shared" si="237"/>
        <v>12.76</v>
      </c>
      <c r="Q425" s="74">
        <f t="shared" si="238"/>
        <v>14.88</v>
      </c>
      <c r="R425" s="114">
        <v>17</v>
      </c>
      <c r="S425" s="129"/>
      <c r="T425" s="117">
        <f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16.707061538461538</v>
      </c>
      <c r="U425" s="117">
        <f>Lefty!T425</f>
        <v>18.04973846153846</v>
      </c>
    </row>
    <row r="426" spans="2:21">
      <c r="B426" s="114">
        <v>23</v>
      </c>
      <c r="C426" s="74">
        <f t="shared" si="201"/>
        <v>21.25</v>
      </c>
      <c r="D426" s="74">
        <f t="shared" si="202"/>
        <v>19.5</v>
      </c>
      <c r="E426" s="74">
        <f t="shared" si="203"/>
        <v>17.75</v>
      </c>
      <c r="F426" s="114">
        <v>16</v>
      </c>
      <c r="G426" s="74">
        <f t="shared" si="204"/>
        <v>14.25</v>
      </c>
      <c r="H426" s="74">
        <f t="shared" si="205"/>
        <v>12.5</v>
      </c>
      <c r="I426" s="74">
        <f t="shared" si="206"/>
        <v>10.75</v>
      </c>
      <c r="J426" s="114">
        <f t="shared" si="207"/>
        <v>9</v>
      </c>
      <c r="K426" s="74">
        <f t="shared" si="214"/>
        <v>7.6013999999999999</v>
      </c>
      <c r="L426" s="74">
        <f t="shared" si="208"/>
        <v>6.2027999999999999</v>
      </c>
      <c r="M426" s="114">
        <f t="shared" si="239"/>
        <v>4.8000000000000007</v>
      </c>
      <c r="N426" s="115">
        <f t="shared" si="235"/>
        <v>7.24</v>
      </c>
      <c r="O426" s="74">
        <f t="shared" si="236"/>
        <v>9.68</v>
      </c>
      <c r="P426" s="74">
        <f t="shared" si="237"/>
        <v>12.120000000000001</v>
      </c>
      <c r="Q426" s="74">
        <f t="shared" si="238"/>
        <v>14.56</v>
      </c>
      <c r="R426" s="114">
        <v>17</v>
      </c>
      <c r="S426" s="129"/>
      <c r="T426" s="117">
        <f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16.427661538461539</v>
      </c>
      <c r="U426" s="117">
        <f>Lefty!T426</f>
        <v>17.794538461538462</v>
      </c>
    </row>
    <row r="427" spans="2:21">
      <c r="B427" s="114">
        <v>24</v>
      </c>
      <c r="C427" s="74">
        <f t="shared" si="201"/>
        <v>22</v>
      </c>
      <c r="D427" s="74">
        <f t="shared" si="202"/>
        <v>20</v>
      </c>
      <c r="E427" s="74">
        <f t="shared" si="203"/>
        <v>18</v>
      </c>
      <c r="F427" s="114">
        <v>16</v>
      </c>
      <c r="G427" s="74">
        <f t="shared" si="204"/>
        <v>14</v>
      </c>
      <c r="H427" s="74">
        <f t="shared" si="205"/>
        <v>12</v>
      </c>
      <c r="I427" s="74">
        <f t="shared" si="206"/>
        <v>10</v>
      </c>
      <c r="J427" s="114">
        <f t="shared" si="207"/>
        <v>8</v>
      </c>
      <c r="K427" s="74">
        <f t="shared" si="214"/>
        <v>6.4016000000000002</v>
      </c>
      <c r="L427" s="74">
        <f t="shared" si="208"/>
        <v>4.8032000000000004</v>
      </c>
      <c r="M427" s="114">
        <f t="shared" si="239"/>
        <v>3.2</v>
      </c>
      <c r="N427" s="115">
        <f t="shared" si="235"/>
        <v>5.9600000000000009</v>
      </c>
      <c r="O427" s="74">
        <f t="shared" si="236"/>
        <v>8.7200000000000006</v>
      </c>
      <c r="P427" s="74">
        <f t="shared" si="237"/>
        <v>11.48</v>
      </c>
      <c r="Q427" s="74">
        <f t="shared" si="238"/>
        <v>14.240000000000002</v>
      </c>
      <c r="R427" s="114">
        <v>17</v>
      </c>
      <c r="S427" s="129"/>
      <c r="T427" s="117">
        <f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16.418861538461538</v>
      </c>
      <c r="U427" s="117">
        <f>Lefty!T427</f>
        <v>17.67793846153846</v>
      </c>
    </row>
    <row r="428" spans="2:21">
      <c r="B428" s="114">
        <v>25</v>
      </c>
      <c r="C428" s="74">
        <f t="shared" si="201"/>
        <v>22.75</v>
      </c>
      <c r="D428" s="74">
        <f t="shared" si="202"/>
        <v>20.5</v>
      </c>
      <c r="E428" s="74">
        <f t="shared" si="203"/>
        <v>18.25</v>
      </c>
      <c r="F428" s="114">
        <v>16</v>
      </c>
      <c r="G428" s="74">
        <f t="shared" si="204"/>
        <v>13.75</v>
      </c>
      <c r="H428" s="74">
        <f t="shared" si="205"/>
        <v>11.5</v>
      </c>
      <c r="I428" s="74">
        <f t="shared" si="206"/>
        <v>9.25</v>
      </c>
      <c r="J428" s="114">
        <f t="shared" si="207"/>
        <v>7</v>
      </c>
      <c r="K428" s="74">
        <f t="shared" si="214"/>
        <v>5.2017999999999995</v>
      </c>
      <c r="L428" s="74">
        <f t="shared" si="208"/>
        <v>3.4035999999999995</v>
      </c>
      <c r="M428" s="114">
        <f t="shared" si="239"/>
        <v>1.6</v>
      </c>
      <c r="N428" s="115">
        <f t="shared" si="235"/>
        <v>4.68</v>
      </c>
      <c r="O428" s="74">
        <f t="shared" si="236"/>
        <v>7.76</v>
      </c>
      <c r="P428" s="74">
        <f t="shared" si="237"/>
        <v>10.84</v>
      </c>
      <c r="Q428" s="74">
        <f t="shared" si="238"/>
        <v>13.92</v>
      </c>
      <c r="R428" s="114">
        <v>17</v>
      </c>
      <c r="S428" s="129"/>
      <c r="T428" s="131">
        <f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16.470090109890108</v>
      </c>
      <c r="U428" s="131">
        <f>Lefty!T428</f>
        <v>17.552538461538461</v>
      </c>
    </row>
    <row r="429" spans="2:21">
      <c r="B429" s="114"/>
      <c r="C429" s="74"/>
      <c r="D429" s="74"/>
      <c r="E429" s="74"/>
      <c r="F429" s="114"/>
      <c r="G429" s="74"/>
      <c r="H429" s="74"/>
      <c r="I429" s="74"/>
      <c r="J429" s="114"/>
      <c r="K429" s="74"/>
      <c r="L429" s="74"/>
      <c r="M429" s="114"/>
      <c r="N429" s="115"/>
      <c r="O429" s="74"/>
      <c r="P429" s="74"/>
      <c r="Q429" s="74"/>
      <c r="R429" s="114"/>
      <c r="S429" s="129"/>
    </row>
    <row r="430" spans="2:21">
      <c r="B430" s="114">
        <v>17</v>
      </c>
      <c r="C430" s="74">
        <f t="shared" ref="C430:C508" si="240">SUM(0.25*(F430-B430),B430)</f>
        <v>17</v>
      </c>
      <c r="D430" s="74">
        <f t="shared" ref="D430:D508" si="241">SUM(0.5*(F430-B430)+B430)</f>
        <v>17</v>
      </c>
      <c r="E430" s="74">
        <f t="shared" ref="E430:E508" si="242">SUM(0.75*(F430-B430),B430)</f>
        <v>17</v>
      </c>
      <c r="F430" s="114">
        <v>17</v>
      </c>
      <c r="G430" s="74">
        <f t="shared" ref="G430:G508" si="243">SUM(0.25*(J430-F430),F430)</f>
        <v>17</v>
      </c>
      <c r="H430" s="74">
        <f t="shared" ref="H430:H508" si="244">SUM(0.5*(J430-F430),F430)</f>
        <v>17</v>
      </c>
      <c r="I430" s="74">
        <f t="shared" ref="I430:I508" si="245">SUM(0.75*(J430-F430),F430)</f>
        <v>17</v>
      </c>
      <c r="J430" s="114">
        <f t="shared" ref="J430:J508" si="246">SUM(F430,-B430,F430)</f>
        <v>17</v>
      </c>
      <c r="K430" s="74">
        <f t="shared" si="214"/>
        <v>17</v>
      </c>
      <c r="L430" s="74">
        <f t="shared" si="208"/>
        <v>17</v>
      </c>
      <c r="M430" s="114">
        <f>SUM(J430,J430-G430)</f>
        <v>17</v>
      </c>
      <c r="N430" s="115">
        <f t="shared" ref="N430:N439" si="247">SUM(0.2*(R430-M430),M430)</f>
        <v>17</v>
      </c>
      <c r="O430" s="74">
        <f t="shared" ref="O430:O439" si="248">SUM(0.4*(R430-M430),M430)</f>
        <v>17</v>
      </c>
      <c r="P430" s="74">
        <f t="shared" ref="P430:P439" si="249">SUM(0.6*(R430-M430),M430)</f>
        <v>17</v>
      </c>
      <c r="Q430" s="74">
        <f t="shared" ref="Q430:Q439" si="250">SUM(0.8*(R430-M430),M430)</f>
        <v>17</v>
      </c>
      <c r="R430" s="114">
        <v>17</v>
      </c>
      <c r="S430" s="129"/>
      <c r="T430" s="117">
        <f>SUM((BV20+BV19+++BV18+BV17+BV16+BV15+BV14+BV13+BV12+BV11+BV10+BV9+BV8+BV7+BV6+BV5+BV4)*-0.132,17)</f>
        <v>16.74446153846154</v>
      </c>
      <c r="U430" s="117">
        <f>Lefty!T430</f>
        <v>17.651538461538461</v>
      </c>
    </row>
    <row r="431" spans="2:21">
      <c r="B431" s="114">
        <v>18</v>
      </c>
      <c r="C431" s="74">
        <f t="shared" si="240"/>
        <v>17.75</v>
      </c>
      <c r="D431" s="74">
        <f t="shared" si="241"/>
        <v>17.5</v>
      </c>
      <c r="E431" s="74">
        <f t="shared" si="242"/>
        <v>17.25</v>
      </c>
      <c r="F431" s="114">
        <v>17</v>
      </c>
      <c r="G431" s="74">
        <f t="shared" si="243"/>
        <v>16.75</v>
      </c>
      <c r="H431" s="74">
        <f t="shared" si="244"/>
        <v>16.5</v>
      </c>
      <c r="I431" s="74">
        <f t="shared" si="245"/>
        <v>16.25</v>
      </c>
      <c r="J431" s="114">
        <f t="shared" si="246"/>
        <v>16</v>
      </c>
      <c r="K431" s="74">
        <f t="shared" si="214"/>
        <v>15.8002</v>
      </c>
      <c r="L431" s="74">
        <f t="shared" si="208"/>
        <v>15.6004</v>
      </c>
      <c r="M431" s="114">
        <f t="shared" ref="M431:M462" si="251">SUM(J431,-F431,J431,0.4*ABS(J431-F431))</f>
        <v>15.4</v>
      </c>
      <c r="N431" s="115">
        <f t="shared" si="247"/>
        <v>15.72</v>
      </c>
      <c r="O431" s="74">
        <f t="shared" si="248"/>
        <v>16.04</v>
      </c>
      <c r="P431" s="74">
        <f t="shared" si="249"/>
        <v>16.36</v>
      </c>
      <c r="Q431" s="74">
        <f t="shared" si="250"/>
        <v>16.68</v>
      </c>
      <c r="R431" s="114">
        <v>17</v>
      </c>
      <c r="S431" s="129"/>
      <c r="T431" s="117">
        <f>SUM((BT20+BU19+BU18+BV17+BV16+BW15+BW14+BX13+BX12+BY11+BY10+BY9+BX8+BW7+BW6+BV5+BV4)*-0.132,17)</f>
        <v>16.74446153846154</v>
      </c>
      <c r="U431" s="117">
        <f>Lefty!T431</f>
        <v>17.783538461538463</v>
      </c>
    </row>
    <row r="432" spans="2:21">
      <c r="B432" s="114">
        <v>19</v>
      </c>
      <c r="C432" s="74">
        <f t="shared" si="240"/>
        <v>18.5</v>
      </c>
      <c r="D432" s="74">
        <f t="shared" si="241"/>
        <v>18</v>
      </c>
      <c r="E432" s="74">
        <f t="shared" si="242"/>
        <v>17.5</v>
      </c>
      <c r="F432" s="114">
        <v>17</v>
      </c>
      <c r="G432" s="74">
        <f t="shared" si="243"/>
        <v>16.5</v>
      </c>
      <c r="H432" s="74">
        <f t="shared" si="244"/>
        <v>16</v>
      </c>
      <c r="I432" s="74">
        <f t="shared" si="245"/>
        <v>15.5</v>
      </c>
      <c r="J432" s="114">
        <f t="shared" si="246"/>
        <v>15</v>
      </c>
      <c r="K432" s="74">
        <f t="shared" si="214"/>
        <v>14.6004</v>
      </c>
      <c r="L432" s="74">
        <f t="shared" si="208"/>
        <v>14.200800000000001</v>
      </c>
      <c r="M432" s="114">
        <f t="shared" si="251"/>
        <v>13.8</v>
      </c>
      <c r="N432" s="115">
        <f t="shared" si="247"/>
        <v>14.440000000000001</v>
      </c>
      <c r="O432" s="74">
        <f t="shared" si="248"/>
        <v>15.08</v>
      </c>
      <c r="P432" s="74">
        <f t="shared" si="249"/>
        <v>15.72</v>
      </c>
      <c r="Q432" s="74">
        <f t="shared" si="250"/>
        <v>16.36</v>
      </c>
      <c r="R432" s="114">
        <v>17</v>
      </c>
      <c r="S432" s="129"/>
      <c r="T432" s="117">
        <f>SUM((BR20+BS19+BT18+BU17+BV16+BW15+BX14+BY13+BZ12+CA11+CB10+CB9+BY7+BX6+BW5+BV4)*-0.132,(CA8+BZ8)*-0.132/2,17)</f>
        <v>16.480461538461537</v>
      </c>
      <c r="U432" s="117">
        <f>Lefty!T432</f>
        <v>18.311538461538461</v>
      </c>
    </row>
    <row r="433" spans="2:21">
      <c r="B433" s="114">
        <v>20</v>
      </c>
      <c r="C433" s="74">
        <f t="shared" si="240"/>
        <v>19.25</v>
      </c>
      <c r="D433" s="74">
        <f t="shared" si="241"/>
        <v>18.5</v>
      </c>
      <c r="E433" s="74">
        <f t="shared" si="242"/>
        <v>17.75</v>
      </c>
      <c r="F433" s="114">
        <v>17</v>
      </c>
      <c r="G433" s="74">
        <f t="shared" si="243"/>
        <v>16.25</v>
      </c>
      <c r="H433" s="74">
        <f t="shared" si="244"/>
        <v>15.5</v>
      </c>
      <c r="I433" s="74">
        <f t="shared" si="245"/>
        <v>14.75</v>
      </c>
      <c r="J433" s="114">
        <f t="shared" si="246"/>
        <v>14</v>
      </c>
      <c r="K433" s="74">
        <f t="shared" si="214"/>
        <v>13.400599999999999</v>
      </c>
      <c r="L433" s="74">
        <f t="shared" si="208"/>
        <v>12.8012</v>
      </c>
      <c r="M433" s="114">
        <f t="shared" si="251"/>
        <v>12.2</v>
      </c>
      <c r="N433" s="115">
        <f t="shared" si="247"/>
        <v>13.16</v>
      </c>
      <c r="O433" s="74">
        <f t="shared" si="248"/>
        <v>14.12</v>
      </c>
      <c r="P433" s="74">
        <f t="shared" si="249"/>
        <v>15.08</v>
      </c>
      <c r="Q433" s="74">
        <f t="shared" si="250"/>
        <v>16.04</v>
      </c>
      <c r="R433" s="114">
        <v>17</v>
      </c>
      <c r="S433" s="129"/>
      <c r="T433" s="117">
        <f>SUM((BP20+BS18+BV16+BY14+CB12+CE10+CF9)*-0.132,(BQ19+BR19+BT17+BU17+BW15+BX15+BZ13+CA13+CC11+CD11+CE8+CD8+CC7+CB7+CA6+BZ6+BY5+BX5+BW4+BV4)*-0.132/2,17)</f>
        <v>16.216461538461537</v>
      </c>
      <c r="U433" s="117">
        <f>Lefty!T433</f>
        <v>17.915538461538461</v>
      </c>
    </row>
    <row r="434" spans="2:21">
      <c r="B434" s="114">
        <v>21</v>
      </c>
      <c r="C434" s="74">
        <f t="shared" si="240"/>
        <v>20</v>
      </c>
      <c r="D434" s="74">
        <f t="shared" si="241"/>
        <v>19</v>
      </c>
      <c r="E434" s="74">
        <f t="shared" si="242"/>
        <v>18</v>
      </c>
      <c r="F434" s="114">
        <v>17</v>
      </c>
      <c r="G434" s="74">
        <f t="shared" si="243"/>
        <v>16</v>
      </c>
      <c r="H434" s="74">
        <f t="shared" si="244"/>
        <v>15</v>
      </c>
      <c r="I434" s="74">
        <f t="shared" si="245"/>
        <v>14</v>
      </c>
      <c r="J434" s="114">
        <f t="shared" si="246"/>
        <v>13</v>
      </c>
      <c r="K434" s="74">
        <f t="shared" si="214"/>
        <v>12.200799999999999</v>
      </c>
      <c r="L434" s="74">
        <f t="shared" si="208"/>
        <v>11.4016</v>
      </c>
      <c r="M434" s="114">
        <f t="shared" si="251"/>
        <v>10.6</v>
      </c>
      <c r="N434" s="115">
        <f t="shared" si="247"/>
        <v>11.879999999999999</v>
      </c>
      <c r="O434" s="74">
        <f t="shared" si="248"/>
        <v>13.16</v>
      </c>
      <c r="P434" s="74">
        <f t="shared" si="249"/>
        <v>14.44</v>
      </c>
      <c r="Q434" s="74">
        <f t="shared" si="250"/>
        <v>15.72</v>
      </c>
      <c r="R434" s="114">
        <v>17</v>
      </c>
      <c r="S434" s="129"/>
      <c r="T434" s="117">
        <f>SUM((BO19+BP19+BQ18+BR18+BS17+BT17+BU16+BV16+BW15+BX15+BY14+BZ14+CA13+CB13+CC12+CD12+CE11+CF11+CG10+CH10)*-0.132/2,(BN20+CI9)*-0.132,(CH8+CG8+CF8+CE7+CD7+CC7+CB6+CA6+BZ6)*-0.132/3,(BY5+BX5+BW4+BV4)*-0.132/2,17)</f>
        <v>16.656461538461539</v>
      </c>
      <c r="U434" s="117">
        <f>Lefty!T434</f>
        <v>17.959538461538461</v>
      </c>
    </row>
    <row r="435" spans="2:21">
      <c r="B435" s="114">
        <v>22</v>
      </c>
      <c r="C435" s="74">
        <f t="shared" si="240"/>
        <v>20.75</v>
      </c>
      <c r="D435" s="74">
        <f t="shared" si="241"/>
        <v>19.5</v>
      </c>
      <c r="E435" s="74">
        <f t="shared" si="242"/>
        <v>18.25</v>
      </c>
      <c r="F435" s="114">
        <v>17</v>
      </c>
      <c r="G435" s="74">
        <f t="shared" si="243"/>
        <v>15.75</v>
      </c>
      <c r="H435" s="74">
        <f t="shared" si="244"/>
        <v>14.5</v>
      </c>
      <c r="I435" s="74">
        <f t="shared" si="245"/>
        <v>13.25</v>
      </c>
      <c r="J435" s="114">
        <f t="shared" si="246"/>
        <v>12</v>
      </c>
      <c r="K435" s="74">
        <f t="shared" si="214"/>
        <v>11.000999999999999</v>
      </c>
      <c r="L435" s="74">
        <f t="shared" si="208"/>
        <v>10.001999999999999</v>
      </c>
      <c r="M435" s="114">
        <f t="shared" si="251"/>
        <v>9</v>
      </c>
      <c r="N435" s="115">
        <f t="shared" si="247"/>
        <v>10.6</v>
      </c>
      <c r="O435" s="74">
        <f t="shared" si="248"/>
        <v>12.2</v>
      </c>
      <c r="P435" s="74">
        <f t="shared" si="249"/>
        <v>13.8</v>
      </c>
      <c r="Q435" s="74">
        <f t="shared" si="250"/>
        <v>15.4</v>
      </c>
      <c r="R435" s="114">
        <v>17</v>
      </c>
      <c r="S435" s="129"/>
      <c r="T435" s="117">
        <f>SUM((BL20+BM20+BN19+BO19+BS17+BT17+BU16+BV16+BZ14+CA14+CE12+CF12+CG11+CH11+CI10+CJ10+CK9+CL9)*-0.132/2,(BP18+BQ18+BR18+BW15+BX15+BY15+CB13+CC13+CD13)*-0.132/3,(CK8+CJ8+CI8+CH8)*-0.132/4,(CG7+CF7+CE7+CD6+CC6+CB6+CA5+BZ5+BY5+BX4+BW4+BV4)*-0.132/3,17)</f>
        <v>16.359461538461538</v>
      </c>
      <c r="U435" s="117">
        <f>Lefty!T435</f>
        <v>18.256538461538462</v>
      </c>
    </row>
    <row r="436" spans="2:21">
      <c r="B436" s="114">
        <v>23</v>
      </c>
      <c r="C436" s="74">
        <f t="shared" si="240"/>
        <v>21.5</v>
      </c>
      <c r="D436" s="74">
        <f t="shared" si="241"/>
        <v>20</v>
      </c>
      <c r="E436" s="74">
        <f t="shared" si="242"/>
        <v>18.5</v>
      </c>
      <c r="F436" s="114">
        <v>17</v>
      </c>
      <c r="G436" s="74">
        <f t="shared" si="243"/>
        <v>15.5</v>
      </c>
      <c r="H436" s="74">
        <f t="shared" si="244"/>
        <v>14</v>
      </c>
      <c r="I436" s="74">
        <f t="shared" si="245"/>
        <v>12.5</v>
      </c>
      <c r="J436" s="114">
        <f t="shared" si="246"/>
        <v>11</v>
      </c>
      <c r="K436" s="74">
        <f t="shared" si="214"/>
        <v>9.8011999999999997</v>
      </c>
      <c r="L436" s="74">
        <f t="shared" ref="L436:L508" si="252">SUM(0.666*(M436-J436),J436)</f>
        <v>8.6023999999999994</v>
      </c>
      <c r="M436" s="114">
        <f t="shared" si="251"/>
        <v>7.4</v>
      </c>
      <c r="N436" s="115">
        <f t="shared" si="247"/>
        <v>9.32</v>
      </c>
      <c r="O436" s="74">
        <f t="shared" si="248"/>
        <v>11.24</v>
      </c>
      <c r="P436" s="74">
        <f t="shared" si="249"/>
        <v>13.16</v>
      </c>
      <c r="Q436" s="74">
        <f t="shared" si="250"/>
        <v>15.08</v>
      </c>
      <c r="R436" s="114">
        <v>17</v>
      </c>
      <c r="S436" s="129"/>
      <c r="T436" s="117">
        <f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16.271461538461537</v>
      </c>
      <c r="U436" s="117">
        <f>Lefty!T436</f>
        <v>17.618538461538463</v>
      </c>
    </row>
    <row r="437" spans="2:21">
      <c r="B437" s="114">
        <v>24</v>
      </c>
      <c r="C437" s="74">
        <f t="shared" si="240"/>
        <v>22.25</v>
      </c>
      <c r="D437" s="74">
        <f t="shared" si="241"/>
        <v>20.5</v>
      </c>
      <c r="E437" s="74">
        <f t="shared" si="242"/>
        <v>18.75</v>
      </c>
      <c r="F437" s="114">
        <v>17</v>
      </c>
      <c r="G437" s="74">
        <f t="shared" si="243"/>
        <v>15.25</v>
      </c>
      <c r="H437" s="74">
        <f t="shared" si="244"/>
        <v>13.5</v>
      </c>
      <c r="I437" s="74">
        <f t="shared" si="245"/>
        <v>11.75</v>
      </c>
      <c r="J437" s="114">
        <f t="shared" si="246"/>
        <v>10</v>
      </c>
      <c r="K437" s="74">
        <f t="shared" si="214"/>
        <v>8.6013999999999999</v>
      </c>
      <c r="L437" s="74">
        <f t="shared" si="252"/>
        <v>7.2027999999999999</v>
      </c>
      <c r="M437" s="114">
        <f t="shared" si="251"/>
        <v>5.8000000000000007</v>
      </c>
      <c r="N437" s="115">
        <f t="shared" si="247"/>
        <v>8.0400000000000009</v>
      </c>
      <c r="O437" s="74">
        <f t="shared" si="248"/>
        <v>10.280000000000001</v>
      </c>
      <c r="P437" s="74">
        <f t="shared" si="249"/>
        <v>12.52</v>
      </c>
      <c r="Q437" s="74">
        <f t="shared" si="250"/>
        <v>14.76</v>
      </c>
      <c r="R437" s="114">
        <v>17</v>
      </c>
      <c r="S437" s="129"/>
      <c r="T437" s="117">
        <f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16.097661538461537</v>
      </c>
      <c r="U437" s="117">
        <f>Lefty!T437</f>
        <v>17.554738461538463</v>
      </c>
    </row>
    <row r="438" spans="2:21">
      <c r="B438" s="114">
        <v>25</v>
      </c>
      <c r="C438" s="74">
        <f t="shared" si="240"/>
        <v>23</v>
      </c>
      <c r="D438" s="74">
        <f t="shared" si="241"/>
        <v>21</v>
      </c>
      <c r="E438" s="74">
        <f t="shared" si="242"/>
        <v>19</v>
      </c>
      <c r="F438" s="114">
        <v>17</v>
      </c>
      <c r="G438" s="74">
        <f t="shared" si="243"/>
        <v>15</v>
      </c>
      <c r="H438" s="74">
        <f t="shared" si="244"/>
        <v>13</v>
      </c>
      <c r="I438" s="74">
        <f t="shared" si="245"/>
        <v>11</v>
      </c>
      <c r="J438" s="114">
        <f t="shared" si="246"/>
        <v>9</v>
      </c>
      <c r="K438" s="74">
        <f t="shared" si="214"/>
        <v>7.4016000000000002</v>
      </c>
      <c r="L438" s="74">
        <f t="shared" si="252"/>
        <v>5.8032000000000004</v>
      </c>
      <c r="M438" s="114">
        <f t="shared" si="251"/>
        <v>4.2</v>
      </c>
      <c r="N438" s="115">
        <f t="shared" si="247"/>
        <v>6.7600000000000007</v>
      </c>
      <c r="O438" s="74">
        <f t="shared" si="248"/>
        <v>9.32</v>
      </c>
      <c r="P438" s="74">
        <f t="shared" si="249"/>
        <v>11.879999999999999</v>
      </c>
      <c r="Q438" s="74">
        <f t="shared" si="250"/>
        <v>14.440000000000001</v>
      </c>
      <c r="R438" s="114">
        <v>17</v>
      </c>
      <c r="S438" s="129"/>
      <c r="T438" s="117">
        <f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16.025061538461536</v>
      </c>
      <c r="U438" s="117">
        <f>Lefty!T438</f>
        <v>17.19613846153846</v>
      </c>
    </row>
    <row r="439" spans="2:21">
      <c r="B439" s="114">
        <v>26</v>
      </c>
      <c r="C439" s="74">
        <f t="shared" si="240"/>
        <v>23.75</v>
      </c>
      <c r="D439" s="74">
        <f t="shared" si="241"/>
        <v>21.5</v>
      </c>
      <c r="E439" s="74">
        <f t="shared" si="242"/>
        <v>19.25</v>
      </c>
      <c r="F439" s="114">
        <v>17</v>
      </c>
      <c r="G439" s="74">
        <f t="shared" si="243"/>
        <v>14.75</v>
      </c>
      <c r="H439" s="74">
        <f t="shared" si="244"/>
        <v>12.5</v>
      </c>
      <c r="I439" s="74">
        <f t="shared" si="245"/>
        <v>10.25</v>
      </c>
      <c r="J439" s="114">
        <f t="shared" si="246"/>
        <v>8</v>
      </c>
      <c r="K439" s="74">
        <f t="shared" si="214"/>
        <v>6.2017999999999995</v>
      </c>
      <c r="L439" s="74">
        <f t="shared" si="252"/>
        <v>4.4035999999999991</v>
      </c>
      <c r="M439" s="114">
        <f t="shared" si="251"/>
        <v>2.6</v>
      </c>
      <c r="N439" s="115">
        <f t="shared" si="247"/>
        <v>5.48</v>
      </c>
      <c r="O439" s="74">
        <f t="shared" si="248"/>
        <v>8.3600000000000012</v>
      </c>
      <c r="P439" s="74">
        <f t="shared" si="249"/>
        <v>11.24</v>
      </c>
      <c r="Q439" s="74">
        <f t="shared" si="250"/>
        <v>14.120000000000001</v>
      </c>
      <c r="R439" s="114">
        <v>17</v>
      </c>
      <c r="S439" s="129"/>
      <c r="T439" s="131">
        <f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16.071261538461538</v>
      </c>
      <c r="U439" s="131">
        <f>Lefty!T439</f>
        <v>17.266538461538463</v>
      </c>
    </row>
    <row r="440" spans="2:21">
      <c r="B440" s="114"/>
      <c r="C440" s="74"/>
      <c r="D440" s="74"/>
      <c r="E440" s="74"/>
      <c r="F440" s="114"/>
      <c r="G440" s="74"/>
      <c r="H440" s="74"/>
      <c r="I440" s="74"/>
      <c r="J440" s="114"/>
      <c r="K440" s="74"/>
      <c r="L440" s="74"/>
      <c r="M440" s="114"/>
      <c r="N440" s="115"/>
      <c r="O440" s="74"/>
      <c r="P440" s="74"/>
      <c r="Q440" s="74"/>
      <c r="R440" s="114"/>
      <c r="S440" s="129"/>
    </row>
    <row r="441" spans="2:21">
      <c r="B441" s="114">
        <v>19</v>
      </c>
      <c r="C441" s="74">
        <f t="shared" si="240"/>
        <v>18.75</v>
      </c>
      <c r="D441" s="74">
        <f t="shared" si="241"/>
        <v>18.5</v>
      </c>
      <c r="E441" s="74">
        <f t="shared" si="242"/>
        <v>18.25</v>
      </c>
      <c r="F441" s="114">
        <v>18</v>
      </c>
      <c r="G441" s="74">
        <f t="shared" si="243"/>
        <v>17.75</v>
      </c>
      <c r="H441" s="74">
        <f t="shared" si="244"/>
        <v>17.5</v>
      </c>
      <c r="I441" s="74">
        <f t="shared" si="245"/>
        <v>17.25</v>
      </c>
      <c r="J441" s="114">
        <f t="shared" si="246"/>
        <v>17</v>
      </c>
      <c r="K441" s="74">
        <f t="shared" si="214"/>
        <v>16.8002</v>
      </c>
      <c r="L441" s="74">
        <f t="shared" si="252"/>
        <v>16.6004</v>
      </c>
      <c r="M441" s="114">
        <f t="shared" si="251"/>
        <v>16.399999999999999</v>
      </c>
      <c r="N441" s="115">
        <f t="shared" ref="N441:N450" si="253">SUM(0.2*(R441-M441),M441)</f>
        <v>16.52</v>
      </c>
      <c r="O441" s="74">
        <f t="shared" ref="O441:O450" si="254">SUM(0.4*(R441-M441),M441)</f>
        <v>16.64</v>
      </c>
      <c r="P441" s="74">
        <f t="shared" ref="P441:P450" si="255">SUM(0.6*(R441-M441),M441)</f>
        <v>16.759999999999998</v>
      </c>
      <c r="Q441" s="74">
        <f t="shared" ref="Q441:Q450" si="256">SUM(0.8*(R441-M441),M441)</f>
        <v>16.88</v>
      </c>
      <c r="R441" s="114">
        <v>17</v>
      </c>
      <c r="S441" s="129"/>
      <c r="T441" s="117">
        <f>SUM((BR20+BS19+BS18+BT17+BT16+BU15+BU14+BV13+BV12+BW11+BW10+BW9+BW8+BW7+BV6+BV5+BV4)*-0.132,17)</f>
        <v>16.348461538461539</v>
      </c>
      <c r="U441" s="117">
        <f>Lefty!T441</f>
        <v>17.651538461538461</v>
      </c>
    </row>
    <row r="442" spans="2:21">
      <c r="B442" s="114">
        <v>20</v>
      </c>
      <c r="C442" s="74">
        <f t="shared" si="240"/>
        <v>19.5</v>
      </c>
      <c r="D442" s="74">
        <f t="shared" si="241"/>
        <v>19</v>
      </c>
      <c r="E442" s="74">
        <f t="shared" si="242"/>
        <v>18.5</v>
      </c>
      <c r="F442" s="114">
        <v>18</v>
      </c>
      <c r="G442" s="74">
        <f t="shared" si="243"/>
        <v>17.5</v>
      </c>
      <c r="H442" s="74">
        <f t="shared" si="244"/>
        <v>17</v>
      </c>
      <c r="I442" s="74">
        <f t="shared" si="245"/>
        <v>16.5</v>
      </c>
      <c r="J442" s="114">
        <f t="shared" si="246"/>
        <v>16</v>
      </c>
      <c r="K442" s="74">
        <f t="shared" si="214"/>
        <v>15.6004</v>
      </c>
      <c r="L442" s="74">
        <f t="shared" si="252"/>
        <v>15.200800000000001</v>
      </c>
      <c r="M442" s="114">
        <f t="shared" si="251"/>
        <v>14.8</v>
      </c>
      <c r="N442" s="115">
        <f t="shared" si="253"/>
        <v>15.24</v>
      </c>
      <c r="O442" s="74">
        <f t="shared" si="254"/>
        <v>15.68</v>
      </c>
      <c r="P442" s="74">
        <f t="shared" si="255"/>
        <v>16.12</v>
      </c>
      <c r="Q442" s="74">
        <f t="shared" si="256"/>
        <v>16.559999999999999</v>
      </c>
      <c r="R442" s="114">
        <v>17</v>
      </c>
      <c r="S442" s="129"/>
      <c r="T442" s="117">
        <f>SUM((BP20+BQ19+BR18+BS17+BT16+BU15+BV14+BW13+BX12+BY11+BZ10+BZ9+BY8+BX7+BW6+BV5+BV4)*-0.132,17)</f>
        <v>16.480461538461537</v>
      </c>
      <c r="U442" s="117">
        <f>Lefty!T442</f>
        <v>18.047538461538462</v>
      </c>
    </row>
    <row r="443" spans="2:21">
      <c r="B443" s="114">
        <v>21</v>
      </c>
      <c r="C443" s="74">
        <f t="shared" si="240"/>
        <v>20.25</v>
      </c>
      <c r="D443" s="74">
        <f t="shared" si="241"/>
        <v>19.5</v>
      </c>
      <c r="E443" s="74">
        <f t="shared" si="242"/>
        <v>18.75</v>
      </c>
      <c r="F443" s="114">
        <v>18</v>
      </c>
      <c r="G443" s="74">
        <f t="shared" si="243"/>
        <v>17.25</v>
      </c>
      <c r="H443" s="74">
        <f t="shared" si="244"/>
        <v>16.5</v>
      </c>
      <c r="I443" s="74">
        <f t="shared" si="245"/>
        <v>15.75</v>
      </c>
      <c r="J443" s="114">
        <f t="shared" si="246"/>
        <v>15</v>
      </c>
      <c r="K443" s="74">
        <f t="shared" si="214"/>
        <v>14.400599999999999</v>
      </c>
      <c r="L443" s="74">
        <f t="shared" si="252"/>
        <v>13.8012</v>
      </c>
      <c r="M443" s="114">
        <f t="shared" si="251"/>
        <v>13.2</v>
      </c>
      <c r="N443" s="115">
        <f t="shared" si="253"/>
        <v>13.959999999999999</v>
      </c>
      <c r="O443" s="74">
        <f t="shared" si="254"/>
        <v>14.719999999999999</v>
      </c>
      <c r="P443" s="74">
        <f t="shared" si="255"/>
        <v>15.48</v>
      </c>
      <c r="Q443" s="74">
        <f t="shared" si="256"/>
        <v>16.240000000000002</v>
      </c>
      <c r="R443" s="114">
        <v>17</v>
      </c>
      <c r="S443" s="129"/>
      <c r="T443" s="117">
        <f>SUM((BN20+BQ18+BT16+BW14+BZ12+CC10+CD9)*-0.132,(BO19+BP19+BR17+BS17+BU15+BV15+BX13+BY13+CA11+CB11+CC8+CB8+CA7+BZ7+BY6+BX6)*-0.132/2,(BW5+BV4)*-0.132,17)</f>
        <v>16.678461538461537</v>
      </c>
      <c r="U443" s="117">
        <f>Lefty!T443</f>
        <v>17.849538461538462</v>
      </c>
    </row>
    <row r="444" spans="2:21">
      <c r="B444" s="114">
        <v>22</v>
      </c>
      <c r="C444" s="74">
        <f t="shared" si="240"/>
        <v>21</v>
      </c>
      <c r="D444" s="74">
        <f t="shared" si="241"/>
        <v>20</v>
      </c>
      <c r="E444" s="74">
        <f t="shared" si="242"/>
        <v>19</v>
      </c>
      <c r="F444" s="114">
        <v>18</v>
      </c>
      <c r="G444" s="74">
        <f t="shared" si="243"/>
        <v>17</v>
      </c>
      <c r="H444" s="74">
        <f t="shared" si="244"/>
        <v>16</v>
      </c>
      <c r="I444" s="74">
        <f t="shared" si="245"/>
        <v>15</v>
      </c>
      <c r="J444" s="114">
        <f t="shared" si="246"/>
        <v>14</v>
      </c>
      <c r="K444" s="74">
        <f t="shared" ref="K444:K517" si="257">SUM(0.333*(M444-J444),J444)</f>
        <v>13.200799999999999</v>
      </c>
      <c r="L444" s="74">
        <f t="shared" si="252"/>
        <v>12.4016</v>
      </c>
      <c r="M444" s="114">
        <f t="shared" si="251"/>
        <v>11.6</v>
      </c>
      <c r="N444" s="115">
        <f t="shared" si="253"/>
        <v>12.68</v>
      </c>
      <c r="O444" s="74">
        <f t="shared" si="254"/>
        <v>13.76</v>
      </c>
      <c r="P444" s="74">
        <f t="shared" si="255"/>
        <v>14.84</v>
      </c>
      <c r="Q444" s="74">
        <f t="shared" si="256"/>
        <v>15.92</v>
      </c>
      <c r="R444" s="114">
        <v>17</v>
      </c>
      <c r="S444" s="129"/>
      <c r="T444" s="117">
        <f>SUM((BM19+BN19+BO18+BP18+BQ17+BR17+BS16+BT16+BU15+BV15+BW14+BX14+BY13+BZ13+CA12+CB12+CC11+CD11+CE10+CF10)*-0.132/2,(BL20+CG9)*-0.132,(CF8+CE8+CD8)*-0.132/3,(CC7+CB7+CA6+BZ6+BY5+BX5+BW4+BV4)*-0.132/2,17)</f>
        <v>16.084461538461539</v>
      </c>
      <c r="U444" s="117">
        <f>Lefty!T444</f>
        <v>17.695538461538462</v>
      </c>
    </row>
    <row r="445" spans="2:21">
      <c r="B445" s="114">
        <v>23</v>
      </c>
      <c r="C445" s="74">
        <f t="shared" si="240"/>
        <v>21.75</v>
      </c>
      <c r="D445" s="74">
        <f t="shared" si="241"/>
        <v>20.5</v>
      </c>
      <c r="E445" s="74">
        <f t="shared" si="242"/>
        <v>19.25</v>
      </c>
      <c r="F445" s="114">
        <v>18</v>
      </c>
      <c r="G445" s="74">
        <f t="shared" si="243"/>
        <v>16.75</v>
      </c>
      <c r="H445" s="74">
        <f t="shared" si="244"/>
        <v>15.5</v>
      </c>
      <c r="I445" s="74">
        <f t="shared" si="245"/>
        <v>14.25</v>
      </c>
      <c r="J445" s="114">
        <f t="shared" si="246"/>
        <v>13</v>
      </c>
      <c r="K445" s="74">
        <f t="shared" si="257"/>
        <v>12.000999999999999</v>
      </c>
      <c r="L445" s="74">
        <f t="shared" si="252"/>
        <v>11.001999999999999</v>
      </c>
      <c r="M445" s="114">
        <f t="shared" si="251"/>
        <v>10</v>
      </c>
      <c r="N445" s="115">
        <f t="shared" si="253"/>
        <v>11.4</v>
      </c>
      <c r="O445" s="74">
        <f t="shared" si="254"/>
        <v>12.8</v>
      </c>
      <c r="P445" s="74">
        <f t="shared" si="255"/>
        <v>14.2</v>
      </c>
      <c r="Q445" s="74">
        <f t="shared" si="256"/>
        <v>15.600000000000001</v>
      </c>
      <c r="R445" s="114">
        <v>17</v>
      </c>
      <c r="S445" s="129"/>
      <c r="T445" s="117">
        <f>SUM((BJ20+BK20+BL19+BM19+BQ17+BR17+BS16+BT16+BX14+BY14+CC12+CD12+CE11+CF11+CG10+CH10+CI9+CJ9)*-0.132/2,(BN18+BO18+BP18+BU15+BV15+BW15+BZ13+CA13+CB13)*-0.132/3,(CI8+CH8+CG8+CF7+CE7+CD7+CC6+CB6+CA6+BZ5+BY5+BX5)*-0.132/3,(BW4+BV4)*-0.132/2,17)</f>
        <v>16.106461538461538</v>
      </c>
      <c r="U445" s="117">
        <f>Lefty!T445</f>
        <v>17.761538461538461</v>
      </c>
    </row>
    <row r="446" spans="2:21">
      <c r="B446" s="114">
        <v>24</v>
      </c>
      <c r="C446" s="74">
        <f t="shared" si="240"/>
        <v>22.5</v>
      </c>
      <c r="D446" s="74">
        <f t="shared" si="241"/>
        <v>21</v>
      </c>
      <c r="E446" s="74">
        <f t="shared" si="242"/>
        <v>19.5</v>
      </c>
      <c r="F446" s="114">
        <v>18</v>
      </c>
      <c r="G446" s="74">
        <f t="shared" si="243"/>
        <v>16.5</v>
      </c>
      <c r="H446" s="74">
        <f t="shared" si="244"/>
        <v>15</v>
      </c>
      <c r="I446" s="74">
        <f t="shared" si="245"/>
        <v>13.5</v>
      </c>
      <c r="J446" s="114">
        <f t="shared" si="246"/>
        <v>12</v>
      </c>
      <c r="K446" s="74">
        <f t="shared" si="257"/>
        <v>10.8012</v>
      </c>
      <c r="L446" s="74">
        <f t="shared" si="252"/>
        <v>9.6023999999999994</v>
      </c>
      <c r="M446" s="114">
        <f t="shared" si="251"/>
        <v>8.4</v>
      </c>
      <c r="N446" s="115">
        <f t="shared" si="253"/>
        <v>10.120000000000001</v>
      </c>
      <c r="O446" s="74">
        <f t="shared" si="254"/>
        <v>11.84</v>
      </c>
      <c r="P446" s="74">
        <f t="shared" si="255"/>
        <v>13.559999999999999</v>
      </c>
      <c r="Q446" s="74">
        <f t="shared" si="256"/>
        <v>15.280000000000001</v>
      </c>
      <c r="R446" s="114">
        <v>17</v>
      </c>
      <c r="S446" s="129"/>
      <c r="T446" s="117">
        <f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15.985461538461538</v>
      </c>
      <c r="U446" s="117">
        <f>Lefty!T446</f>
        <v>17.607538461538461</v>
      </c>
    </row>
    <row r="447" spans="2:21">
      <c r="B447" s="114">
        <v>25</v>
      </c>
      <c r="C447" s="74">
        <f t="shared" si="240"/>
        <v>23.25</v>
      </c>
      <c r="D447" s="74">
        <f t="shared" si="241"/>
        <v>21.5</v>
      </c>
      <c r="E447" s="74">
        <f t="shared" si="242"/>
        <v>19.75</v>
      </c>
      <c r="F447" s="114">
        <v>18</v>
      </c>
      <c r="G447" s="74">
        <f t="shared" si="243"/>
        <v>16.25</v>
      </c>
      <c r="H447" s="74">
        <f t="shared" si="244"/>
        <v>14.5</v>
      </c>
      <c r="I447" s="74">
        <f t="shared" si="245"/>
        <v>12.75</v>
      </c>
      <c r="J447" s="114">
        <f t="shared" si="246"/>
        <v>11</v>
      </c>
      <c r="K447" s="74">
        <f t="shared" si="257"/>
        <v>9.6013999999999999</v>
      </c>
      <c r="L447" s="74">
        <f t="shared" si="252"/>
        <v>8.2027999999999999</v>
      </c>
      <c r="M447" s="114">
        <f t="shared" si="251"/>
        <v>6.8000000000000007</v>
      </c>
      <c r="N447" s="115">
        <f t="shared" si="253"/>
        <v>8.84</v>
      </c>
      <c r="O447" s="74">
        <f t="shared" si="254"/>
        <v>10.88</v>
      </c>
      <c r="P447" s="74">
        <f t="shared" si="255"/>
        <v>12.92</v>
      </c>
      <c r="Q447" s="74">
        <f t="shared" si="256"/>
        <v>14.96</v>
      </c>
      <c r="R447" s="114">
        <v>17</v>
      </c>
      <c r="S447" s="129"/>
      <c r="T447" s="117">
        <f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16.073461538461537</v>
      </c>
      <c r="U447" s="117">
        <f>Lefty!T447</f>
        <v>17.288538461538462</v>
      </c>
    </row>
    <row r="448" spans="2:21">
      <c r="B448" s="114">
        <v>26</v>
      </c>
      <c r="C448" s="74">
        <f t="shared" si="240"/>
        <v>24</v>
      </c>
      <c r="D448" s="74">
        <f t="shared" si="241"/>
        <v>22</v>
      </c>
      <c r="E448" s="74">
        <f t="shared" si="242"/>
        <v>20</v>
      </c>
      <c r="F448" s="114">
        <v>18</v>
      </c>
      <c r="G448" s="74">
        <f t="shared" si="243"/>
        <v>16</v>
      </c>
      <c r="H448" s="74">
        <f t="shared" si="244"/>
        <v>14</v>
      </c>
      <c r="I448" s="74">
        <f t="shared" si="245"/>
        <v>12</v>
      </c>
      <c r="J448" s="114">
        <f t="shared" si="246"/>
        <v>10</v>
      </c>
      <c r="K448" s="74">
        <f t="shared" si="257"/>
        <v>8.4016000000000002</v>
      </c>
      <c r="L448" s="74">
        <f t="shared" si="252"/>
        <v>6.8032000000000004</v>
      </c>
      <c r="M448" s="114">
        <f t="shared" si="251"/>
        <v>5.2</v>
      </c>
      <c r="N448" s="115">
        <f t="shared" si="253"/>
        <v>7.5600000000000005</v>
      </c>
      <c r="O448" s="74">
        <f t="shared" si="254"/>
        <v>9.9200000000000017</v>
      </c>
      <c r="P448" s="74">
        <f t="shared" si="255"/>
        <v>12.280000000000001</v>
      </c>
      <c r="Q448" s="74">
        <f t="shared" si="256"/>
        <v>14.64</v>
      </c>
      <c r="R448" s="114">
        <v>17</v>
      </c>
      <c r="S448" s="129"/>
      <c r="T448" s="117">
        <f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15.767661538461537</v>
      </c>
      <c r="U448" s="117">
        <f>Lefty!T448</f>
        <v>17.068538461538463</v>
      </c>
    </row>
    <row r="449" spans="2:21">
      <c r="B449" s="114">
        <v>27</v>
      </c>
      <c r="C449" s="74">
        <f t="shared" si="240"/>
        <v>24.75</v>
      </c>
      <c r="D449" s="74">
        <f t="shared" si="241"/>
        <v>22.5</v>
      </c>
      <c r="E449" s="74">
        <f t="shared" si="242"/>
        <v>20.25</v>
      </c>
      <c r="F449" s="114">
        <v>18</v>
      </c>
      <c r="G449" s="74">
        <f t="shared" si="243"/>
        <v>15.75</v>
      </c>
      <c r="H449" s="74">
        <f t="shared" si="244"/>
        <v>13.5</v>
      </c>
      <c r="I449" s="74">
        <f t="shared" si="245"/>
        <v>11.25</v>
      </c>
      <c r="J449" s="114">
        <f t="shared" si="246"/>
        <v>9</v>
      </c>
      <c r="K449" s="74">
        <f t="shared" si="257"/>
        <v>7.2017999999999995</v>
      </c>
      <c r="L449" s="74">
        <f t="shared" si="252"/>
        <v>5.4035999999999991</v>
      </c>
      <c r="M449" s="114">
        <f t="shared" si="251"/>
        <v>3.6</v>
      </c>
      <c r="N449" s="115">
        <f t="shared" si="253"/>
        <v>6.28</v>
      </c>
      <c r="O449" s="74">
        <f t="shared" si="254"/>
        <v>8.9600000000000009</v>
      </c>
      <c r="P449" s="74">
        <f t="shared" si="255"/>
        <v>11.639999999999999</v>
      </c>
      <c r="Q449" s="74">
        <f t="shared" si="256"/>
        <v>14.32</v>
      </c>
      <c r="R449" s="114">
        <v>17</v>
      </c>
      <c r="S449" s="129"/>
      <c r="T449" s="117">
        <f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15.644461538461536</v>
      </c>
      <c r="U449" s="117">
        <f>Lefty!T449</f>
        <v>16.877138461538461</v>
      </c>
    </row>
    <row r="450" spans="2:21">
      <c r="B450" s="114">
        <v>28</v>
      </c>
      <c r="C450" s="74">
        <f t="shared" si="240"/>
        <v>25.5</v>
      </c>
      <c r="D450" s="74">
        <f t="shared" si="241"/>
        <v>23</v>
      </c>
      <c r="E450" s="74">
        <f t="shared" si="242"/>
        <v>20.5</v>
      </c>
      <c r="F450" s="114">
        <v>18</v>
      </c>
      <c r="G450" s="74">
        <f t="shared" si="243"/>
        <v>15.5</v>
      </c>
      <c r="H450" s="74">
        <f t="shared" si="244"/>
        <v>13</v>
      </c>
      <c r="I450" s="74">
        <f t="shared" si="245"/>
        <v>10.5</v>
      </c>
      <c r="J450" s="114">
        <f t="shared" si="246"/>
        <v>8</v>
      </c>
      <c r="K450" s="74">
        <f t="shared" si="257"/>
        <v>6.0019999999999998</v>
      </c>
      <c r="L450" s="74">
        <f t="shared" si="252"/>
        <v>4.0039999999999996</v>
      </c>
      <c r="M450" s="114">
        <f t="shared" si="251"/>
        <v>2</v>
      </c>
      <c r="N450" s="115">
        <f t="shared" si="253"/>
        <v>5</v>
      </c>
      <c r="O450" s="74">
        <f t="shared" si="254"/>
        <v>8</v>
      </c>
      <c r="P450" s="74">
        <f t="shared" si="255"/>
        <v>11</v>
      </c>
      <c r="Q450" s="74">
        <f t="shared" si="256"/>
        <v>14</v>
      </c>
      <c r="R450" s="114">
        <v>17</v>
      </c>
      <c r="S450" s="129"/>
      <c r="T450" s="131">
        <f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15.701661538461538</v>
      </c>
      <c r="U450" s="131">
        <f>Lefty!T450</f>
        <v>16.978338461538463</v>
      </c>
    </row>
    <row r="451" spans="2:21">
      <c r="B451" s="114"/>
      <c r="C451" s="74"/>
      <c r="D451" s="74"/>
      <c r="E451" s="74"/>
      <c r="F451" s="114"/>
      <c r="G451" s="74"/>
      <c r="H451" s="74"/>
      <c r="I451" s="74"/>
      <c r="J451" s="114"/>
      <c r="K451" s="74"/>
      <c r="L451" s="74"/>
      <c r="M451" s="114"/>
      <c r="N451" s="115"/>
      <c r="O451" s="74"/>
      <c r="P451" s="74"/>
      <c r="Q451" s="74"/>
      <c r="R451" s="114"/>
      <c r="S451" s="129"/>
    </row>
    <row r="452" spans="2:21">
      <c r="B452" s="114">
        <v>20</v>
      </c>
      <c r="C452" s="74">
        <f t="shared" si="240"/>
        <v>19.75</v>
      </c>
      <c r="D452" s="74">
        <f t="shared" si="241"/>
        <v>19.5</v>
      </c>
      <c r="E452" s="74">
        <f t="shared" si="242"/>
        <v>19.25</v>
      </c>
      <c r="F452" s="114">
        <v>19</v>
      </c>
      <c r="G452" s="74">
        <f t="shared" si="243"/>
        <v>18.75</v>
      </c>
      <c r="H452" s="74">
        <f t="shared" si="244"/>
        <v>18.5</v>
      </c>
      <c r="I452" s="74">
        <f t="shared" si="245"/>
        <v>18.25</v>
      </c>
      <c r="J452" s="114">
        <f t="shared" si="246"/>
        <v>18</v>
      </c>
      <c r="K452" s="74">
        <f t="shared" si="257"/>
        <v>17.8002</v>
      </c>
      <c r="L452" s="74">
        <f t="shared" si="252"/>
        <v>17.6004</v>
      </c>
      <c r="M452" s="114">
        <f t="shared" si="251"/>
        <v>17.399999999999999</v>
      </c>
      <c r="N452" s="115">
        <f t="shared" ref="N452:N462" si="258">SUM(0.2*(R452-M452),M452)</f>
        <v>17.32</v>
      </c>
      <c r="O452" s="74">
        <f t="shared" ref="O452:O462" si="259">SUM(0.4*(R452-M452),M452)</f>
        <v>17.239999999999998</v>
      </c>
      <c r="P452" s="74">
        <f t="shared" ref="P452:P462" si="260">SUM(0.6*(R452-M452),M452)</f>
        <v>17.16</v>
      </c>
      <c r="Q452" s="74">
        <f t="shared" ref="Q452:Q462" si="261">SUM(0.8*(R452-M452),M452)</f>
        <v>17.079999999999998</v>
      </c>
      <c r="R452" s="114">
        <v>17</v>
      </c>
      <c r="S452" s="129"/>
      <c r="T452" s="117">
        <f>SUM((BP20+BQ19+BQ18+BR17+BR16+BS15+BS14+BT13+BT12+BU11+BU10+BU9+BV8+BV7+BV6+BV5+BV4)*-0.132,17)</f>
        <v>16.480461538461537</v>
      </c>
      <c r="U452" s="117">
        <f>Lefty!T452</f>
        <v>17.25553846153846</v>
      </c>
    </row>
    <row r="453" spans="2:21">
      <c r="B453" s="114">
        <v>21</v>
      </c>
      <c r="C453" s="74">
        <f t="shared" si="240"/>
        <v>20.5</v>
      </c>
      <c r="D453" s="74">
        <f t="shared" si="241"/>
        <v>20</v>
      </c>
      <c r="E453" s="74">
        <f t="shared" si="242"/>
        <v>19.5</v>
      </c>
      <c r="F453" s="114">
        <v>19</v>
      </c>
      <c r="G453" s="74">
        <f t="shared" si="243"/>
        <v>18.5</v>
      </c>
      <c r="H453" s="74">
        <f t="shared" si="244"/>
        <v>18</v>
      </c>
      <c r="I453" s="74">
        <f t="shared" si="245"/>
        <v>17.5</v>
      </c>
      <c r="J453" s="114">
        <f t="shared" si="246"/>
        <v>17</v>
      </c>
      <c r="K453" s="74">
        <f t="shared" si="257"/>
        <v>16.6004</v>
      </c>
      <c r="L453" s="74">
        <f t="shared" si="252"/>
        <v>16.200800000000001</v>
      </c>
      <c r="M453" s="114">
        <f t="shared" si="251"/>
        <v>15.8</v>
      </c>
      <c r="N453" s="115">
        <f t="shared" si="258"/>
        <v>16.04</v>
      </c>
      <c r="O453" s="74">
        <f t="shared" si="259"/>
        <v>16.28</v>
      </c>
      <c r="P453" s="74">
        <f t="shared" si="260"/>
        <v>16.52</v>
      </c>
      <c r="Q453" s="74">
        <f t="shared" si="261"/>
        <v>16.760000000000002</v>
      </c>
      <c r="R453" s="114">
        <v>17</v>
      </c>
      <c r="S453" s="129"/>
      <c r="T453" s="117">
        <f>SUM((BN20+BO19+BP18+BQ17+BR16+BS15+BT14+BU13+BV12+BW11+BX10+BX9+BW8+BW7+BV6+BV5+BV4)*-0.132,17)</f>
        <v>16.480461538461537</v>
      </c>
      <c r="U453" s="117">
        <f>Lefty!T453</f>
        <v>16.991538461538461</v>
      </c>
    </row>
    <row r="454" spans="2:21">
      <c r="B454" s="114">
        <v>22</v>
      </c>
      <c r="C454" s="74">
        <f t="shared" si="240"/>
        <v>21.25</v>
      </c>
      <c r="D454" s="74">
        <f t="shared" si="241"/>
        <v>20.5</v>
      </c>
      <c r="E454" s="74">
        <f t="shared" si="242"/>
        <v>19.75</v>
      </c>
      <c r="F454" s="114">
        <v>19</v>
      </c>
      <c r="G454" s="74">
        <f t="shared" si="243"/>
        <v>18.25</v>
      </c>
      <c r="H454" s="74">
        <f t="shared" si="244"/>
        <v>17.5</v>
      </c>
      <c r="I454" s="74">
        <f t="shared" si="245"/>
        <v>16.75</v>
      </c>
      <c r="J454" s="114">
        <f t="shared" si="246"/>
        <v>16</v>
      </c>
      <c r="K454" s="74">
        <f t="shared" si="257"/>
        <v>15.400599999999999</v>
      </c>
      <c r="L454" s="74">
        <f t="shared" si="252"/>
        <v>14.8012</v>
      </c>
      <c r="M454" s="114">
        <f t="shared" si="251"/>
        <v>14.2</v>
      </c>
      <c r="N454" s="115">
        <f t="shared" si="258"/>
        <v>14.76</v>
      </c>
      <c r="O454" s="74">
        <f t="shared" si="259"/>
        <v>15.32</v>
      </c>
      <c r="P454" s="74">
        <f t="shared" si="260"/>
        <v>15.879999999999999</v>
      </c>
      <c r="Q454" s="74">
        <f t="shared" si="261"/>
        <v>16.440000000000001</v>
      </c>
      <c r="R454" s="114">
        <v>17</v>
      </c>
      <c r="S454" s="129"/>
      <c r="T454" s="117">
        <f>SUM((BL20+BO18+BR16+BU14+BX12+CA10+CB9+BY7+BX6+BW5+BV4)*-0.132,(BM19+BN19+BP17+BQ17+BS15+BT15+BV13+BW13+BY11+BZ11+CA8+BZ8)*-0.132/2,17)</f>
        <v>16.28246153846154</v>
      </c>
      <c r="U454" s="117">
        <f>Lefty!T454</f>
        <v>17.519538461538463</v>
      </c>
    </row>
    <row r="455" spans="2:21">
      <c r="B455" s="114">
        <v>23</v>
      </c>
      <c r="C455" s="74">
        <f t="shared" si="240"/>
        <v>22</v>
      </c>
      <c r="D455" s="74">
        <f t="shared" si="241"/>
        <v>21</v>
      </c>
      <c r="E455" s="74">
        <f t="shared" si="242"/>
        <v>20</v>
      </c>
      <c r="F455" s="114">
        <v>19</v>
      </c>
      <c r="G455" s="74">
        <f t="shared" si="243"/>
        <v>18</v>
      </c>
      <c r="H455" s="74">
        <f t="shared" si="244"/>
        <v>17</v>
      </c>
      <c r="I455" s="74">
        <f t="shared" si="245"/>
        <v>16</v>
      </c>
      <c r="J455" s="114">
        <f t="shared" si="246"/>
        <v>15</v>
      </c>
      <c r="K455" s="74">
        <f t="shared" si="257"/>
        <v>14.200799999999999</v>
      </c>
      <c r="L455" s="74">
        <f t="shared" si="252"/>
        <v>13.4016</v>
      </c>
      <c r="M455" s="114">
        <f t="shared" si="251"/>
        <v>12.6</v>
      </c>
      <c r="N455" s="115">
        <f t="shared" si="258"/>
        <v>13.48</v>
      </c>
      <c r="O455" s="74">
        <f t="shared" si="259"/>
        <v>14.36</v>
      </c>
      <c r="P455" s="74">
        <f t="shared" si="260"/>
        <v>15.24</v>
      </c>
      <c r="Q455" s="74">
        <f t="shared" si="261"/>
        <v>16.12</v>
      </c>
      <c r="R455" s="114">
        <v>17</v>
      </c>
      <c r="S455" s="129"/>
      <c r="T455" s="117">
        <f>SUM((BK19+BL19+BM18+BN18+BO17+BP17+BQ16+BR16+BS15+BT15+BU14+BV14+BW13+BX13+BY12+BZ12+CA11+CB11+CC10+CD10)*-0.132/2,(BJ20+CE9)*-0.132,(CD8+CC8+CB7+CA7+BZ6+BY6+BX5+BW5)*-0.132/2,BV4*-0.132,17)</f>
        <v>16.282461538461536</v>
      </c>
      <c r="U455" s="117">
        <f>Lefty!T455</f>
        <v>17.189538461538461</v>
      </c>
    </row>
    <row r="456" spans="2:21">
      <c r="B456" s="114">
        <v>24</v>
      </c>
      <c r="C456" s="74">
        <f t="shared" si="240"/>
        <v>22.75</v>
      </c>
      <c r="D456" s="74">
        <f t="shared" si="241"/>
        <v>21.5</v>
      </c>
      <c r="E456" s="74">
        <f t="shared" si="242"/>
        <v>20.25</v>
      </c>
      <c r="F456" s="114">
        <v>19</v>
      </c>
      <c r="G456" s="74">
        <f t="shared" si="243"/>
        <v>17.75</v>
      </c>
      <c r="H456" s="74">
        <f t="shared" si="244"/>
        <v>16.5</v>
      </c>
      <c r="I456" s="74">
        <f t="shared" si="245"/>
        <v>15.25</v>
      </c>
      <c r="J456" s="114">
        <f t="shared" si="246"/>
        <v>14</v>
      </c>
      <c r="K456" s="74">
        <f t="shared" si="257"/>
        <v>13.000999999999999</v>
      </c>
      <c r="L456" s="74">
        <f t="shared" si="252"/>
        <v>12.001999999999999</v>
      </c>
      <c r="M456" s="114">
        <f t="shared" si="251"/>
        <v>11</v>
      </c>
      <c r="N456" s="115">
        <f t="shared" si="258"/>
        <v>12.2</v>
      </c>
      <c r="O456" s="74">
        <f t="shared" si="259"/>
        <v>13.4</v>
      </c>
      <c r="P456" s="74">
        <f t="shared" si="260"/>
        <v>14.6</v>
      </c>
      <c r="Q456" s="74">
        <f t="shared" si="261"/>
        <v>15.8</v>
      </c>
      <c r="R456" s="114">
        <v>17</v>
      </c>
      <c r="S456" s="129"/>
      <c r="T456" s="117">
        <f>SUM((BH20+BI20+BJ19+BK19+BO17+BP17+BQ16+BR16+BV14+BW14+CA12+CB12+CC11+CD11+CE10+CF10+CG9+CH9)*-0.132/2,(BL18+BM18+BN18+BS15+BT15+BU15+BX13+BY13+BZ13)*-0.132/3,(CG8+CF8+CE8+CD7+CC7+CB7)*-0.132/3,(CA6+BZ6+BY5+BX5+BW4+BV4)*-0.132/2,17)</f>
        <v>16.062461538461537</v>
      </c>
      <c r="U456" s="117">
        <f>Lefty!T456</f>
        <v>17.233538461538462</v>
      </c>
    </row>
    <row r="457" spans="2:21">
      <c r="B457" s="114">
        <v>25</v>
      </c>
      <c r="C457" s="74">
        <f t="shared" si="240"/>
        <v>23.5</v>
      </c>
      <c r="D457" s="74">
        <f t="shared" si="241"/>
        <v>22</v>
      </c>
      <c r="E457" s="74">
        <f t="shared" si="242"/>
        <v>20.5</v>
      </c>
      <c r="F457" s="114">
        <v>19</v>
      </c>
      <c r="G457" s="74">
        <f t="shared" si="243"/>
        <v>17.5</v>
      </c>
      <c r="H457" s="74">
        <f t="shared" si="244"/>
        <v>16</v>
      </c>
      <c r="I457" s="74">
        <f t="shared" si="245"/>
        <v>14.5</v>
      </c>
      <c r="J457" s="114">
        <f t="shared" si="246"/>
        <v>13</v>
      </c>
      <c r="K457" s="74">
        <f t="shared" si="257"/>
        <v>11.8012</v>
      </c>
      <c r="L457" s="74">
        <f t="shared" si="252"/>
        <v>10.602399999999999</v>
      </c>
      <c r="M457" s="114">
        <f t="shared" si="251"/>
        <v>9.4</v>
      </c>
      <c r="N457" s="115">
        <f t="shared" si="258"/>
        <v>10.92</v>
      </c>
      <c r="O457" s="74">
        <f t="shared" si="259"/>
        <v>12.440000000000001</v>
      </c>
      <c r="P457" s="74">
        <f t="shared" si="260"/>
        <v>13.96</v>
      </c>
      <c r="Q457" s="74">
        <f t="shared" si="261"/>
        <v>15.48</v>
      </c>
      <c r="R457" s="114">
        <v>17</v>
      </c>
      <c r="S457" s="129"/>
      <c r="T457" s="117">
        <f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16.018461538461537</v>
      </c>
      <c r="U457" s="117">
        <f>Lefty!T457</f>
        <v>17.497538461538461</v>
      </c>
    </row>
    <row r="458" spans="2:21">
      <c r="B458" s="114">
        <v>26</v>
      </c>
      <c r="C458" s="74">
        <f t="shared" si="240"/>
        <v>24.25</v>
      </c>
      <c r="D458" s="74">
        <f t="shared" si="241"/>
        <v>22.5</v>
      </c>
      <c r="E458" s="74">
        <f t="shared" si="242"/>
        <v>20.75</v>
      </c>
      <c r="F458" s="114">
        <v>19</v>
      </c>
      <c r="G458" s="74">
        <f t="shared" si="243"/>
        <v>17.25</v>
      </c>
      <c r="H458" s="74">
        <f t="shared" si="244"/>
        <v>15.5</v>
      </c>
      <c r="I458" s="74">
        <f t="shared" si="245"/>
        <v>13.75</v>
      </c>
      <c r="J458" s="114">
        <f t="shared" si="246"/>
        <v>12</v>
      </c>
      <c r="K458" s="74">
        <f t="shared" si="257"/>
        <v>10.6014</v>
      </c>
      <c r="L458" s="74">
        <f t="shared" si="252"/>
        <v>9.2027999999999999</v>
      </c>
      <c r="M458" s="114">
        <f t="shared" si="251"/>
        <v>7.8000000000000007</v>
      </c>
      <c r="N458" s="115">
        <f t="shared" si="258"/>
        <v>9.64</v>
      </c>
      <c r="O458" s="74">
        <f t="shared" si="259"/>
        <v>11.48</v>
      </c>
      <c r="P458" s="74">
        <f t="shared" si="260"/>
        <v>13.32</v>
      </c>
      <c r="Q458" s="74">
        <f t="shared" si="261"/>
        <v>15.16</v>
      </c>
      <c r="R458" s="114">
        <v>17</v>
      </c>
      <c r="S458" s="129"/>
      <c r="T458" s="117">
        <f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15.666461538461537</v>
      </c>
      <c r="U458" s="117">
        <f>Lefty!T458</f>
        <v>17.233538461538462</v>
      </c>
    </row>
    <row r="459" spans="2:21">
      <c r="B459" s="114">
        <v>27</v>
      </c>
      <c r="C459" s="74">
        <f t="shared" si="240"/>
        <v>25</v>
      </c>
      <c r="D459" s="74">
        <f t="shared" si="241"/>
        <v>23</v>
      </c>
      <c r="E459" s="74">
        <f t="shared" si="242"/>
        <v>21</v>
      </c>
      <c r="F459" s="114">
        <v>19</v>
      </c>
      <c r="G459" s="74">
        <f t="shared" si="243"/>
        <v>17</v>
      </c>
      <c r="H459" s="74">
        <f t="shared" si="244"/>
        <v>15</v>
      </c>
      <c r="I459" s="74">
        <f t="shared" si="245"/>
        <v>13</v>
      </c>
      <c r="J459" s="114">
        <f t="shared" si="246"/>
        <v>11</v>
      </c>
      <c r="K459" s="74">
        <f t="shared" si="257"/>
        <v>9.4016000000000002</v>
      </c>
      <c r="L459" s="74">
        <f t="shared" si="252"/>
        <v>7.8032000000000004</v>
      </c>
      <c r="M459" s="114">
        <f t="shared" si="251"/>
        <v>6.2</v>
      </c>
      <c r="N459" s="115">
        <f t="shared" si="258"/>
        <v>8.36</v>
      </c>
      <c r="O459" s="74">
        <f t="shared" si="259"/>
        <v>10.52</v>
      </c>
      <c r="P459" s="74">
        <f t="shared" si="260"/>
        <v>12.68</v>
      </c>
      <c r="Q459" s="74">
        <f t="shared" si="261"/>
        <v>14.84</v>
      </c>
      <c r="R459" s="114">
        <v>17</v>
      </c>
      <c r="S459" s="129"/>
      <c r="T459" s="117">
        <f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15.602661538461538</v>
      </c>
      <c r="U459" s="117">
        <f>Lefty!T459</f>
        <v>17.125738461538461</v>
      </c>
    </row>
    <row r="460" spans="2:21">
      <c r="B460" s="114">
        <v>28</v>
      </c>
      <c r="C460" s="74">
        <f t="shared" si="240"/>
        <v>25.75</v>
      </c>
      <c r="D460" s="74">
        <f t="shared" si="241"/>
        <v>23.5</v>
      </c>
      <c r="E460" s="74">
        <f t="shared" si="242"/>
        <v>21.25</v>
      </c>
      <c r="F460" s="114">
        <v>19</v>
      </c>
      <c r="G460" s="74">
        <f t="shared" si="243"/>
        <v>16.75</v>
      </c>
      <c r="H460" s="74">
        <f t="shared" si="244"/>
        <v>14.5</v>
      </c>
      <c r="I460" s="74">
        <f t="shared" si="245"/>
        <v>12.25</v>
      </c>
      <c r="J460" s="114">
        <f t="shared" si="246"/>
        <v>10</v>
      </c>
      <c r="K460" s="74">
        <f t="shared" si="257"/>
        <v>8.2018000000000004</v>
      </c>
      <c r="L460" s="74">
        <f t="shared" si="252"/>
        <v>6.4035999999999991</v>
      </c>
      <c r="M460" s="114">
        <f t="shared" si="251"/>
        <v>4.5999999999999996</v>
      </c>
      <c r="N460" s="115">
        <f t="shared" si="258"/>
        <v>7.08</v>
      </c>
      <c r="O460" s="74">
        <f t="shared" si="259"/>
        <v>9.56</v>
      </c>
      <c r="P460" s="74">
        <f t="shared" si="260"/>
        <v>12.04</v>
      </c>
      <c r="Q460" s="74">
        <f t="shared" si="261"/>
        <v>14.520000000000001</v>
      </c>
      <c r="R460" s="114">
        <v>17</v>
      </c>
      <c r="S460" s="129"/>
      <c r="T460" s="117">
        <f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15.457461538461537</v>
      </c>
      <c r="U460" s="117">
        <f>Lefty!T460</f>
        <v>16.806738461538462</v>
      </c>
    </row>
    <row r="461" spans="2:21">
      <c r="B461" s="114">
        <v>29</v>
      </c>
      <c r="C461" s="74">
        <f t="shared" si="240"/>
        <v>26.5</v>
      </c>
      <c r="D461" s="74">
        <f t="shared" si="241"/>
        <v>24</v>
      </c>
      <c r="E461" s="74">
        <f t="shared" si="242"/>
        <v>21.5</v>
      </c>
      <c r="F461" s="114">
        <v>19</v>
      </c>
      <c r="G461" s="74">
        <f t="shared" si="243"/>
        <v>16.5</v>
      </c>
      <c r="H461" s="74">
        <f t="shared" si="244"/>
        <v>14</v>
      </c>
      <c r="I461" s="74">
        <f t="shared" si="245"/>
        <v>11.5</v>
      </c>
      <c r="J461" s="114">
        <f t="shared" si="246"/>
        <v>9</v>
      </c>
      <c r="K461" s="74">
        <f t="shared" si="257"/>
        <v>7.0019999999999998</v>
      </c>
      <c r="L461" s="74">
        <f t="shared" si="252"/>
        <v>5.0039999999999996</v>
      </c>
      <c r="M461" s="114">
        <f t="shared" si="251"/>
        <v>3</v>
      </c>
      <c r="N461" s="115">
        <f t="shared" si="258"/>
        <v>5.8000000000000007</v>
      </c>
      <c r="O461" s="74">
        <f t="shared" si="259"/>
        <v>8.6000000000000014</v>
      </c>
      <c r="P461" s="74">
        <f t="shared" si="260"/>
        <v>11.4</v>
      </c>
      <c r="Q461" s="74">
        <f t="shared" si="261"/>
        <v>14.200000000000001</v>
      </c>
      <c r="R461" s="114">
        <v>17</v>
      </c>
      <c r="S461" s="129"/>
      <c r="T461" s="126">
        <f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15.497061538461537</v>
      </c>
      <c r="U461" s="126">
        <f>Lefty!T461</f>
        <v>16.837538461538461</v>
      </c>
    </row>
    <row r="462" spans="2:21">
      <c r="B462" s="114">
        <v>30</v>
      </c>
      <c r="C462" s="74">
        <f t="shared" si="240"/>
        <v>27.25</v>
      </c>
      <c r="D462" s="74">
        <f t="shared" si="241"/>
        <v>24.5</v>
      </c>
      <c r="E462" s="74">
        <f t="shared" si="242"/>
        <v>21.75</v>
      </c>
      <c r="F462" s="114">
        <v>19</v>
      </c>
      <c r="G462" s="74">
        <f t="shared" si="243"/>
        <v>16.25</v>
      </c>
      <c r="H462" s="74">
        <f t="shared" si="244"/>
        <v>13.5</v>
      </c>
      <c r="I462" s="74">
        <f t="shared" si="245"/>
        <v>10.75</v>
      </c>
      <c r="J462" s="114">
        <f t="shared" si="246"/>
        <v>8</v>
      </c>
      <c r="K462" s="74">
        <f t="shared" si="257"/>
        <v>5.8022</v>
      </c>
      <c r="L462" s="74">
        <f t="shared" si="252"/>
        <v>3.6044</v>
      </c>
      <c r="M462" s="114">
        <f t="shared" si="251"/>
        <v>1.4000000000000004</v>
      </c>
      <c r="N462" s="115">
        <f t="shared" si="258"/>
        <v>4.5200000000000005</v>
      </c>
      <c r="O462" s="74">
        <f t="shared" si="259"/>
        <v>7.6400000000000006</v>
      </c>
      <c r="P462" s="74">
        <f t="shared" si="260"/>
        <v>10.76</v>
      </c>
      <c r="Q462" s="74">
        <f t="shared" si="261"/>
        <v>13.88</v>
      </c>
      <c r="R462" s="114">
        <v>17</v>
      </c>
      <c r="S462" s="129"/>
      <c r="T462" s="131">
        <f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15.431690109890109</v>
      </c>
      <c r="U462" s="131">
        <f>Lefty!T462</f>
        <v>17.000338461538462</v>
      </c>
    </row>
    <row r="463" spans="2:21">
      <c r="B463" s="114"/>
      <c r="C463" s="74"/>
      <c r="D463" s="74"/>
      <c r="E463" s="74"/>
      <c r="F463" s="114"/>
      <c r="G463" s="74"/>
      <c r="H463" s="74"/>
      <c r="I463" s="74"/>
      <c r="J463" s="114"/>
      <c r="K463" s="74"/>
      <c r="L463" s="74"/>
      <c r="M463" s="114"/>
      <c r="N463" s="115"/>
      <c r="O463" s="74"/>
      <c r="P463" s="74"/>
      <c r="Q463" s="74"/>
      <c r="R463" s="114"/>
      <c r="S463" s="129"/>
    </row>
    <row r="464" spans="2:21">
      <c r="B464" s="114">
        <v>21</v>
      </c>
      <c r="C464" s="74">
        <f t="shared" si="240"/>
        <v>20.75</v>
      </c>
      <c r="D464" s="74">
        <f t="shared" si="241"/>
        <v>20.5</v>
      </c>
      <c r="E464" s="74">
        <f t="shared" si="242"/>
        <v>20.25</v>
      </c>
      <c r="F464" s="114">
        <v>20</v>
      </c>
      <c r="G464" s="74">
        <f t="shared" si="243"/>
        <v>19.75</v>
      </c>
      <c r="H464" s="74">
        <f t="shared" si="244"/>
        <v>19.5</v>
      </c>
      <c r="I464" s="74">
        <f t="shared" si="245"/>
        <v>19.25</v>
      </c>
      <c r="J464" s="114">
        <f t="shared" si="246"/>
        <v>19</v>
      </c>
      <c r="K464" s="74">
        <f t="shared" si="257"/>
        <v>18.750250000000001</v>
      </c>
      <c r="L464" s="74">
        <f t="shared" si="252"/>
        <v>18.500499999999999</v>
      </c>
      <c r="M464" s="114">
        <f>SUM(J464,J464-G464)</f>
        <v>18.25</v>
      </c>
      <c r="N464" s="115">
        <f t="shared" ref="N464:N474" si="262">SUM(0.2*(R464-M464),M464)</f>
        <v>18</v>
      </c>
      <c r="O464" s="74">
        <f t="shared" ref="O464:O474" si="263">SUM(0.4*(R464-M464),M464)</f>
        <v>17.75</v>
      </c>
      <c r="P464" s="74">
        <f t="shared" ref="P464:P474" si="264">SUM(0.6*(R464-M464),M464)</f>
        <v>17.5</v>
      </c>
      <c r="Q464" s="74">
        <f t="shared" ref="Q464:Q474" si="265">SUM(0.8*(R464-M464),M464)</f>
        <v>17.25</v>
      </c>
      <c r="R464" s="114">
        <v>17</v>
      </c>
      <c r="S464" s="129"/>
      <c r="T464" s="117">
        <f>SUM((BN20+BO19+BO18+BP17+BP16+BQ15+BQ14+BR13+BR12+BS11+BS10+BT9+BT8+BU7+BU6+BV5+BV4)*-0.132,17)</f>
        <v>16.084461538461539</v>
      </c>
      <c r="U464" s="117">
        <f>Lefty!T464</f>
        <v>17.25553846153846</v>
      </c>
    </row>
    <row r="465" spans="2:21">
      <c r="B465" s="114">
        <v>22</v>
      </c>
      <c r="C465" s="74">
        <f t="shared" si="240"/>
        <v>21.5</v>
      </c>
      <c r="D465" s="74">
        <f t="shared" si="241"/>
        <v>21</v>
      </c>
      <c r="E465" s="74">
        <f t="shared" si="242"/>
        <v>20.5</v>
      </c>
      <c r="F465" s="114">
        <v>20</v>
      </c>
      <c r="G465" s="74">
        <f t="shared" si="243"/>
        <v>19.5</v>
      </c>
      <c r="H465" s="74">
        <f t="shared" si="244"/>
        <v>19</v>
      </c>
      <c r="I465" s="74">
        <f t="shared" si="245"/>
        <v>18.5</v>
      </c>
      <c r="J465" s="114">
        <f t="shared" si="246"/>
        <v>18</v>
      </c>
      <c r="K465" s="74">
        <f t="shared" si="257"/>
        <v>17.6004</v>
      </c>
      <c r="L465" s="74">
        <f t="shared" si="252"/>
        <v>17.200800000000001</v>
      </c>
      <c r="M465" s="114">
        <f t="shared" ref="M465:M472" si="266">SUM(J465,-F465,J465,0.4*ABS(J465-F465))</f>
        <v>16.8</v>
      </c>
      <c r="N465" s="115">
        <f t="shared" si="262"/>
        <v>16.84</v>
      </c>
      <c r="O465" s="74">
        <f t="shared" si="263"/>
        <v>16.88</v>
      </c>
      <c r="P465" s="74">
        <f t="shared" si="264"/>
        <v>16.920000000000002</v>
      </c>
      <c r="Q465" s="74">
        <f t="shared" si="265"/>
        <v>16.96</v>
      </c>
      <c r="R465" s="114">
        <v>17</v>
      </c>
      <c r="S465" s="129"/>
      <c r="T465" s="117">
        <f>SUM((BL20+BM19+BN18+BO17+BP16+BQ15+BR14+BS13+BT12+BU11+BV10+BV9+BV8+BV7+BV6+BV5+BV4)*-0.132,17)</f>
        <v>15.820461538461538</v>
      </c>
      <c r="U465" s="117">
        <f>Lefty!T465</f>
        <v>17.25553846153846</v>
      </c>
    </row>
    <row r="466" spans="2:21">
      <c r="B466" s="114">
        <v>23</v>
      </c>
      <c r="C466" s="74">
        <f t="shared" si="240"/>
        <v>22.25</v>
      </c>
      <c r="D466" s="74">
        <f t="shared" si="241"/>
        <v>21.5</v>
      </c>
      <c r="E466" s="74">
        <f t="shared" si="242"/>
        <v>20.75</v>
      </c>
      <c r="F466" s="114">
        <v>20</v>
      </c>
      <c r="G466" s="74">
        <f t="shared" si="243"/>
        <v>19.25</v>
      </c>
      <c r="H466" s="74">
        <f t="shared" si="244"/>
        <v>18.5</v>
      </c>
      <c r="I466" s="74">
        <f t="shared" si="245"/>
        <v>17.75</v>
      </c>
      <c r="J466" s="114">
        <f t="shared" si="246"/>
        <v>17</v>
      </c>
      <c r="K466" s="74">
        <f t="shared" si="257"/>
        <v>16.400600000000001</v>
      </c>
      <c r="L466" s="74">
        <f t="shared" si="252"/>
        <v>15.8012</v>
      </c>
      <c r="M466" s="114">
        <f t="shared" si="266"/>
        <v>15.2</v>
      </c>
      <c r="N466" s="115">
        <f t="shared" si="262"/>
        <v>15.559999999999999</v>
      </c>
      <c r="O466" s="74">
        <f t="shared" si="263"/>
        <v>15.92</v>
      </c>
      <c r="P466" s="74">
        <f t="shared" si="264"/>
        <v>16.28</v>
      </c>
      <c r="Q466" s="74">
        <f t="shared" si="265"/>
        <v>16.64</v>
      </c>
      <c r="R466" s="114">
        <v>17</v>
      </c>
      <c r="S466" s="129"/>
      <c r="T466" s="117">
        <f>SUM((BJ20+BM18+BP16+BS14+BV12+BY10+BZ9+BY8+BX7+BW6+BV5+BV4)*-0.132,(BK19+BL19+BN17+BO17+BQ15+BR15+BT13+BU13+BW11+BX11)*-0.132/2,17)</f>
        <v>15.622461538461538</v>
      </c>
      <c r="U466" s="117">
        <f>Lefty!T466</f>
        <v>17.321538461538463</v>
      </c>
    </row>
    <row r="467" spans="2:21">
      <c r="B467" s="114">
        <v>24</v>
      </c>
      <c r="C467" s="74">
        <f t="shared" si="240"/>
        <v>23</v>
      </c>
      <c r="D467" s="74">
        <f t="shared" si="241"/>
        <v>22</v>
      </c>
      <c r="E467" s="74">
        <f t="shared" si="242"/>
        <v>21</v>
      </c>
      <c r="F467" s="114">
        <v>20</v>
      </c>
      <c r="G467" s="74">
        <f t="shared" si="243"/>
        <v>19</v>
      </c>
      <c r="H467" s="74">
        <f t="shared" si="244"/>
        <v>18</v>
      </c>
      <c r="I467" s="74">
        <f t="shared" si="245"/>
        <v>17</v>
      </c>
      <c r="J467" s="114">
        <f t="shared" si="246"/>
        <v>16</v>
      </c>
      <c r="K467" s="74">
        <f t="shared" si="257"/>
        <v>15.200799999999999</v>
      </c>
      <c r="L467" s="74">
        <f t="shared" si="252"/>
        <v>14.4016</v>
      </c>
      <c r="M467" s="114">
        <f t="shared" si="266"/>
        <v>13.6</v>
      </c>
      <c r="N467" s="115">
        <f t="shared" si="262"/>
        <v>14.28</v>
      </c>
      <c r="O467" s="74">
        <f t="shared" si="263"/>
        <v>14.96</v>
      </c>
      <c r="P467" s="74">
        <f t="shared" si="264"/>
        <v>15.64</v>
      </c>
      <c r="Q467" s="74">
        <f t="shared" si="265"/>
        <v>16.32</v>
      </c>
      <c r="R467" s="114">
        <v>17</v>
      </c>
      <c r="S467" s="129"/>
      <c r="T467" s="117">
        <f>SUM((BI19+BJ19+BK18+BL18+BM17+BN17+BO16+BP16+BQ15+BR15+BS14+BT14+BU13+BV13+BW12+BX12+BY11+BZ11+CA10+CB10+CB8+CA8+BZ7+BY7)*-0.132/2,(BH20+CC9+BX6+BW5+BV4)*-0.132,17)</f>
        <v>15.886461538461537</v>
      </c>
      <c r="U467" s="117">
        <f>Lefty!T467</f>
        <v>17.189538461538461</v>
      </c>
    </row>
    <row r="468" spans="2:21">
      <c r="B468" s="114">
        <v>25</v>
      </c>
      <c r="C468" s="74">
        <f t="shared" si="240"/>
        <v>23.75</v>
      </c>
      <c r="D468" s="74">
        <f t="shared" si="241"/>
        <v>22.5</v>
      </c>
      <c r="E468" s="74">
        <f t="shared" si="242"/>
        <v>21.25</v>
      </c>
      <c r="F468" s="114">
        <v>20</v>
      </c>
      <c r="G468" s="74">
        <f t="shared" si="243"/>
        <v>18.75</v>
      </c>
      <c r="H468" s="74">
        <f t="shared" si="244"/>
        <v>17.5</v>
      </c>
      <c r="I468" s="74">
        <f t="shared" si="245"/>
        <v>16.25</v>
      </c>
      <c r="J468" s="114">
        <f t="shared" si="246"/>
        <v>15</v>
      </c>
      <c r="K468" s="74">
        <f t="shared" si="257"/>
        <v>14.000999999999999</v>
      </c>
      <c r="L468" s="74">
        <f t="shared" si="252"/>
        <v>13.001999999999999</v>
      </c>
      <c r="M468" s="114">
        <f t="shared" si="266"/>
        <v>12</v>
      </c>
      <c r="N468" s="115">
        <f t="shared" si="262"/>
        <v>13</v>
      </c>
      <c r="O468" s="74">
        <f t="shared" si="263"/>
        <v>14</v>
      </c>
      <c r="P468" s="74">
        <f t="shared" si="264"/>
        <v>15</v>
      </c>
      <c r="Q468" s="74">
        <f t="shared" si="265"/>
        <v>16</v>
      </c>
      <c r="R468" s="114">
        <v>17</v>
      </c>
      <c r="S468" s="129"/>
      <c r="T468" s="117">
        <f>SUM((BF20+BG20+BH19+BI19+BM17+BN17+BO16+BP16+BT14+BU14+BY12+BZ12+CA11+CB11+CC10+CD10+CE9+CF9)*-0.132/2,(BJ18+BK18+BL18+BQ15+BR15+BS15+BV13+BW13+BX13)*-0.132/3,(CE8+CD8+CC7+CB7+CA6+BZ6+BY5+BX5+BW4+BV4)*-0.132/2,17)</f>
        <v>15.842461538461539</v>
      </c>
      <c r="U468" s="117">
        <f>Lefty!T468</f>
        <v>17.189538461538461</v>
      </c>
    </row>
    <row r="469" spans="2:21">
      <c r="B469" s="114">
        <v>26</v>
      </c>
      <c r="C469" s="74">
        <f t="shared" si="240"/>
        <v>24.5</v>
      </c>
      <c r="D469" s="74">
        <f t="shared" si="241"/>
        <v>23</v>
      </c>
      <c r="E469" s="74">
        <f t="shared" si="242"/>
        <v>21.5</v>
      </c>
      <c r="F469" s="114">
        <v>20</v>
      </c>
      <c r="G469" s="74">
        <f t="shared" si="243"/>
        <v>18.5</v>
      </c>
      <c r="H469" s="74">
        <f t="shared" si="244"/>
        <v>17</v>
      </c>
      <c r="I469" s="74">
        <f t="shared" si="245"/>
        <v>15.5</v>
      </c>
      <c r="J469" s="114">
        <f t="shared" si="246"/>
        <v>14</v>
      </c>
      <c r="K469" s="74">
        <f t="shared" si="257"/>
        <v>12.8012</v>
      </c>
      <c r="L469" s="74">
        <f t="shared" si="252"/>
        <v>11.602399999999999</v>
      </c>
      <c r="M469" s="114">
        <f t="shared" si="266"/>
        <v>10.4</v>
      </c>
      <c r="N469" s="115">
        <f t="shared" si="262"/>
        <v>11.72</v>
      </c>
      <c r="O469" s="74">
        <f t="shared" si="263"/>
        <v>13.040000000000001</v>
      </c>
      <c r="P469" s="74">
        <f t="shared" si="264"/>
        <v>14.36</v>
      </c>
      <c r="Q469" s="74">
        <f t="shared" si="265"/>
        <v>15.68</v>
      </c>
      <c r="R469" s="114">
        <v>17</v>
      </c>
      <c r="S469" s="129"/>
      <c r="T469" s="117">
        <f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15.666461538461538</v>
      </c>
      <c r="U469" s="117">
        <f>Lefty!T469</f>
        <v>17.05753846153846</v>
      </c>
    </row>
    <row r="470" spans="2:21">
      <c r="B470" s="114">
        <v>27</v>
      </c>
      <c r="C470" s="74">
        <f t="shared" si="240"/>
        <v>25.25</v>
      </c>
      <c r="D470" s="74">
        <f t="shared" si="241"/>
        <v>23.5</v>
      </c>
      <c r="E470" s="74">
        <f t="shared" si="242"/>
        <v>21.75</v>
      </c>
      <c r="F470" s="114">
        <v>20</v>
      </c>
      <c r="G470" s="74">
        <f t="shared" si="243"/>
        <v>18.25</v>
      </c>
      <c r="H470" s="74">
        <f t="shared" si="244"/>
        <v>16.5</v>
      </c>
      <c r="I470" s="74">
        <f t="shared" si="245"/>
        <v>14.75</v>
      </c>
      <c r="J470" s="114">
        <f t="shared" si="246"/>
        <v>13</v>
      </c>
      <c r="K470" s="74">
        <f t="shared" si="257"/>
        <v>11.6014</v>
      </c>
      <c r="L470" s="74">
        <f t="shared" si="252"/>
        <v>10.2028</v>
      </c>
      <c r="M470" s="114">
        <f t="shared" si="266"/>
        <v>8.8000000000000007</v>
      </c>
      <c r="N470" s="115">
        <f t="shared" si="262"/>
        <v>10.440000000000001</v>
      </c>
      <c r="O470" s="74">
        <f t="shared" si="263"/>
        <v>12.08</v>
      </c>
      <c r="P470" s="74">
        <f t="shared" si="264"/>
        <v>13.719999999999999</v>
      </c>
      <c r="Q470" s="74">
        <f t="shared" si="265"/>
        <v>15.36</v>
      </c>
      <c r="R470" s="114">
        <v>17</v>
      </c>
      <c r="S470" s="129"/>
      <c r="T470" s="117">
        <f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15.545461538461538</v>
      </c>
      <c r="U470" s="117">
        <f>Lefty!T470</f>
        <v>17.266538461538463</v>
      </c>
    </row>
    <row r="471" spans="2:21">
      <c r="B471" s="114">
        <v>28</v>
      </c>
      <c r="C471" s="74">
        <f t="shared" si="240"/>
        <v>26</v>
      </c>
      <c r="D471" s="74">
        <f t="shared" si="241"/>
        <v>24</v>
      </c>
      <c r="E471" s="74">
        <f t="shared" si="242"/>
        <v>22</v>
      </c>
      <c r="F471" s="114">
        <v>20</v>
      </c>
      <c r="G471" s="74">
        <f t="shared" si="243"/>
        <v>18</v>
      </c>
      <c r="H471" s="74">
        <f t="shared" si="244"/>
        <v>16</v>
      </c>
      <c r="I471" s="74">
        <f t="shared" si="245"/>
        <v>14</v>
      </c>
      <c r="J471" s="114">
        <f t="shared" si="246"/>
        <v>12</v>
      </c>
      <c r="K471" s="74">
        <f t="shared" si="257"/>
        <v>10.4016</v>
      </c>
      <c r="L471" s="74">
        <f t="shared" si="252"/>
        <v>8.8032000000000004</v>
      </c>
      <c r="M471" s="114">
        <f t="shared" si="266"/>
        <v>7.2</v>
      </c>
      <c r="N471" s="115">
        <f t="shared" si="262"/>
        <v>9.16</v>
      </c>
      <c r="O471" s="74">
        <f t="shared" si="263"/>
        <v>11.120000000000001</v>
      </c>
      <c r="P471" s="74">
        <f t="shared" si="264"/>
        <v>13.08</v>
      </c>
      <c r="Q471" s="74">
        <f t="shared" si="265"/>
        <v>15.040000000000001</v>
      </c>
      <c r="R471" s="114">
        <v>17</v>
      </c>
      <c r="S471" s="129"/>
      <c r="T471" s="117">
        <f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15.314461538461538</v>
      </c>
      <c r="U471" s="117">
        <f>Lefty!T471</f>
        <v>16.980538461538462</v>
      </c>
    </row>
    <row r="472" spans="2:21">
      <c r="B472" s="114">
        <v>29</v>
      </c>
      <c r="C472" s="74">
        <f t="shared" si="240"/>
        <v>26.75</v>
      </c>
      <c r="D472" s="74">
        <f t="shared" si="241"/>
        <v>24.5</v>
      </c>
      <c r="E472" s="74">
        <f t="shared" si="242"/>
        <v>22.25</v>
      </c>
      <c r="F472" s="114">
        <v>20</v>
      </c>
      <c r="G472" s="74">
        <f t="shared" si="243"/>
        <v>17.75</v>
      </c>
      <c r="H472" s="74">
        <f t="shared" si="244"/>
        <v>15.5</v>
      </c>
      <c r="I472" s="74">
        <f t="shared" si="245"/>
        <v>13.25</v>
      </c>
      <c r="J472" s="114">
        <f t="shared" si="246"/>
        <v>11</v>
      </c>
      <c r="K472" s="74">
        <f t="shared" si="257"/>
        <v>9.2018000000000004</v>
      </c>
      <c r="L472" s="74">
        <f t="shared" si="252"/>
        <v>7.4035999999999991</v>
      </c>
      <c r="M472" s="114">
        <f t="shared" si="266"/>
        <v>5.6</v>
      </c>
      <c r="N472" s="115">
        <f t="shared" si="262"/>
        <v>7.88</v>
      </c>
      <c r="O472" s="74">
        <f t="shared" si="263"/>
        <v>10.16</v>
      </c>
      <c r="P472" s="74">
        <f t="shared" si="264"/>
        <v>12.44</v>
      </c>
      <c r="Q472" s="74">
        <f t="shared" si="265"/>
        <v>14.72</v>
      </c>
      <c r="R472" s="114">
        <v>17</v>
      </c>
      <c r="S472" s="129"/>
      <c r="T472" s="117">
        <f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15.248461538461539</v>
      </c>
      <c r="U472" s="117">
        <f>Lefty!T472</f>
        <v>17.015738461538461</v>
      </c>
    </row>
    <row r="473" spans="2:21">
      <c r="B473" s="114">
        <v>30</v>
      </c>
      <c r="C473" s="74">
        <f t="shared" si="240"/>
        <v>27.5</v>
      </c>
      <c r="D473" s="74">
        <f t="shared" si="241"/>
        <v>25</v>
      </c>
      <c r="E473" s="74">
        <f t="shared" si="242"/>
        <v>22.5</v>
      </c>
      <c r="F473" s="114">
        <v>20</v>
      </c>
      <c r="G473" s="74">
        <f t="shared" si="243"/>
        <v>17.5</v>
      </c>
      <c r="H473" s="74">
        <f t="shared" si="244"/>
        <v>15</v>
      </c>
      <c r="I473" s="74">
        <f t="shared" si="245"/>
        <v>12.5</v>
      </c>
      <c r="J473" s="114">
        <f t="shared" si="246"/>
        <v>10</v>
      </c>
      <c r="K473" s="74">
        <f t="shared" si="257"/>
        <v>8.0019999999999989</v>
      </c>
      <c r="L473" s="74">
        <f t="shared" si="252"/>
        <v>6.0039999999999996</v>
      </c>
      <c r="M473" s="114">
        <f>SUM(J473,-F473,J473,0.4*ABS(J473-F473))</f>
        <v>4</v>
      </c>
      <c r="N473" s="115">
        <f t="shared" si="262"/>
        <v>6.6</v>
      </c>
      <c r="O473" s="74">
        <f t="shared" si="263"/>
        <v>9.1999999999999993</v>
      </c>
      <c r="P473" s="74">
        <f t="shared" si="264"/>
        <v>11.8</v>
      </c>
      <c r="Q473" s="74">
        <f t="shared" si="265"/>
        <v>14.4</v>
      </c>
      <c r="R473" s="114">
        <v>17</v>
      </c>
      <c r="S473" s="129"/>
      <c r="T473" s="117">
        <f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15.255061538461538</v>
      </c>
      <c r="U473" s="117">
        <f>Lefty!T473</f>
        <v>16.817738461538461</v>
      </c>
    </row>
    <row r="474" spans="2:21">
      <c r="B474" s="114">
        <v>31</v>
      </c>
      <c r="C474" s="74">
        <f t="shared" si="240"/>
        <v>28.25</v>
      </c>
      <c r="D474" s="74">
        <f t="shared" si="241"/>
        <v>25.5</v>
      </c>
      <c r="E474" s="74">
        <f t="shared" si="242"/>
        <v>22.75</v>
      </c>
      <c r="F474" s="114">
        <v>20</v>
      </c>
      <c r="G474" s="74">
        <f t="shared" si="243"/>
        <v>17.25</v>
      </c>
      <c r="H474" s="74">
        <f t="shared" si="244"/>
        <v>14.5</v>
      </c>
      <c r="I474" s="74">
        <f t="shared" si="245"/>
        <v>11.75</v>
      </c>
      <c r="J474" s="114">
        <f t="shared" si="246"/>
        <v>9</v>
      </c>
      <c r="K474" s="74">
        <f t="shared" si="257"/>
        <v>6.8022</v>
      </c>
      <c r="L474" s="74">
        <f t="shared" si="252"/>
        <v>4.6044</v>
      </c>
      <c r="M474" s="114">
        <f>SUM(J474,-F474,J474,0.4*ABS(J474-F474))</f>
        <v>2.4000000000000004</v>
      </c>
      <c r="N474" s="115">
        <f t="shared" si="262"/>
        <v>5.32</v>
      </c>
      <c r="O474" s="74">
        <f t="shared" si="263"/>
        <v>8.24</v>
      </c>
      <c r="P474" s="74">
        <f t="shared" si="264"/>
        <v>11.16</v>
      </c>
      <c r="Q474" s="74">
        <f t="shared" si="265"/>
        <v>14.08</v>
      </c>
      <c r="R474" s="114">
        <v>17</v>
      </c>
      <c r="S474" s="129"/>
      <c r="T474" s="131">
        <f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15.226461538461539</v>
      </c>
      <c r="U474" s="131">
        <f>Lefty!T474</f>
        <v>16.885938461538462</v>
      </c>
    </row>
    <row r="475" spans="2:21">
      <c r="B475" s="114"/>
      <c r="C475" s="74"/>
      <c r="D475" s="74"/>
      <c r="E475" s="74"/>
      <c r="F475" s="114"/>
      <c r="G475" s="74"/>
      <c r="H475" s="74"/>
      <c r="I475" s="74"/>
      <c r="J475" s="114"/>
      <c r="K475" s="74"/>
      <c r="L475" s="74"/>
      <c r="M475" s="114"/>
      <c r="N475" s="115"/>
      <c r="O475" s="74"/>
      <c r="P475" s="74"/>
      <c r="Q475" s="74"/>
      <c r="R475" s="114"/>
      <c r="S475" s="129"/>
    </row>
    <row r="476" spans="2:21">
      <c r="B476" s="114">
        <v>23</v>
      </c>
      <c r="C476" s="74">
        <f t="shared" si="240"/>
        <v>22.5</v>
      </c>
      <c r="D476" s="74">
        <f t="shared" si="241"/>
        <v>22</v>
      </c>
      <c r="E476" s="74">
        <f t="shared" si="242"/>
        <v>21.5</v>
      </c>
      <c r="F476" s="114">
        <v>21</v>
      </c>
      <c r="G476" s="74">
        <f t="shared" si="243"/>
        <v>20.5</v>
      </c>
      <c r="H476" s="74">
        <f t="shared" si="244"/>
        <v>20</v>
      </c>
      <c r="I476" s="74">
        <f t="shared" si="245"/>
        <v>19.5</v>
      </c>
      <c r="J476" s="114">
        <f t="shared" si="246"/>
        <v>19</v>
      </c>
      <c r="K476" s="74">
        <f t="shared" si="257"/>
        <v>18.6004</v>
      </c>
      <c r="L476" s="74">
        <f t="shared" si="252"/>
        <v>18.200800000000001</v>
      </c>
      <c r="M476" s="114">
        <f t="shared" ref="M476:M499" si="267">SUM(J476,-F476,J476,0.4*ABS(J476-F476))</f>
        <v>17.8</v>
      </c>
      <c r="N476" s="115">
        <f t="shared" ref="N476:N486" si="268">SUM(0.2*(R476-M476),M476)</f>
        <v>17.64</v>
      </c>
      <c r="O476" s="74">
        <f t="shared" ref="O476:O486" si="269">SUM(0.4*(R476-M476),M476)</f>
        <v>17.48</v>
      </c>
      <c r="P476" s="74">
        <f t="shared" ref="P476:P486" si="270">SUM(0.6*(R476-M476),M476)</f>
        <v>17.32</v>
      </c>
      <c r="Q476" s="74">
        <f t="shared" ref="Q476:Q486" si="271">SUM(0.8*(R476-M476),M476)</f>
        <v>17.16</v>
      </c>
      <c r="R476" s="114">
        <v>17</v>
      </c>
      <c r="S476" s="129"/>
      <c r="T476" s="117">
        <f>SUM((BJ20+BK19+BL18+BM17+BN16+BO15+BP14+BQ13+BR12+BS11+BT10+BT9+BU8+BU7+BV6+BV5+BV4)*-0.132,17)</f>
        <v>15.424461538461538</v>
      </c>
      <c r="U476" s="117">
        <f>Lefty!T476</f>
        <v>16.859538461538463</v>
      </c>
    </row>
    <row r="477" spans="2:21">
      <c r="B477" s="114">
        <v>24</v>
      </c>
      <c r="C477" s="74">
        <f t="shared" si="240"/>
        <v>23.25</v>
      </c>
      <c r="D477" s="74">
        <f t="shared" si="241"/>
        <v>22.5</v>
      </c>
      <c r="E477" s="74">
        <f t="shared" si="242"/>
        <v>21.75</v>
      </c>
      <c r="F477" s="114">
        <v>21</v>
      </c>
      <c r="G477" s="74">
        <f t="shared" si="243"/>
        <v>20.25</v>
      </c>
      <c r="H477" s="74">
        <f t="shared" si="244"/>
        <v>19.5</v>
      </c>
      <c r="I477" s="74">
        <f t="shared" si="245"/>
        <v>18.75</v>
      </c>
      <c r="J477" s="114">
        <f t="shared" si="246"/>
        <v>18</v>
      </c>
      <c r="K477" s="74">
        <f t="shared" si="257"/>
        <v>17.400600000000001</v>
      </c>
      <c r="L477" s="74">
        <f t="shared" si="252"/>
        <v>16.801199999999998</v>
      </c>
      <c r="M477" s="114">
        <f t="shared" si="267"/>
        <v>16.2</v>
      </c>
      <c r="N477" s="115">
        <f t="shared" si="268"/>
        <v>16.36</v>
      </c>
      <c r="O477" s="74">
        <f t="shared" si="269"/>
        <v>16.52</v>
      </c>
      <c r="P477" s="74">
        <f t="shared" si="270"/>
        <v>16.68</v>
      </c>
      <c r="Q477" s="74">
        <f t="shared" si="271"/>
        <v>16.84</v>
      </c>
      <c r="R477" s="114">
        <v>17</v>
      </c>
      <c r="S477" s="129"/>
      <c r="T477" s="117">
        <f>SUM((BH20+BK18+BN16+BQ14+BT12+BW10+BX9+BW8+BW7+BV6+BV5+BV4)*-0.132,(BI19+BJ19+BL17+BM17+BO15+BP15+BR13+BS13+BU11+BV11)*-0.132/2,17)</f>
        <v>15.688461538461537</v>
      </c>
      <c r="U477" s="117">
        <f>Lefty!T477</f>
        <v>16.59553846153846</v>
      </c>
    </row>
    <row r="478" spans="2:21">
      <c r="B478" s="114">
        <v>25</v>
      </c>
      <c r="C478" s="74">
        <f t="shared" si="240"/>
        <v>24</v>
      </c>
      <c r="D478" s="74">
        <f t="shared" si="241"/>
        <v>23</v>
      </c>
      <c r="E478" s="74">
        <f t="shared" si="242"/>
        <v>22</v>
      </c>
      <c r="F478" s="114">
        <v>21</v>
      </c>
      <c r="G478" s="74">
        <f t="shared" si="243"/>
        <v>20</v>
      </c>
      <c r="H478" s="74">
        <f t="shared" si="244"/>
        <v>19</v>
      </c>
      <c r="I478" s="74">
        <f t="shared" si="245"/>
        <v>18</v>
      </c>
      <c r="J478" s="114">
        <f t="shared" si="246"/>
        <v>17</v>
      </c>
      <c r="K478" s="74">
        <f t="shared" si="257"/>
        <v>16.200800000000001</v>
      </c>
      <c r="L478" s="74">
        <f t="shared" si="252"/>
        <v>15.4016</v>
      </c>
      <c r="M478" s="114">
        <f t="shared" si="267"/>
        <v>14.6</v>
      </c>
      <c r="N478" s="115">
        <f t="shared" si="268"/>
        <v>15.08</v>
      </c>
      <c r="O478" s="74">
        <f t="shared" si="269"/>
        <v>15.56</v>
      </c>
      <c r="P478" s="74">
        <f t="shared" si="270"/>
        <v>16.04</v>
      </c>
      <c r="Q478" s="74">
        <f t="shared" si="271"/>
        <v>16.52</v>
      </c>
      <c r="R478" s="114">
        <v>17</v>
      </c>
      <c r="S478" s="129"/>
      <c r="T478" s="117">
        <f>SUM((BG19+BH19+BI18+BJ18+BK17+BL17+BM16+BN16+BO15+BP15+BQ14+BR14+BS13+BT13+BU12+BV12+BW11+BX11+BY10+BZ10)*-0.132/2,(BF20+CA9+BZ8+BY7+BX6+BW5+BV4)*-0.132,17)</f>
        <v>15.556461538461537</v>
      </c>
      <c r="U478" s="117">
        <f>Lefty!T478</f>
        <v>16.925538461538462</v>
      </c>
    </row>
    <row r="479" spans="2:21">
      <c r="B479" s="114">
        <v>26</v>
      </c>
      <c r="C479" s="74">
        <f t="shared" si="240"/>
        <v>24.75</v>
      </c>
      <c r="D479" s="74">
        <f t="shared" si="241"/>
        <v>23.5</v>
      </c>
      <c r="E479" s="74">
        <f t="shared" si="242"/>
        <v>22.25</v>
      </c>
      <c r="F479" s="114">
        <v>21</v>
      </c>
      <c r="G479" s="74">
        <f t="shared" si="243"/>
        <v>19.75</v>
      </c>
      <c r="H479" s="74">
        <f t="shared" si="244"/>
        <v>18.5</v>
      </c>
      <c r="I479" s="74">
        <f t="shared" si="245"/>
        <v>17.25</v>
      </c>
      <c r="J479" s="114">
        <f t="shared" si="246"/>
        <v>16</v>
      </c>
      <c r="K479" s="74">
        <f t="shared" si="257"/>
        <v>15.000999999999999</v>
      </c>
      <c r="L479" s="74">
        <f t="shared" si="252"/>
        <v>14.001999999999999</v>
      </c>
      <c r="M479" s="114">
        <f t="shared" si="267"/>
        <v>13</v>
      </c>
      <c r="N479" s="115">
        <f t="shared" si="268"/>
        <v>13.8</v>
      </c>
      <c r="O479" s="74">
        <f t="shared" si="269"/>
        <v>14.6</v>
      </c>
      <c r="P479" s="74">
        <f t="shared" si="270"/>
        <v>15.4</v>
      </c>
      <c r="Q479" s="74">
        <f t="shared" si="271"/>
        <v>16.2</v>
      </c>
      <c r="R479" s="114">
        <v>17</v>
      </c>
      <c r="S479" s="129"/>
      <c r="T479" s="117">
        <f>SUM((BD20+BE20+BF19+BG19+BK17+BL17+BM16+BN16+BR14+BS14+BW12+BX12+BY11+BZ11+CA10+CB10+CC9+CD9+CC8+CB8+CA7+BZ7+BY6+BX6)*-0.132/2,(BH18+BI18+BJ18+BO15+BP15+BQ15+BT13+BU13+BV13)*-0.132/3,(BW5+BV4)*-0.132,17)</f>
        <v>15.490461538461537</v>
      </c>
      <c r="U479" s="117">
        <f>Lefty!T479</f>
        <v>17.123538461538462</v>
      </c>
    </row>
    <row r="480" spans="2:21">
      <c r="B480" s="114">
        <v>27</v>
      </c>
      <c r="C480" s="74">
        <f t="shared" si="240"/>
        <v>25.5</v>
      </c>
      <c r="D480" s="74">
        <f t="shared" si="241"/>
        <v>24</v>
      </c>
      <c r="E480" s="74">
        <f t="shared" si="242"/>
        <v>22.5</v>
      </c>
      <c r="F480" s="114">
        <v>21</v>
      </c>
      <c r="G480" s="74">
        <f t="shared" si="243"/>
        <v>19.5</v>
      </c>
      <c r="H480" s="74">
        <f t="shared" si="244"/>
        <v>18</v>
      </c>
      <c r="I480" s="74">
        <f t="shared" si="245"/>
        <v>16.5</v>
      </c>
      <c r="J480" s="114">
        <f t="shared" si="246"/>
        <v>15</v>
      </c>
      <c r="K480" s="74">
        <f t="shared" si="257"/>
        <v>13.8012</v>
      </c>
      <c r="L480" s="74">
        <f t="shared" si="252"/>
        <v>12.602399999999999</v>
      </c>
      <c r="M480" s="114">
        <f t="shared" si="267"/>
        <v>11.4</v>
      </c>
      <c r="N480" s="115">
        <f t="shared" si="268"/>
        <v>12.52</v>
      </c>
      <c r="O480" s="74">
        <f t="shared" si="269"/>
        <v>13.64</v>
      </c>
      <c r="P480" s="74">
        <f t="shared" si="270"/>
        <v>14.76</v>
      </c>
      <c r="Q480" s="74">
        <f t="shared" si="271"/>
        <v>15.879999999999999</v>
      </c>
      <c r="R480" s="114">
        <v>17</v>
      </c>
      <c r="S480" s="129"/>
      <c r="T480" s="117">
        <f>SUM((BB20+BC20+BG18+BH18)*-0.132/2,(BD19+BE19+BF19+BI17+BJ17+BK17+BL16+BM16+BN16+BO15+BP15+BQ15+BR14+BS14+BT14+BU13+BV13+BW13+BX12+BY12+BZ12+CA11+CB11+CC11)*-0.132/3,(CD10+CE10+CF9+CG9+CC7+CB7+CA6+BZ6+BY5+BX5+BW4+BV4)*-0.132/2,(CF8+CE8+CD8)*-0.132/3,17)</f>
        <v>15.072461538461537</v>
      </c>
      <c r="U480" s="117">
        <f>Lefty!T480</f>
        <v>17.10153846153846</v>
      </c>
    </row>
    <row r="481" spans="2:21">
      <c r="B481" s="114">
        <v>28</v>
      </c>
      <c r="C481" s="74">
        <f t="shared" si="240"/>
        <v>26.25</v>
      </c>
      <c r="D481" s="74">
        <f t="shared" si="241"/>
        <v>24.5</v>
      </c>
      <c r="E481" s="74">
        <f t="shared" si="242"/>
        <v>22.75</v>
      </c>
      <c r="F481" s="114">
        <v>21</v>
      </c>
      <c r="G481" s="74">
        <f t="shared" si="243"/>
        <v>19.25</v>
      </c>
      <c r="H481" s="74">
        <f t="shared" si="244"/>
        <v>17.5</v>
      </c>
      <c r="I481" s="74">
        <f t="shared" si="245"/>
        <v>15.75</v>
      </c>
      <c r="J481" s="114">
        <f t="shared" si="246"/>
        <v>14</v>
      </c>
      <c r="K481" s="74">
        <f t="shared" si="257"/>
        <v>12.6014</v>
      </c>
      <c r="L481" s="74">
        <f t="shared" si="252"/>
        <v>11.2028</v>
      </c>
      <c r="M481" s="114">
        <f t="shared" si="267"/>
        <v>9.8000000000000007</v>
      </c>
      <c r="N481" s="115">
        <f t="shared" si="268"/>
        <v>11.24</v>
      </c>
      <c r="O481" s="74">
        <f t="shared" si="269"/>
        <v>12.68</v>
      </c>
      <c r="P481" s="74">
        <f t="shared" si="270"/>
        <v>14.120000000000001</v>
      </c>
      <c r="Q481" s="74">
        <f t="shared" si="271"/>
        <v>15.56</v>
      </c>
      <c r="R481" s="114">
        <v>17</v>
      </c>
      <c r="S481" s="129"/>
      <c r="T481" s="117">
        <f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15.336461538461538</v>
      </c>
      <c r="U481" s="117">
        <f>Lefty!T481</f>
        <v>17.266538461538463</v>
      </c>
    </row>
    <row r="482" spans="2:21">
      <c r="B482" s="114">
        <v>29</v>
      </c>
      <c r="C482" s="74">
        <f t="shared" si="240"/>
        <v>27</v>
      </c>
      <c r="D482" s="74">
        <f t="shared" si="241"/>
        <v>25</v>
      </c>
      <c r="E482" s="74">
        <f t="shared" si="242"/>
        <v>23</v>
      </c>
      <c r="F482" s="114">
        <v>21</v>
      </c>
      <c r="G482" s="74">
        <f t="shared" si="243"/>
        <v>19</v>
      </c>
      <c r="H482" s="74">
        <f t="shared" si="244"/>
        <v>17</v>
      </c>
      <c r="I482" s="74">
        <f t="shared" si="245"/>
        <v>15</v>
      </c>
      <c r="J482" s="114">
        <f t="shared" si="246"/>
        <v>13</v>
      </c>
      <c r="K482" s="74">
        <f t="shared" si="257"/>
        <v>11.4016</v>
      </c>
      <c r="L482" s="74">
        <f t="shared" si="252"/>
        <v>9.8032000000000004</v>
      </c>
      <c r="M482" s="114">
        <f t="shared" si="267"/>
        <v>8.1999999999999993</v>
      </c>
      <c r="N482" s="115">
        <f t="shared" si="268"/>
        <v>9.9599999999999991</v>
      </c>
      <c r="O482" s="74">
        <f t="shared" si="269"/>
        <v>11.719999999999999</v>
      </c>
      <c r="P482" s="74">
        <f t="shared" si="270"/>
        <v>13.48</v>
      </c>
      <c r="Q482" s="74">
        <f t="shared" si="271"/>
        <v>15.24</v>
      </c>
      <c r="R482" s="114">
        <v>17</v>
      </c>
      <c r="S482" s="129"/>
      <c r="T482" s="117">
        <f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15.402461538461537</v>
      </c>
      <c r="U482" s="117">
        <f>Lefty!T482</f>
        <v>17.222538461538463</v>
      </c>
    </row>
    <row r="483" spans="2:21">
      <c r="B483" s="114">
        <v>30</v>
      </c>
      <c r="C483" s="74">
        <f t="shared" si="240"/>
        <v>27.75</v>
      </c>
      <c r="D483" s="74">
        <f t="shared" si="241"/>
        <v>25.5</v>
      </c>
      <c r="E483" s="74">
        <f t="shared" si="242"/>
        <v>23.25</v>
      </c>
      <c r="F483" s="114">
        <v>21</v>
      </c>
      <c r="G483" s="74">
        <f t="shared" si="243"/>
        <v>18.75</v>
      </c>
      <c r="H483" s="74">
        <f t="shared" si="244"/>
        <v>16.5</v>
      </c>
      <c r="I483" s="74">
        <f t="shared" si="245"/>
        <v>14.25</v>
      </c>
      <c r="J483" s="114">
        <f t="shared" si="246"/>
        <v>12</v>
      </c>
      <c r="K483" s="74">
        <f t="shared" si="257"/>
        <v>10.2018</v>
      </c>
      <c r="L483" s="74">
        <f t="shared" si="252"/>
        <v>8.4035999999999991</v>
      </c>
      <c r="M483" s="114">
        <f t="shared" si="267"/>
        <v>6.6</v>
      </c>
      <c r="N483" s="115">
        <f t="shared" si="268"/>
        <v>8.68</v>
      </c>
      <c r="O483" s="74">
        <f t="shared" si="269"/>
        <v>10.76</v>
      </c>
      <c r="P483" s="74">
        <f t="shared" si="270"/>
        <v>12.84</v>
      </c>
      <c r="Q483" s="74">
        <f t="shared" si="271"/>
        <v>14.92</v>
      </c>
      <c r="R483" s="114">
        <v>17</v>
      </c>
      <c r="S483" s="129"/>
      <c r="T483" s="117">
        <f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15.171461538461539</v>
      </c>
      <c r="U483" s="117">
        <f>Lefty!T483</f>
        <v>17.090538461538461</v>
      </c>
    </row>
    <row r="484" spans="2:21">
      <c r="B484" s="114">
        <v>31</v>
      </c>
      <c r="C484" s="74">
        <f t="shared" si="240"/>
        <v>28.5</v>
      </c>
      <c r="D484" s="74">
        <f t="shared" si="241"/>
        <v>26</v>
      </c>
      <c r="E484" s="74">
        <f t="shared" si="242"/>
        <v>23.5</v>
      </c>
      <c r="F484" s="114">
        <v>21</v>
      </c>
      <c r="G484" s="74">
        <f t="shared" si="243"/>
        <v>18.5</v>
      </c>
      <c r="H484" s="74">
        <f t="shared" si="244"/>
        <v>16</v>
      </c>
      <c r="I484" s="74">
        <f t="shared" si="245"/>
        <v>13.5</v>
      </c>
      <c r="J484" s="114">
        <f t="shared" si="246"/>
        <v>11</v>
      </c>
      <c r="K484" s="74">
        <f t="shared" si="257"/>
        <v>9.0019999999999989</v>
      </c>
      <c r="L484" s="74">
        <f t="shared" si="252"/>
        <v>7.0039999999999996</v>
      </c>
      <c r="M484" s="114">
        <f t="shared" si="267"/>
        <v>5</v>
      </c>
      <c r="N484" s="115">
        <f t="shared" si="268"/>
        <v>7.4</v>
      </c>
      <c r="O484" s="74">
        <f t="shared" si="269"/>
        <v>9.8000000000000007</v>
      </c>
      <c r="P484" s="74">
        <f t="shared" si="270"/>
        <v>12.2</v>
      </c>
      <c r="Q484" s="74">
        <f t="shared" si="271"/>
        <v>14.600000000000001</v>
      </c>
      <c r="R484" s="114">
        <v>17</v>
      </c>
      <c r="S484" s="129"/>
      <c r="T484" s="117">
        <f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15.074661538461537</v>
      </c>
      <c r="U484" s="117">
        <f>Lefty!T484</f>
        <v>16.925538461538462</v>
      </c>
    </row>
    <row r="485" spans="2:21">
      <c r="B485" s="114">
        <v>32</v>
      </c>
      <c r="C485" s="74">
        <f t="shared" si="240"/>
        <v>29.25</v>
      </c>
      <c r="D485" s="74">
        <f t="shared" si="241"/>
        <v>26.5</v>
      </c>
      <c r="E485" s="74">
        <f t="shared" si="242"/>
        <v>23.75</v>
      </c>
      <c r="F485" s="114">
        <v>21</v>
      </c>
      <c r="G485" s="74">
        <f t="shared" si="243"/>
        <v>18.25</v>
      </c>
      <c r="H485" s="74">
        <f t="shared" si="244"/>
        <v>15.5</v>
      </c>
      <c r="I485" s="74">
        <f t="shared" si="245"/>
        <v>12.75</v>
      </c>
      <c r="J485" s="114">
        <f t="shared" si="246"/>
        <v>10</v>
      </c>
      <c r="K485" s="74">
        <f t="shared" si="257"/>
        <v>7.8022</v>
      </c>
      <c r="L485" s="74">
        <f t="shared" si="252"/>
        <v>5.6044</v>
      </c>
      <c r="M485" s="114">
        <f t="shared" si="267"/>
        <v>3.4000000000000004</v>
      </c>
      <c r="N485" s="115">
        <f t="shared" si="268"/>
        <v>6.120000000000001</v>
      </c>
      <c r="O485" s="74">
        <f t="shared" si="269"/>
        <v>8.84</v>
      </c>
      <c r="P485" s="74">
        <f t="shared" si="270"/>
        <v>11.56</v>
      </c>
      <c r="Q485" s="74">
        <f t="shared" si="271"/>
        <v>14.280000000000001</v>
      </c>
      <c r="R485" s="114">
        <v>17</v>
      </c>
      <c r="S485" s="129"/>
      <c r="T485" s="126">
        <f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15.151661538461537</v>
      </c>
      <c r="U485" s="126">
        <f>Lefty!T485</f>
        <v>16.692338461538462</v>
      </c>
    </row>
    <row r="486" spans="2:21">
      <c r="B486" s="114">
        <v>33</v>
      </c>
      <c r="C486" s="74">
        <f t="shared" si="240"/>
        <v>30</v>
      </c>
      <c r="D486" s="74">
        <f t="shared" si="241"/>
        <v>27</v>
      </c>
      <c r="E486" s="74">
        <f t="shared" si="242"/>
        <v>24</v>
      </c>
      <c r="F486" s="114">
        <v>21</v>
      </c>
      <c r="G486" s="74">
        <f t="shared" si="243"/>
        <v>18</v>
      </c>
      <c r="H486" s="74">
        <f t="shared" si="244"/>
        <v>15</v>
      </c>
      <c r="I486" s="74">
        <f t="shared" si="245"/>
        <v>12</v>
      </c>
      <c r="J486" s="114">
        <f t="shared" si="246"/>
        <v>9</v>
      </c>
      <c r="K486" s="74">
        <f t="shared" si="257"/>
        <v>6.6024000000000003</v>
      </c>
      <c r="L486" s="74">
        <f t="shared" si="252"/>
        <v>4.2048000000000005</v>
      </c>
      <c r="M486" s="114">
        <f t="shared" si="267"/>
        <v>1.8000000000000007</v>
      </c>
      <c r="N486" s="115">
        <f t="shared" si="268"/>
        <v>4.8400000000000007</v>
      </c>
      <c r="O486" s="74">
        <f t="shared" si="269"/>
        <v>7.8800000000000008</v>
      </c>
      <c r="P486" s="74">
        <f t="shared" si="270"/>
        <v>10.92</v>
      </c>
      <c r="Q486" s="74">
        <f t="shared" si="271"/>
        <v>13.96</v>
      </c>
      <c r="R486" s="114">
        <v>17</v>
      </c>
      <c r="S486" s="129"/>
      <c r="T486" s="131">
        <f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15.294661538461538</v>
      </c>
      <c r="U486" s="131">
        <f>Lefty!T486</f>
        <v>16.762738461538461</v>
      </c>
    </row>
    <row r="487" spans="2:21">
      <c r="B487" s="114"/>
      <c r="C487" s="74"/>
      <c r="D487" s="74"/>
      <c r="E487" s="74"/>
      <c r="F487" s="114"/>
      <c r="G487" s="74"/>
      <c r="H487" s="74"/>
      <c r="I487" s="74"/>
      <c r="J487" s="114"/>
      <c r="K487" s="74"/>
      <c r="L487" s="74"/>
      <c r="M487" s="114"/>
      <c r="N487" s="115"/>
      <c r="O487" s="74"/>
      <c r="P487" s="74"/>
      <c r="Q487" s="74"/>
      <c r="R487" s="114"/>
      <c r="S487" s="129"/>
    </row>
    <row r="488" spans="2:21">
      <c r="B488" s="114">
        <v>24</v>
      </c>
      <c r="C488" s="74">
        <f t="shared" si="240"/>
        <v>23.5</v>
      </c>
      <c r="D488" s="74">
        <f t="shared" si="241"/>
        <v>23</v>
      </c>
      <c r="E488" s="74">
        <f t="shared" si="242"/>
        <v>22.5</v>
      </c>
      <c r="F488" s="114">
        <v>22</v>
      </c>
      <c r="G488" s="74">
        <f t="shared" si="243"/>
        <v>21.5</v>
      </c>
      <c r="H488" s="74">
        <f t="shared" si="244"/>
        <v>21</v>
      </c>
      <c r="I488" s="74">
        <f t="shared" si="245"/>
        <v>20.5</v>
      </c>
      <c r="J488" s="114">
        <f t="shared" si="246"/>
        <v>20</v>
      </c>
      <c r="K488" s="74">
        <f t="shared" si="257"/>
        <v>19.6004</v>
      </c>
      <c r="L488" s="74">
        <f t="shared" si="252"/>
        <v>19.200800000000001</v>
      </c>
      <c r="M488" s="114">
        <f t="shared" si="267"/>
        <v>18.8</v>
      </c>
      <c r="N488" s="115">
        <f t="shared" ref="N488:N499" si="272">SUM(0.2*(R488-M488),M488)</f>
        <v>18.440000000000001</v>
      </c>
      <c r="O488" s="74">
        <f t="shared" ref="O488:O499" si="273">SUM(0.4*(R488-M488),M488)</f>
        <v>18.080000000000002</v>
      </c>
      <c r="P488" s="74">
        <f t="shared" ref="P488:P499" si="274">SUM(0.6*(R488-M488),M488)</f>
        <v>17.72</v>
      </c>
      <c r="Q488" s="74">
        <f t="shared" ref="Q488:Q499" si="275">SUM(0.8*(R488-M488),M488)</f>
        <v>17.36</v>
      </c>
      <c r="R488" s="114">
        <v>17</v>
      </c>
      <c r="S488" s="129"/>
      <c r="T488" s="117">
        <f>SUM((BH20+BI19+BJ18+BK17+BL16+BM15+BN14+BO13+BP12+BQ11+BR10+BS9+BT8+BT7+BU6+BU5+BV4)*-0.132,17)</f>
        <v>15.952461538461538</v>
      </c>
      <c r="U488" s="117">
        <f>Lefty!T488</f>
        <v>16.859538461538463</v>
      </c>
    </row>
    <row r="489" spans="2:21">
      <c r="B489" s="114">
        <v>25</v>
      </c>
      <c r="C489" s="74">
        <f t="shared" si="240"/>
        <v>24.25</v>
      </c>
      <c r="D489" s="74">
        <f t="shared" si="241"/>
        <v>23.5</v>
      </c>
      <c r="E489" s="74">
        <f t="shared" si="242"/>
        <v>22.75</v>
      </c>
      <c r="F489" s="114">
        <v>22</v>
      </c>
      <c r="G489" s="74">
        <f t="shared" si="243"/>
        <v>21.25</v>
      </c>
      <c r="H489" s="74">
        <f t="shared" si="244"/>
        <v>20.5</v>
      </c>
      <c r="I489" s="74">
        <f t="shared" si="245"/>
        <v>19.75</v>
      </c>
      <c r="J489" s="114">
        <f t="shared" si="246"/>
        <v>19</v>
      </c>
      <c r="K489" s="74">
        <f t="shared" si="257"/>
        <v>18.400600000000001</v>
      </c>
      <c r="L489" s="74">
        <f t="shared" si="252"/>
        <v>17.801199999999998</v>
      </c>
      <c r="M489" s="114">
        <f t="shared" si="267"/>
        <v>17.2</v>
      </c>
      <c r="N489" s="115">
        <f t="shared" si="272"/>
        <v>17.16</v>
      </c>
      <c r="O489" s="74">
        <f t="shared" si="273"/>
        <v>17.12</v>
      </c>
      <c r="P489" s="74">
        <f t="shared" si="274"/>
        <v>17.079999999999998</v>
      </c>
      <c r="Q489" s="74">
        <f t="shared" si="275"/>
        <v>17.04</v>
      </c>
      <c r="R489" s="114">
        <v>17</v>
      </c>
      <c r="S489" s="129"/>
      <c r="T489" s="117">
        <f>SUM((BF20+BI18+BL16+BO14+BR12+BU10+BV9+BV8+BV7+BV6+BV5+BV4)*-0.132,(BG19+BH19+BJ17+BK17+BM15+BN15+BP13+BQ13+BS11+BT11)*-0.132/2,17)</f>
        <v>15.424461538461538</v>
      </c>
      <c r="U489" s="117">
        <f>Lefty!T489</f>
        <v>16.991538461538461</v>
      </c>
    </row>
    <row r="490" spans="2:21">
      <c r="B490" s="114">
        <v>26</v>
      </c>
      <c r="C490" s="74">
        <f t="shared" si="240"/>
        <v>25</v>
      </c>
      <c r="D490" s="74">
        <f t="shared" si="241"/>
        <v>24</v>
      </c>
      <c r="E490" s="74">
        <f t="shared" si="242"/>
        <v>23</v>
      </c>
      <c r="F490" s="114">
        <v>22</v>
      </c>
      <c r="G490" s="74">
        <f t="shared" si="243"/>
        <v>21</v>
      </c>
      <c r="H490" s="74">
        <f t="shared" si="244"/>
        <v>20</v>
      </c>
      <c r="I490" s="74">
        <f t="shared" si="245"/>
        <v>19</v>
      </c>
      <c r="J490" s="114">
        <f t="shared" si="246"/>
        <v>18</v>
      </c>
      <c r="K490" s="74">
        <f t="shared" si="257"/>
        <v>17.200800000000001</v>
      </c>
      <c r="L490" s="74">
        <f t="shared" si="252"/>
        <v>16.401599999999998</v>
      </c>
      <c r="M490" s="114">
        <f t="shared" si="267"/>
        <v>15.6</v>
      </c>
      <c r="N490" s="115">
        <f t="shared" si="272"/>
        <v>15.879999999999999</v>
      </c>
      <c r="O490" s="74">
        <f t="shared" si="273"/>
        <v>16.16</v>
      </c>
      <c r="P490" s="74">
        <f t="shared" si="274"/>
        <v>16.440000000000001</v>
      </c>
      <c r="Q490" s="74">
        <f t="shared" si="275"/>
        <v>16.72</v>
      </c>
      <c r="R490" s="114">
        <v>17</v>
      </c>
      <c r="S490" s="129"/>
      <c r="T490" s="117">
        <f>SUM((BE19+BF19+BG18+BH18+BI17+BJ17+BK16+BL16+BM15+BN15+BO14+BP14+BQ13+BR13+BS12+BT12+BU11+BV11+BW10+BX10)*-0.132/2,(BD20+BY9+BX8+BX7+BW6+BW5+BV4)*-0.132,17)</f>
        <v>15.226461538461537</v>
      </c>
      <c r="U490" s="117">
        <f>Lefty!T490</f>
        <v>16.793538461538461</v>
      </c>
    </row>
    <row r="491" spans="2:21">
      <c r="B491" s="114">
        <v>27</v>
      </c>
      <c r="C491" s="74">
        <f t="shared" si="240"/>
        <v>25.75</v>
      </c>
      <c r="D491" s="74">
        <f t="shared" si="241"/>
        <v>24.5</v>
      </c>
      <c r="E491" s="74">
        <f t="shared" si="242"/>
        <v>23.25</v>
      </c>
      <c r="F491" s="114">
        <v>22</v>
      </c>
      <c r="G491" s="74">
        <f t="shared" si="243"/>
        <v>20.75</v>
      </c>
      <c r="H491" s="74">
        <f t="shared" si="244"/>
        <v>19.5</v>
      </c>
      <c r="I491" s="74">
        <f t="shared" si="245"/>
        <v>18.25</v>
      </c>
      <c r="J491" s="114">
        <f t="shared" si="246"/>
        <v>17</v>
      </c>
      <c r="K491" s="74">
        <f t="shared" si="257"/>
        <v>16.001000000000001</v>
      </c>
      <c r="L491" s="74">
        <f t="shared" si="252"/>
        <v>15.001999999999999</v>
      </c>
      <c r="M491" s="114">
        <f t="shared" si="267"/>
        <v>14</v>
      </c>
      <c r="N491" s="115">
        <f t="shared" si="272"/>
        <v>14.6</v>
      </c>
      <c r="O491" s="74">
        <f t="shared" si="273"/>
        <v>15.2</v>
      </c>
      <c r="P491" s="74">
        <f t="shared" si="274"/>
        <v>15.8</v>
      </c>
      <c r="Q491" s="74">
        <f t="shared" si="275"/>
        <v>16.399999999999999</v>
      </c>
      <c r="R491" s="114">
        <v>17</v>
      </c>
      <c r="S491" s="129"/>
      <c r="T491" s="117">
        <f>SUM((BB20+BC20+BD19+BE19+BI17+BJ17+BK16+BL16+BP14+BQ14+BU12+BV12+BW11+BX11+BY10+BZ10+CA9+CB9+CA8+BZ8)*-0.132/2,(BF18+BG18+BH18+BM15+BN15+BO15+BR13+BS13+BT13)*-0.132/3,(BY7+BX6+BW5+BV4)*-0.132,17)</f>
        <v>15.072461538461537</v>
      </c>
      <c r="U491" s="117">
        <f>Lefty!T491</f>
        <v>16.74953846153846</v>
      </c>
    </row>
    <row r="492" spans="2:21">
      <c r="B492" s="114">
        <v>28</v>
      </c>
      <c r="C492" s="74">
        <f t="shared" si="240"/>
        <v>26.5</v>
      </c>
      <c r="D492" s="74">
        <f t="shared" si="241"/>
        <v>25</v>
      </c>
      <c r="E492" s="74">
        <f t="shared" si="242"/>
        <v>23.5</v>
      </c>
      <c r="F492" s="114">
        <v>22</v>
      </c>
      <c r="G492" s="74">
        <f t="shared" si="243"/>
        <v>20.5</v>
      </c>
      <c r="H492" s="74">
        <f t="shared" si="244"/>
        <v>19</v>
      </c>
      <c r="I492" s="74">
        <f t="shared" si="245"/>
        <v>17.5</v>
      </c>
      <c r="J492" s="114">
        <f t="shared" si="246"/>
        <v>16</v>
      </c>
      <c r="K492" s="74">
        <f t="shared" si="257"/>
        <v>14.8012</v>
      </c>
      <c r="L492" s="74">
        <f t="shared" si="252"/>
        <v>13.602399999999999</v>
      </c>
      <c r="M492" s="114">
        <f t="shared" si="267"/>
        <v>12.4</v>
      </c>
      <c r="N492" s="115">
        <f t="shared" si="272"/>
        <v>13.32</v>
      </c>
      <c r="O492" s="74">
        <f t="shared" si="273"/>
        <v>14.24</v>
      </c>
      <c r="P492" s="74">
        <f t="shared" si="274"/>
        <v>15.16</v>
      </c>
      <c r="Q492" s="74">
        <f t="shared" si="275"/>
        <v>16.079999999999998</v>
      </c>
      <c r="R492" s="114">
        <v>17</v>
      </c>
      <c r="S492" s="129"/>
      <c r="T492" s="117">
        <f>SUM((AZ20+BA20+BE18+BF18)*-0.132/2,(BB19+BC19+BD19+BG17+BH17+BI17+BJ16+BK16+BL16+BM15+BN15+BO15+BP14+BQ14+BR14+BS13+BT13+BU13+BV12+BW12+BX12+BY11+BZ11+CA11)*-0.132/3,(CB10+CC10+CD9+CE9+CD8+CC8+CB7+CA7+BZ6+BY6+BX5+BW5)*-0.132/2,BV4*-0.132,17)</f>
        <v>15.490461538461538</v>
      </c>
      <c r="U492" s="117">
        <f>Lefty!T492</f>
        <v>17.25553846153846</v>
      </c>
    </row>
    <row r="493" spans="2:21">
      <c r="B493" s="114">
        <v>29</v>
      </c>
      <c r="C493" s="74">
        <f t="shared" si="240"/>
        <v>27.25</v>
      </c>
      <c r="D493" s="74">
        <f t="shared" si="241"/>
        <v>25.5</v>
      </c>
      <c r="E493" s="74">
        <f t="shared" si="242"/>
        <v>23.75</v>
      </c>
      <c r="F493" s="114">
        <v>22</v>
      </c>
      <c r="G493" s="74">
        <f t="shared" si="243"/>
        <v>20.25</v>
      </c>
      <c r="H493" s="74">
        <f t="shared" si="244"/>
        <v>18.5</v>
      </c>
      <c r="I493" s="74">
        <f t="shared" si="245"/>
        <v>16.75</v>
      </c>
      <c r="J493" s="114">
        <f t="shared" si="246"/>
        <v>15</v>
      </c>
      <c r="K493" s="74">
        <f t="shared" si="257"/>
        <v>13.6014</v>
      </c>
      <c r="L493" s="74">
        <f t="shared" si="252"/>
        <v>12.2028</v>
      </c>
      <c r="M493" s="114">
        <f t="shared" si="267"/>
        <v>10.8</v>
      </c>
      <c r="N493" s="115">
        <f t="shared" si="272"/>
        <v>12.040000000000001</v>
      </c>
      <c r="O493" s="74">
        <f t="shared" si="273"/>
        <v>13.280000000000001</v>
      </c>
      <c r="P493" s="74">
        <f t="shared" si="274"/>
        <v>14.52</v>
      </c>
      <c r="Q493" s="74">
        <f t="shared" si="275"/>
        <v>15.760000000000002</v>
      </c>
      <c r="R493" s="114">
        <v>17</v>
      </c>
      <c r="S493" s="129"/>
      <c r="T493" s="117">
        <f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15.259461538461537</v>
      </c>
      <c r="U493" s="117">
        <f>Lefty!T493</f>
        <v>17.057538461538464</v>
      </c>
    </row>
    <row r="494" spans="2:21">
      <c r="B494" s="114">
        <v>30</v>
      </c>
      <c r="C494" s="74">
        <f t="shared" si="240"/>
        <v>28</v>
      </c>
      <c r="D494" s="74">
        <f t="shared" si="241"/>
        <v>26</v>
      </c>
      <c r="E494" s="74">
        <f t="shared" si="242"/>
        <v>24</v>
      </c>
      <c r="F494" s="114">
        <v>22</v>
      </c>
      <c r="G494" s="74">
        <f t="shared" si="243"/>
        <v>20</v>
      </c>
      <c r="H494" s="74">
        <f t="shared" si="244"/>
        <v>18</v>
      </c>
      <c r="I494" s="74">
        <f t="shared" si="245"/>
        <v>16</v>
      </c>
      <c r="J494" s="114">
        <f t="shared" si="246"/>
        <v>14</v>
      </c>
      <c r="K494" s="74">
        <f t="shared" si="257"/>
        <v>12.4016</v>
      </c>
      <c r="L494" s="74">
        <f t="shared" si="252"/>
        <v>10.8032</v>
      </c>
      <c r="M494" s="114">
        <f t="shared" si="267"/>
        <v>9.1999999999999993</v>
      </c>
      <c r="N494" s="115">
        <f t="shared" si="272"/>
        <v>10.76</v>
      </c>
      <c r="O494" s="74">
        <f t="shared" si="273"/>
        <v>12.32</v>
      </c>
      <c r="P494" s="74">
        <f t="shared" si="274"/>
        <v>13.879999999999999</v>
      </c>
      <c r="Q494" s="74">
        <f t="shared" si="275"/>
        <v>15.440000000000001</v>
      </c>
      <c r="R494" s="114">
        <v>17</v>
      </c>
      <c r="S494" s="129"/>
      <c r="T494" s="117">
        <f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15.501461538461538</v>
      </c>
      <c r="U494" s="117">
        <f>Lefty!T494</f>
        <v>17.376538461538463</v>
      </c>
    </row>
    <row r="495" spans="2:21">
      <c r="B495" s="114">
        <v>31</v>
      </c>
      <c r="C495" s="74">
        <f t="shared" si="240"/>
        <v>28.75</v>
      </c>
      <c r="D495" s="74">
        <f t="shared" si="241"/>
        <v>26.5</v>
      </c>
      <c r="E495" s="74">
        <f t="shared" si="242"/>
        <v>24.25</v>
      </c>
      <c r="F495" s="114">
        <v>22</v>
      </c>
      <c r="G495" s="74">
        <f t="shared" si="243"/>
        <v>19.75</v>
      </c>
      <c r="H495" s="74">
        <f t="shared" si="244"/>
        <v>17.5</v>
      </c>
      <c r="I495" s="74">
        <f t="shared" si="245"/>
        <v>15.25</v>
      </c>
      <c r="J495" s="114">
        <f t="shared" si="246"/>
        <v>13</v>
      </c>
      <c r="K495" s="74">
        <f t="shared" si="257"/>
        <v>11.2018</v>
      </c>
      <c r="L495" s="74">
        <f t="shared" si="252"/>
        <v>9.4035999999999991</v>
      </c>
      <c r="M495" s="114">
        <f t="shared" si="267"/>
        <v>7.6</v>
      </c>
      <c r="N495" s="115">
        <f t="shared" si="272"/>
        <v>9.48</v>
      </c>
      <c r="O495" s="74">
        <f t="shared" si="273"/>
        <v>11.36</v>
      </c>
      <c r="P495" s="74">
        <f t="shared" si="274"/>
        <v>13.239999999999998</v>
      </c>
      <c r="Q495" s="74">
        <f t="shared" si="275"/>
        <v>15.120000000000001</v>
      </c>
      <c r="R495" s="114">
        <v>17</v>
      </c>
      <c r="S495" s="129"/>
      <c r="T495" s="117">
        <f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15.290261538461538</v>
      </c>
      <c r="U495" s="117">
        <f>Lefty!T495</f>
        <v>17.024538461538462</v>
      </c>
    </row>
    <row r="496" spans="2:21">
      <c r="B496" s="114">
        <v>32</v>
      </c>
      <c r="C496" s="74">
        <f t="shared" si="240"/>
        <v>29.5</v>
      </c>
      <c r="D496" s="74">
        <f t="shared" si="241"/>
        <v>27</v>
      </c>
      <c r="E496" s="74">
        <f t="shared" si="242"/>
        <v>24.5</v>
      </c>
      <c r="F496" s="114">
        <v>22</v>
      </c>
      <c r="G496" s="74">
        <f t="shared" si="243"/>
        <v>19.5</v>
      </c>
      <c r="H496" s="74">
        <f t="shared" si="244"/>
        <v>17</v>
      </c>
      <c r="I496" s="74">
        <f t="shared" si="245"/>
        <v>14.5</v>
      </c>
      <c r="J496" s="114">
        <f t="shared" si="246"/>
        <v>12</v>
      </c>
      <c r="K496" s="74">
        <f t="shared" si="257"/>
        <v>10.001999999999999</v>
      </c>
      <c r="L496" s="74">
        <f t="shared" si="252"/>
        <v>8.0039999999999996</v>
      </c>
      <c r="M496" s="114">
        <f t="shared" si="267"/>
        <v>6</v>
      </c>
      <c r="N496" s="115">
        <f t="shared" si="272"/>
        <v>8.1999999999999993</v>
      </c>
      <c r="O496" s="74">
        <f t="shared" si="273"/>
        <v>10.4</v>
      </c>
      <c r="P496" s="74">
        <f t="shared" si="274"/>
        <v>12.6</v>
      </c>
      <c r="Q496" s="74">
        <f t="shared" si="275"/>
        <v>14.8</v>
      </c>
      <c r="R496" s="114">
        <v>17</v>
      </c>
      <c r="S496" s="129"/>
      <c r="T496" s="117">
        <f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15.233061538461538</v>
      </c>
      <c r="U496" s="117">
        <f>Lefty!T496</f>
        <v>16.872738461538461</v>
      </c>
    </row>
    <row r="497" spans="2:21">
      <c r="B497" s="114">
        <v>33</v>
      </c>
      <c r="C497" s="74">
        <f t="shared" si="240"/>
        <v>30.25</v>
      </c>
      <c r="D497" s="74">
        <f t="shared" si="241"/>
        <v>27.5</v>
      </c>
      <c r="E497" s="74">
        <f t="shared" si="242"/>
        <v>24.75</v>
      </c>
      <c r="F497" s="114">
        <v>22</v>
      </c>
      <c r="G497" s="74">
        <f t="shared" si="243"/>
        <v>19.25</v>
      </c>
      <c r="H497" s="74">
        <f t="shared" si="244"/>
        <v>16.5</v>
      </c>
      <c r="I497" s="74">
        <f t="shared" si="245"/>
        <v>13.75</v>
      </c>
      <c r="J497" s="114">
        <f t="shared" si="246"/>
        <v>11</v>
      </c>
      <c r="K497" s="74">
        <f t="shared" si="257"/>
        <v>8.8021999999999991</v>
      </c>
      <c r="L497" s="74">
        <f t="shared" si="252"/>
        <v>6.6044</v>
      </c>
      <c r="M497" s="114">
        <f t="shared" si="267"/>
        <v>4.4000000000000004</v>
      </c>
      <c r="N497" s="115">
        <f t="shared" si="272"/>
        <v>6.92</v>
      </c>
      <c r="O497" s="74">
        <f t="shared" si="273"/>
        <v>9.4400000000000013</v>
      </c>
      <c r="P497" s="74">
        <f t="shared" si="274"/>
        <v>11.96</v>
      </c>
      <c r="Q497" s="74">
        <f t="shared" si="275"/>
        <v>14.48</v>
      </c>
      <c r="R497" s="114">
        <v>17</v>
      </c>
      <c r="S497" s="129"/>
      <c r="T497" s="117">
        <f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15.327661538461538</v>
      </c>
      <c r="U497" s="117">
        <f>Lefty!T497</f>
        <v>16.690138461538464</v>
      </c>
    </row>
    <row r="498" spans="2:21">
      <c r="B498" s="114">
        <v>34</v>
      </c>
      <c r="C498" s="74">
        <f t="shared" si="240"/>
        <v>31</v>
      </c>
      <c r="D498" s="74">
        <f t="shared" si="241"/>
        <v>28</v>
      </c>
      <c r="E498" s="74">
        <f t="shared" si="242"/>
        <v>25</v>
      </c>
      <c r="F498" s="114">
        <v>22</v>
      </c>
      <c r="G498" s="74">
        <f t="shared" si="243"/>
        <v>19</v>
      </c>
      <c r="H498" s="74">
        <f t="shared" si="244"/>
        <v>16</v>
      </c>
      <c r="I498" s="74">
        <f t="shared" si="245"/>
        <v>13</v>
      </c>
      <c r="J498" s="114">
        <f t="shared" si="246"/>
        <v>10</v>
      </c>
      <c r="K498" s="74">
        <f t="shared" si="257"/>
        <v>7.6024000000000003</v>
      </c>
      <c r="L498" s="74">
        <f t="shared" si="252"/>
        <v>5.2048000000000005</v>
      </c>
      <c r="M498" s="114">
        <f t="shared" si="267"/>
        <v>2.8000000000000007</v>
      </c>
      <c r="N498" s="115">
        <f t="shared" si="272"/>
        <v>5.6400000000000006</v>
      </c>
      <c r="O498" s="74">
        <f t="shared" si="273"/>
        <v>8.48</v>
      </c>
      <c r="P498" s="74">
        <f t="shared" si="274"/>
        <v>11.32</v>
      </c>
      <c r="Q498" s="74">
        <f t="shared" si="275"/>
        <v>14.16</v>
      </c>
      <c r="R498" s="114">
        <v>17</v>
      </c>
      <c r="S498" s="129"/>
      <c r="T498" s="131">
        <f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15.281461538461539</v>
      </c>
      <c r="U498" s="131">
        <f>Lefty!T498</f>
        <v>16.518538461538462</v>
      </c>
    </row>
    <row r="499" spans="2:21">
      <c r="B499" s="114">
        <v>35</v>
      </c>
      <c r="C499" s="74">
        <f t="shared" si="240"/>
        <v>31.75</v>
      </c>
      <c r="D499" s="74">
        <f t="shared" si="241"/>
        <v>28.5</v>
      </c>
      <c r="E499" s="74">
        <f t="shared" si="242"/>
        <v>25.25</v>
      </c>
      <c r="F499" s="114">
        <v>22</v>
      </c>
      <c r="G499" s="74">
        <f t="shared" si="243"/>
        <v>18.75</v>
      </c>
      <c r="H499" s="74">
        <f t="shared" si="244"/>
        <v>15.5</v>
      </c>
      <c r="I499" s="74">
        <f t="shared" si="245"/>
        <v>12.25</v>
      </c>
      <c r="J499" s="114">
        <f t="shared" si="246"/>
        <v>9</v>
      </c>
      <c r="K499" s="74">
        <f t="shared" si="257"/>
        <v>6.4025999999999996</v>
      </c>
      <c r="L499" s="74">
        <f t="shared" si="252"/>
        <v>3.8052000000000001</v>
      </c>
      <c r="M499" s="114">
        <f t="shared" si="267"/>
        <v>1.2000000000000002</v>
      </c>
      <c r="N499" s="115">
        <f t="shared" si="272"/>
        <v>4.3600000000000003</v>
      </c>
      <c r="O499" s="74">
        <f t="shared" si="273"/>
        <v>7.5200000000000005</v>
      </c>
      <c r="P499" s="74">
        <f t="shared" si="274"/>
        <v>10.68</v>
      </c>
      <c r="Q499" s="74">
        <f t="shared" si="275"/>
        <v>13.84</v>
      </c>
      <c r="R499" s="114">
        <v>17</v>
      </c>
      <c r="S499" s="129"/>
      <c r="T499" s="131">
        <f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15.451490109890109</v>
      </c>
      <c r="U499" s="131">
        <f>Lefty!T499</f>
        <v>16.554681318681318</v>
      </c>
    </row>
    <row r="500" spans="2:21">
      <c r="B500" s="114"/>
      <c r="C500" s="74"/>
      <c r="D500" s="74"/>
      <c r="E500" s="74"/>
      <c r="F500" s="114"/>
      <c r="G500" s="74"/>
      <c r="H500" s="74"/>
      <c r="I500" s="74"/>
      <c r="J500" s="114"/>
      <c r="K500" s="74"/>
      <c r="L500" s="74"/>
      <c r="M500" s="114"/>
      <c r="N500" s="115"/>
      <c r="O500" s="74"/>
      <c r="P500" s="74"/>
      <c r="Q500" s="74"/>
      <c r="R500" s="114"/>
      <c r="S500" s="129"/>
    </row>
    <row r="501" spans="2:21">
      <c r="B501" s="114">
        <v>25</v>
      </c>
      <c r="C501" s="74">
        <f t="shared" si="240"/>
        <v>24.5</v>
      </c>
      <c r="D501" s="74">
        <f t="shared" si="241"/>
        <v>24</v>
      </c>
      <c r="E501" s="74">
        <f t="shared" si="242"/>
        <v>23.5</v>
      </c>
      <c r="F501" s="114">
        <v>23</v>
      </c>
      <c r="G501" s="74">
        <f t="shared" si="243"/>
        <v>22.5</v>
      </c>
      <c r="H501" s="74">
        <f t="shared" si="244"/>
        <v>22</v>
      </c>
      <c r="I501" s="74">
        <f t="shared" si="245"/>
        <v>21.5</v>
      </c>
      <c r="J501" s="114">
        <f t="shared" si="246"/>
        <v>21</v>
      </c>
      <c r="K501" s="74">
        <f t="shared" si="257"/>
        <v>20.500499999999999</v>
      </c>
      <c r="L501" s="74">
        <f t="shared" si="252"/>
        <v>20.001000000000001</v>
      </c>
      <c r="M501" s="114">
        <f>SUM(J501,J501-G501)</f>
        <v>19.5</v>
      </c>
      <c r="N501" s="115">
        <f t="shared" ref="N501:N512" si="276">SUM(0.2*(R501-M501),M501)</f>
        <v>19</v>
      </c>
      <c r="O501" s="74">
        <f t="shared" ref="O501:O512" si="277">SUM(0.4*(R501-M501),M501)</f>
        <v>18.5</v>
      </c>
      <c r="P501" s="74">
        <f t="shared" ref="P501:P512" si="278">SUM(0.6*(R501-M501),M501)</f>
        <v>18</v>
      </c>
      <c r="Q501" s="74">
        <f t="shared" ref="Q501:Q512" si="279">SUM(0.8*(R501-M501),M501)</f>
        <v>17.5</v>
      </c>
      <c r="R501" s="114">
        <v>17</v>
      </c>
      <c r="S501" s="129"/>
      <c r="T501" s="117">
        <f>SUM((BF20+BG19+BH18+BI17+BJ16+BK15+BL14+BM13+BN12+BO11+BP10+BQ9+BR8+BS7+BT6+BU5+BV4)*-0.132,17)</f>
        <v>15.160461538461536</v>
      </c>
      <c r="U501" s="117">
        <f>Lefty!T501</f>
        <v>16.727538461538462</v>
      </c>
    </row>
    <row r="502" spans="2:21">
      <c r="B502" s="114">
        <v>26</v>
      </c>
      <c r="C502" s="74">
        <f t="shared" si="240"/>
        <v>25.25</v>
      </c>
      <c r="D502" s="74">
        <f t="shared" si="241"/>
        <v>24.5</v>
      </c>
      <c r="E502" s="74">
        <f t="shared" si="242"/>
        <v>23.75</v>
      </c>
      <c r="F502" s="114">
        <v>23</v>
      </c>
      <c r="G502" s="74">
        <f t="shared" si="243"/>
        <v>22.25</v>
      </c>
      <c r="H502" s="74">
        <f t="shared" si="244"/>
        <v>21.5</v>
      </c>
      <c r="I502" s="74">
        <f t="shared" si="245"/>
        <v>20.75</v>
      </c>
      <c r="J502" s="114">
        <f t="shared" si="246"/>
        <v>20</v>
      </c>
      <c r="K502" s="74">
        <f t="shared" si="257"/>
        <v>19.400600000000001</v>
      </c>
      <c r="L502" s="74">
        <f t="shared" si="252"/>
        <v>18.801199999999998</v>
      </c>
      <c r="M502" s="114">
        <f t="shared" ref="M502:M538" si="280">SUM(J502,-F502,J502,0.4*ABS(J502-F502))</f>
        <v>18.2</v>
      </c>
      <c r="N502" s="115">
        <f t="shared" si="276"/>
        <v>17.96</v>
      </c>
      <c r="O502" s="74">
        <f t="shared" si="277"/>
        <v>17.72</v>
      </c>
      <c r="P502" s="74">
        <f t="shared" si="278"/>
        <v>17.48</v>
      </c>
      <c r="Q502" s="74">
        <f t="shared" si="279"/>
        <v>17.239999999999998</v>
      </c>
      <c r="R502" s="114">
        <v>17</v>
      </c>
      <c r="S502" s="129"/>
      <c r="T502" s="117">
        <f>SUM((BD20+BG18+BJ16+BM14+BP12+BS10+BT9+BU8+BU7+BV6+BV5+BV4)*-0.132,(BE19+BF19+BH17+BI17+BK15+BL15+BN13+BO13+BQ11+BR11)*-0.132/2,17)</f>
        <v>15.160461538461536</v>
      </c>
      <c r="U502" s="117">
        <f>Lefty!T502</f>
        <v>16.859538461538463</v>
      </c>
    </row>
    <row r="503" spans="2:21">
      <c r="B503" s="114">
        <v>27</v>
      </c>
      <c r="C503" s="74">
        <f t="shared" si="240"/>
        <v>26</v>
      </c>
      <c r="D503" s="74">
        <f t="shared" si="241"/>
        <v>25</v>
      </c>
      <c r="E503" s="74">
        <f t="shared" si="242"/>
        <v>24</v>
      </c>
      <c r="F503" s="114">
        <v>23</v>
      </c>
      <c r="G503" s="74">
        <f t="shared" si="243"/>
        <v>22</v>
      </c>
      <c r="H503" s="74">
        <f t="shared" si="244"/>
        <v>21</v>
      </c>
      <c r="I503" s="74">
        <f t="shared" si="245"/>
        <v>20</v>
      </c>
      <c r="J503" s="114">
        <f t="shared" si="246"/>
        <v>19</v>
      </c>
      <c r="K503" s="74">
        <f t="shared" si="257"/>
        <v>18.200800000000001</v>
      </c>
      <c r="L503" s="74">
        <f t="shared" si="252"/>
        <v>17.401600000000002</v>
      </c>
      <c r="M503" s="114">
        <f t="shared" si="280"/>
        <v>16.600000000000001</v>
      </c>
      <c r="N503" s="115">
        <f t="shared" si="276"/>
        <v>16.68</v>
      </c>
      <c r="O503" s="74">
        <f t="shared" si="277"/>
        <v>16.760000000000002</v>
      </c>
      <c r="P503" s="74">
        <f t="shared" si="278"/>
        <v>16.84</v>
      </c>
      <c r="Q503" s="74">
        <f t="shared" si="279"/>
        <v>16.920000000000002</v>
      </c>
      <c r="R503" s="114">
        <v>17</v>
      </c>
      <c r="S503" s="129"/>
      <c r="T503" s="117">
        <f>SUM((BC19+BD19+BE18+BF18+BG17+BH17+BI16+BJ16+BK15+BL15+BM14+BN14+BO13+BP13+BQ12+BR12+BS11+BT11+BU10+BV10)*-0.132/2,(BB20+BW9+BW8+BW7+BV6+BV5+BV4)*-0.132,17)</f>
        <v>14.962461538461536</v>
      </c>
      <c r="U503" s="117">
        <f>Lefty!T503</f>
        <v>16.59553846153846</v>
      </c>
    </row>
    <row r="504" spans="2:21">
      <c r="B504" s="114">
        <v>28</v>
      </c>
      <c r="C504" s="74">
        <f t="shared" si="240"/>
        <v>26.75</v>
      </c>
      <c r="D504" s="74">
        <f t="shared" si="241"/>
        <v>25.5</v>
      </c>
      <c r="E504" s="74">
        <f t="shared" si="242"/>
        <v>24.25</v>
      </c>
      <c r="F504" s="114">
        <v>23</v>
      </c>
      <c r="G504" s="74">
        <f t="shared" si="243"/>
        <v>21.75</v>
      </c>
      <c r="H504" s="74">
        <f t="shared" si="244"/>
        <v>20.5</v>
      </c>
      <c r="I504" s="74">
        <f t="shared" si="245"/>
        <v>19.25</v>
      </c>
      <c r="J504" s="114">
        <f t="shared" si="246"/>
        <v>18</v>
      </c>
      <c r="K504" s="74">
        <f t="shared" si="257"/>
        <v>17.001000000000001</v>
      </c>
      <c r="L504" s="74">
        <f t="shared" si="252"/>
        <v>16.001999999999999</v>
      </c>
      <c r="M504" s="114">
        <f t="shared" si="280"/>
        <v>15</v>
      </c>
      <c r="N504" s="115">
        <f t="shared" si="276"/>
        <v>15.4</v>
      </c>
      <c r="O504" s="74">
        <f t="shared" si="277"/>
        <v>15.8</v>
      </c>
      <c r="P504" s="74">
        <f t="shared" si="278"/>
        <v>16.2</v>
      </c>
      <c r="Q504" s="74">
        <f t="shared" si="279"/>
        <v>16.600000000000001</v>
      </c>
      <c r="R504" s="114">
        <v>17</v>
      </c>
      <c r="S504" s="129"/>
      <c r="T504" s="117">
        <f>SUM((AZ20+BA20+BB19+BC19+BG17+BH17+BI16+BJ16+BN14+BO14+BS12+BT12+BU11+BV11+BW10+BX10+BY9+BZ9)*-0.132/2,(BD18+BE18+BF18+BK15+BL15+BM15+BP13+BQ13+BR13)*-0.132/3,(BY8+BX7+BW6+BV5+BV4)*-0.132,17)</f>
        <v>15.182461538461537</v>
      </c>
      <c r="U504" s="117">
        <f>Lefty!T504</f>
        <v>16.859538461538463</v>
      </c>
    </row>
    <row r="505" spans="2:21">
      <c r="B505" s="114">
        <v>29</v>
      </c>
      <c r="C505" s="74">
        <f t="shared" si="240"/>
        <v>27.5</v>
      </c>
      <c r="D505" s="74">
        <f t="shared" si="241"/>
        <v>26</v>
      </c>
      <c r="E505" s="74">
        <f t="shared" si="242"/>
        <v>24.5</v>
      </c>
      <c r="F505" s="114">
        <v>23</v>
      </c>
      <c r="G505" s="74">
        <f t="shared" si="243"/>
        <v>21.5</v>
      </c>
      <c r="H505" s="74">
        <f t="shared" si="244"/>
        <v>20</v>
      </c>
      <c r="I505" s="74">
        <f t="shared" si="245"/>
        <v>18.5</v>
      </c>
      <c r="J505" s="114">
        <f t="shared" si="246"/>
        <v>17</v>
      </c>
      <c r="K505" s="74">
        <f t="shared" si="257"/>
        <v>15.8012</v>
      </c>
      <c r="L505" s="74">
        <f t="shared" si="252"/>
        <v>14.602399999999999</v>
      </c>
      <c r="M505" s="114">
        <f t="shared" si="280"/>
        <v>13.4</v>
      </c>
      <c r="N505" s="115">
        <f t="shared" si="276"/>
        <v>14.120000000000001</v>
      </c>
      <c r="O505" s="74">
        <f t="shared" si="277"/>
        <v>14.84</v>
      </c>
      <c r="P505" s="74">
        <f t="shared" si="278"/>
        <v>15.56</v>
      </c>
      <c r="Q505" s="74">
        <f t="shared" si="279"/>
        <v>16.28</v>
      </c>
      <c r="R505" s="114">
        <v>17</v>
      </c>
      <c r="S505" s="129"/>
      <c r="T505" s="117">
        <f>SUM((AX20+AY20+BC18+BD18)*-0.132/2,(AZ19+BA19+BB19+BE17+BF17+BG17+BH16+BI16+BJ16+BK15+BL15+BM15+BN14+BO14+BP14+BQ13+BR13+BS13+BT12+BU12+BV12+BW11+BX11+BY11)*-0.132/3,(BZ10+CA10+CB9+CC9+CB8+CA8+BZ7+BY7)*-0.132/2,(BX6+BW5+BV4)*-0.132,17)</f>
        <v>15.138461538461538</v>
      </c>
      <c r="U505" s="117">
        <f>Lefty!T505</f>
        <v>16.793538461538461</v>
      </c>
    </row>
    <row r="506" spans="2:21">
      <c r="B506" s="114">
        <v>30</v>
      </c>
      <c r="C506" s="74">
        <f t="shared" si="240"/>
        <v>28.25</v>
      </c>
      <c r="D506" s="74">
        <f t="shared" si="241"/>
        <v>26.5</v>
      </c>
      <c r="E506" s="74">
        <f t="shared" si="242"/>
        <v>24.75</v>
      </c>
      <c r="F506" s="114">
        <v>23</v>
      </c>
      <c r="G506" s="74">
        <f t="shared" si="243"/>
        <v>21.25</v>
      </c>
      <c r="H506" s="74">
        <f t="shared" si="244"/>
        <v>19.5</v>
      </c>
      <c r="I506" s="74">
        <f t="shared" si="245"/>
        <v>17.75</v>
      </c>
      <c r="J506" s="114">
        <f t="shared" si="246"/>
        <v>16</v>
      </c>
      <c r="K506" s="74">
        <f t="shared" si="257"/>
        <v>14.6014</v>
      </c>
      <c r="L506" s="74">
        <f t="shared" si="252"/>
        <v>13.2028</v>
      </c>
      <c r="M506" s="114">
        <f t="shared" si="280"/>
        <v>11.8</v>
      </c>
      <c r="N506" s="115">
        <f t="shared" si="276"/>
        <v>12.84</v>
      </c>
      <c r="O506" s="74">
        <f t="shared" si="277"/>
        <v>13.88</v>
      </c>
      <c r="P506" s="74">
        <f t="shared" si="278"/>
        <v>14.92</v>
      </c>
      <c r="Q506" s="74">
        <f t="shared" si="279"/>
        <v>15.96</v>
      </c>
      <c r="R506" s="114">
        <v>17</v>
      </c>
      <c r="S506" s="129"/>
      <c r="T506" s="117">
        <f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15.281461538461539</v>
      </c>
      <c r="U506" s="117">
        <f>Lefty!T506</f>
        <v>16.914538461538463</v>
      </c>
    </row>
    <row r="507" spans="2:21">
      <c r="B507" s="114">
        <v>31</v>
      </c>
      <c r="C507" s="74">
        <f t="shared" si="240"/>
        <v>29</v>
      </c>
      <c r="D507" s="74">
        <f t="shared" si="241"/>
        <v>27</v>
      </c>
      <c r="E507" s="74">
        <f t="shared" si="242"/>
        <v>25</v>
      </c>
      <c r="F507" s="114">
        <v>23</v>
      </c>
      <c r="G507" s="74">
        <f t="shared" si="243"/>
        <v>21</v>
      </c>
      <c r="H507" s="74">
        <f t="shared" si="244"/>
        <v>19</v>
      </c>
      <c r="I507" s="74">
        <f t="shared" si="245"/>
        <v>17</v>
      </c>
      <c r="J507" s="114">
        <f t="shared" si="246"/>
        <v>15</v>
      </c>
      <c r="K507" s="74">
        <f t="shared" si="257"/>
        <v>13.4016</v>
      </c>
      <c r="L507" s="74">
        <f t="shared" si="252"/>
        <v>11.8032</v>
      </c>
      <c r="M507" s="114">
        <f t="shared" si="280"/>
        <v>10.199999999999999</v>
      </c>
      <c r="N507" s="115">
        <f t="shared" si="276"/>
        <v>11.559999999999999</v>
      </c>
      <c r="O507" s="74">
        <f t="shared" si="277"/>
        <v>12.92</v>
      </c>
      <c r="P507" s="74">
        <f t="shared" si="278"/>
        <v>14.28</v>
      </c>
      <c r="Q507" s="74">
        <f t="shared" si="279"/>
        <v>15.64</v>
      </c>
      <c r="R507" s="114">
        <v>17</v>
      </c>
      <c r="S507" s="129"/>
      <c r="T507" s="117">
        <f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15.314461538461538</v>
      </c>
      <c r="U507" s="117">
        <f>Lefty!T507</f>
        <v>16.969538461538463</v>
      </c>
    </row>
    <row r="508" spans="2:21">
      <c r="B508" s="114">
        <v>32</v>
      </c>
      <c r="C508" s="74">
        <f t="shared" si="240"/>
        <v>29.75</v>
      </c>
      <c r="D508" s="74">
        <f t="shared" si="241"/>
        <v>27.5</v>
      </c>
      <c r="E508" s="74">
        <f t="shared" si="242"/>
        <v>25.25</v>
      </c>
      <c r="F508" s="114">
        <v>23</v>
      </c>
      <c r="G508" s="74">
        <f t="shared" si="243"/>
        <v>20.75</v>
      </c>
      <c r="H508" s="74">
        <f t="shared" si="244"/>
        <v>18.5</v>
      </c>
      <c r="I508" s="74">
        <f t="shared" si="245"/>
        <v>16.25</v>
      </c>
      <c r="J508" s="114">
        <f t="shared" si="246"/>
        <v>14</v>
      </c>
      <c r="K508" s="74">
        <f t="shared" si="257"/>
        <v>12.2018</v>
      </c>
      <c r="L508" s="74">
        <f t="shared" si="252"/>
        <v>10.403599999999999</v>
      </c>
      <c r="M508" s="114">
        <f t="shared" si="280"/>
        <v>8.6</v>
      </c>
      <c r="N508" s="115">
        <f t="shared" si="276"/>
        <v>10.28</v>
      </c>
      <c r="O508" s="74">
        <f t="shared" si="277"/>
        <v>11.96</v>
      </c>
      <c r="P508" s="74">
        <f t="shared" si="278"/>
        <v>13.64</v>
      </c>
      <c r="Q508" s="74">
        <f t="shared" si="279"/>
        <v>15.32</v>
      </c>
      <c r="R508" s="114">
        <v>17</v>
      </c>
      <c r="S508" s="129"/>
      <c r="T508" s="117">
        <f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15.602661538461538</v>
      </c>
      <c r="U508" s="117">
        <f>Lefty!T508</f>
        <v>16.989338461538463</v>
      </c>
    </row>
    <row r="509" spans="2:21">
      <c r="B509" s="114">
        <v>33</v>
      </c>
      <c r="C509" s="74">
        <f t="shared" ref="C509:C577" si="281">SUM(0.25*(F509-B509),B509)</f>
        <v>30.5</v>
      </c>
      <c r="D509" s="74">
        <f t="shared" ref="D509:D577" si="282">SUM(0.5*(F509-B509)+B509)</f>
        <v>28</v>
      </c>
      <c r="E509" s="74">
        <f t="shared" ref="E509:E577" si="283">SUM(0.75*(F509-B509),B509)</f>
        <v>25.5</v>
      </c>
      <c r="F509" s="114">
        <v>23</v>
      </c>
      <c r="G509" s="74">
        <f t="shared" ref="G509:G577" si="284">SUM(0.25*(J509-F509),F509)</f>
        <v>20.5</v>
      </c>
      <c r="H509" s="74">
        <f t="shared" ref="H509:H577" si="285">SUM(0.5*(J509-F509),F509)</f>
        <v>18</v>
      </c>
      <c r="I509" s="74">
        <f t="shared" ref="I509:I577" si="286">SUM(0.75*(J509-F509),F509)</f>
        <v>15.5</v>
      </c>
      <c r="J509" s="114">
        <f t="shared" ref="J509:J577" si="287">SUM(F509,-B509,F509)</f>
        <v>13</v>
      </c>
      <c r="K509" s="74">
        <f t="shared" si="257"/>
        <v>11.001999999999999</v>
      </c>
      <c r="L509" s="74">
        <f t="shared" ref="L509:L577" si="288">SUM(0.666*(M509-J509),J509)</f>
        <v>9.0039999999999996</v>
      </c>
      <c r="M509" s="114">
        <f t="shared" si="280"/>
        <v>7</v>
      </c>
      <c r="N509" s="115">
        <f t="shared" si="276"/>
        <v>9</v>
      </c>
      <c r="O509" s="74">
        <f t="shared" si="277"/>
        <v>11</v>
      </c>
      <c r="P509" s="74">
        <f t="shared" si="278"/>
        <v>13</v>
      </c>
      <c r="Q509" s="74">
        <f t="shared" si="279"/>
        <v>15</v>
      </c>
      <c r="R509" s="114">
        <v>17</v>
      </c>
      <c r="S509" s="129"/>
      <c r="T509" s="117">
        <f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15.213261538461538</v>
      </c>
      <c r="U509" s="117">
        <f>Lefty!T509</f>
        <v>16.767138461538462</v>
      </c>
    </row>
    <row r="510" spans="2:21">
      <c r="B510" s="114">
        <v>34</v>
      </c>
      <c r="C510" s="74">
        <f t="shared" si="281"/>
        <v>31.25</v>
      </c>
      <c r="D510" s="74">
        <f t="shared" si="282"/>
        <v>28.5</v>
      </c>
      <c r="E510" s="74">
        <f t="shared" si="283"/>
        <v>25.75</v>
      </c>
      <c r="F510" s="114">
        <v>23</v>
      </c>
      <c r="G510" s="74">
        <f t="shared" si="284"/>
        <v>20.25</v>
      </c>
      <c r="H510" s="74">
        <f t="shared" si="285"/>
        <v>17.5</v>
      </c>
      <c r="I510" s="74">
        <f t="shared" si="286"/>
        <v>14.75</v>
      </c>
      <c r="J510" s="114">
        <f t="shared" si="287"/>
        <v>12</v>
      </c>
      <c r="K510" s="74">
        <f t="shared" si="257"/>
        <v>9.8021999999999991</v>
      </c>
      <c r="L510" s="74">
        <f t="shared" si="288"/>
        <v>7.6044</v>
      </c>
      <c r="M510" s="114">
        <f t="shared" si="280"/>
        <v>5.4</v>
      </c>
      <c r="N510" s="115">
        <f t="shared" si="276"/>
        <v>7.7200000000000006</v>
      </c>
      <c r="O510" s="74">
        <f t="shared" si="277"/>
        <v>10.039999999999999</v>
      </c>
      <c r="P510" s="74">
        <f t="shared" si="278"/>
        <v>12.36</v>
      </c>
      <c r="Q510" s="74">
        <f t="shared" si="279"/>
        <v>14.68</v>
      </c>
      <c r="R510" s="114">
        <v>17</v>
      </c>
      <c r="S510" s="129"/>
      <c r="T510" s="117">
        <f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15.189061538461539</v>
      </c>
      <c r="U510" s="117">
        <f>Lefty!T510</f>
        <v>16.538338461538462</v>
      </c>
    </row>
    <row r="511" spans="2:21">
      <c r="B511" s="114">
        <v>35</v>
      </c>
      <c r="C511" s="74">
        <f t="shared" si="281"/>
        <v>32</v>
      </c>
      <c r="D511" s="74">
        <f t="shared" si="282"/>
        <v>29</v>
      </c>
      <c r="E511" s="74">
        <f t="shared" si="283"/>
        <v>26</v>
      </c>
      <c r="F511" s="114">
        <v>23</v>
      </c>
      <c r="G511" s="74">
        <f t="shared" si="284"/>
        <v>20</v>
      </c>
      <c r="H511" s="74">
        <f t="shared" si="285"/>
        <v>17</v>
      </c>
      <c r="I511" s="74">
        <f t="shared" si="286"/>
        <v>14</v>
      </c>
      <c r="J511" s="114">
        <f t="shared" si="287"/>
        <v>11</v>
      </c>
      <c r="K511" s="74">
        <f t="shared" si="257"/>
        <v>8.6023999999999994</v>
      </c>
      <c r="L511" s="74">
        <f t="shared" si="288"/>
        <v>6.2048000000000005</v>
      </c>
      <c r="M511" s="114">
        <f t="shared" si="280"/>
        <v>3.8000000000000007</v>
      </c>
      <c r="N511" s="115">
        <f t="shared" si="276"/>
        <v>6.4400000000000013</v>
      </c>
      <c r="O511" s="74">
        <f t="shared" si="277"/>
        <v>9.0800000000000018</v>
      </c>
      <c r="P511" s="74">
        <f t="shared" si="278"/>
        <v>11.719999999999999</v>
      </c>
      <c r="Q511" s="74">
        <f t="shared" si="279"/>
        <v>14.360000000000001</v>
      </c>
      <c r="R511" s="114">
        <v>17</v>
      </c>
      <c r="S511" s="129"/>
      <c r="T511" s="126">
        <f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15.288061538461537</v>
      </c>
      <c r="U511" s="126">
        <f>Lefty!T511</f>
        <v>16.274338461538463</v>
      </c>
    </row>
    <row r="512" spans="2:21">
      <c r="B512" s="114">
        <v>36</v>
      </c>
      <c r="C512" s="74">
        <f t="shared" si="281"/>
        <v>32.75</v>
      </c>
      <c r="D512" s="74">
        <f t="shared" si="282"/>
        <v>29.5</v>
      </c>
      <c r="E512" s="74">
        <f t="shared" si="283"/>
        <v>26.25</v>
      </c>
      <c r="F512" s="114">
        <v>23</v>
      </c>
      <c r="G512" s="74">
        <f t="shared" si="284"/>
        <v>19.75</v>
      </c>
      <c r="H512" s="74">
        <f t="shared" si="285"/>
        <v>16.5</v>
      </c>
      <c r="I512" s="74">
        <f t="shared" si="286"/>
        <v>13.25</v>
      </c>
      <c r="J512" s="114">
        <f t="shared" si="287"/>
        <v>10</v>
      </c>
      <c r="K512" s="74">
        <f t="shared" si="257"/>
        <v>7.4025999999999996</v>
      </c>
      <c r="L512" s="74">
        <f t="shared" si="288"/>
        <v>4.8052000000000001</v>
      </c>
      <c r="M512" s="114">
        <f t="shared" si="280"/>
        <v>2.2000000000000002</v>
      </c>
      <c r="N512" s="115">
        <f t="shared" si="276"/>
        <v>5.16</v>
      </c>
      <c r="O512" s="74">
        <f t="shared" si="277"/>
        <v>8.120000000000001</v>
      </c>
      <c r="P512" s="74">
        <f t="shared" si="278"/>
        <v>11.080000000000002</v>
      </c>
      <c r="Q512" s="74">
        <f t="shared" si="279"/>
        <v>14.040000000000003</v>
      </c>
      <c r="R512" s="114">
        <v>17</v>
      </c>
      <c r="S512" s="129"/>
      <c r="T512" s="131">
        <f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15.389261538461538</v>
      </c>
      <c r="U512" s="131">
        <f>Lefty!T512</f>
        <v>16.161824175824176</v>
      </c>
    </row>
    <row r="513" spans="2:21">
      <c r="B513" s="114"/>
      <c r="C513" s="74"/>
      <c r="D513" s="74"/>
      <c r="E513" s="74"/>
      <c r="F513" s="114"/>
      <c r="G513" s="74"/>
      <c r="H513" s="74"/>
      <c r="I513" s="74"/>
      <c r="J513" s="114"/>
      <c r="K513" s="74"/>
      <c r="L513" s="74"/>
      <c r="M513" s="114"/>
      <c r="N513" s="115"/>
      <c r="O513" s="74"/>
      <c r="P513" s="74"/>
      <c r="Q513" s="74"/>
      <c r="R513" s="114"/>
      <c r="S513" s="129"/>
    </row>
    <row r="514" spans="2:21">
      <c r="B514" s="114">
        <v>27</v>
      </c>
      <c r="C514" s="74">
        <f t="shared" si="281"/>
        <v>26.25</v>
      </c>
      <c r="D514" s="74">
        <f t="shared" si="282"/>
        <v>25.5</v>
      </c>
      <c r="E514" s="74">
        <f t="shared" si="283"/>
        <v>24.75</v>
      </c>
      <c r="F514" s="114">
        <v>24</v>
      </c>
      <c r="G514" s="74">
        <f t="shared" si="284"/>
        <v>23.25</v>
      </c>
      <c r="H514" s="74">
        <f t="shared" si="285"/>
        <v>22.5</v>
      </c>
      <c r="I514" s="74">
        <f t="shared" si="286"/>
        <v>21.75</v>
      </c>
      <c r="J514" s="114">
        <f t="shared" si="287"/>
        <v>21</v>
      </c>
      <c r="K514" s="74">
        <f t="shared" si="257"/>
        <v>20.400600000000001</v>
      </c>
      <c r="L514" s="74">
        <f t="shared" si="288"/>
        <v>19.801199999999998</v>
      </c>
      <c r="M514" s="114">
        <f t="shared" si="280"/>
        <v>19.2</v>
      </c>
      <c r="N514" s="115">
        <f t="shared" ref="N514:N525" si="289">SUM(0.2*(R514-M514),M514)</f>
        <v>18.759999999999998</v>
      </c>
      <c r="O514" s="74">
        <f t="shared" ref="O514:O525" si="290">SUM(0.4*(R514-M514),M514)</f>
        <v>18.32</v>
      </c>
      <c r="P514" s="74">
        <f t="shared" ref="P514:P525" si="291">SUM(0.6*(R514-M514),M514)</f>
        <v>17.88</v>
      </c>
      <c r="Q514" s="74">
        <f t="shared" ref="Q514:Q525" si="292">SUM(0.8*(R514-M514),M514)</f>
        <v>17.440000000000001</v>
      </c>
      <c r="R514" s="114">
        <v>17</v>
      </c>
      <c r="S514" s="129"/>
      <c r="T514" s="117">
        <f>SUM((BB20+BE18+BH16+BK14+BN12+BQ10+BR9+BS8+BT7+BU6+BV5+BV4)*-0.132,(BC19+BD19+BF17+BG17+BI15+BJ15+BL13+BM13+BO11+BP11)*-0.132/2,17)</f>
        <v>15.028461538461539</v>
      </c>
      <c r="U514" s="117">
        <f>Lefty!T514</f>
        <v>16.59553846153846</v>
      </c>
    </row>
    <row r="515" spans="2:21">
      <c r="B515" s="114">
        <v>28</v>
      </c>
      <c r="C515" s="74">
        <f t="shared" si="281"/>
        <v>27</v>
      </c>
      <c r="D515" s="74">
        <f t="shared" si="282"/>
        <v>26</v>
      </c>
      <c r="E515" s="74">
        <f t="shared" si="283"/>
        <v>25</v>
      </c>
      <c r="F515" s="114">
        <v>24</v>
      </c>
      <c r="G515" s="74">
        <f t="shared" si="284"/>
        <v>23</v>
      </c>
      <c r="H515" s="74">
        <f t="shared" si="285"/>
        <v>22</v>
      </c>
      <c r="I515" s="74">
        <f t="shared" si="286"/>
        <v>21</v>
      </c>
      <c r="J515" s="114">
        <f t="shared" si="287"/>
        <v>20</v>
      </c>
      <c r="K515" s="74">
        <f t="shared" si="257"/>
        <v>19.200800000000001</v>
      </c>
      <c r="L515" s="74">
        <f t="shared" si="288"/>
        <v>18.401600000000002</v>
      </c>
      <c r="M515" s="114">
        <f t="shared" si="280"/>
        <v>17.600000000000001</v>
      </c>
      <c r="N515" s="115">
        <f t="shared" si="289"/>
        <v>17.48</v>
      </c>
      <c r="O515" s="74">
        <f t="shared" si="290"/>
        <v>17.36</v>
      </c>
      <c r="P515" s="74">
        <f t="shared" si="291"/>
        <v>17.240000000000002</v>
      </c>
      <c r="Q515" s="74">
        <f t="shared" si="292"/>
        <v>17.12</v>
      </c>
      <c r="R515" s="114">
        <v>17</v>
      </c>
      <c r="S515" s="129"/>
      <c r="T515" s="117">
        <f>SUM((BA19+BB19+BC18+BD18+BE17+BF17+BG16+BH16+BI15+BJ15+BK14+BL14+BM13+BN13+BO12+BP12+BQ11+BR11+BS10+BT10)*-0.132/2,(AZ20+BU9+BU8+BU7+BV6+BV5+BV4)*-0.132,17)</f>
        <v>14.896461538461539</v>
      </c>
      <c r="U515" s="117">
        <f>Lefty!T515</f>
        <v>16.727538461538462</v>
      </c>
    </row>
    <row r="516" spans="2:21">
      <c r="B516" s="114">
        <v>29</v>
      </c>
      <c r="C516" s="74">
        <f t="shared" si="281"/>
        <v>27.75</v>
      </c>
      <c r="D516" s="74">
        <f t="shared" si="282"/>
        <v>26.5</v>
      </c>
      <c r="E516" s="74">
        <f t="shared" si="283"/>
        <v>25.25</v>
      </c>
      <c r="F516" s="114">
        <v>24</v>
      </c>
      <c r="G516" s="74">
        <f t="shared" si="284"/>
        <v>22.75</v>
      </c>
      <c r="H516" s="74">
        <f t="shared" si="285"/>
        <v>21.5</v>
      </c>
      <c r="I516" s="74">
        <f t="shared" si="286"/>
        <v>20.25</v>
      </c>
      <c r="J516" s="114">
        <f t="shared" si="287"/>
        <v>19</v>
      </c>
      <c r="K516" s="74">
        <f t="shared" si="257"/>
        <v>18.001000000000001</v>
      </c>
      <c r="L516" s="74">
        <f t="shared" si="288"/>
        <v>17.001999999999999</v>
      </c>
      <c r="M516" s="114">
        <f t="shared" si="280"/>
        <v>16</v>
      </c>
      <c r="N516" s="115">
        <f t="shared" si="289"/>
        <v>16.2</v>
      </c>
      <c r="O516" s="74">
        <f t="shared" si="290"/>
        <v>16.399999999999999</v>
      </c>
      <c r="P516" s="74">
        <f t="shared" si="291"/>
        <v>16.600000000000001</v>
      </c>
      <c r="Q516" s="74">
        <f t="shared" si="292"/>
        <v>16.8</v>
      </c>
      <c r="R516" s="114">
        <v>17</v>
      </c>
      <c r="S516" s="129"/>
      <c r="T516" s="117">
        <f>SUM((AX20+AY20+AZ19+BA19+BE17+BF17+BG16+BH16+BL14+BM14+BQ12+BR12+BS11+BT11+BU10+BV10+BW9+BX9)*-0.132/2,(BB18+BC18+BD18+BI15+BJ15+BK15+BN13+BO13+BP13)*-0.132/3,(BW8+BW7+BV6+BV5+BV4)*-0.132,17)</f>
        <v>14.896461538461537</v>
      </c>
      <c r="U516" s="117">
        <f>Lefty!T516</f>
        <v>16.551538461538463</v>
      </c>
    </row>
    <row r="517" spans="2:21">
      <c r="B517" s="114">
        <v>30</v>
      </c>
      <c r="C517" s="74">
        <f t="shared" si="281"/>
        <v>28.5</v>
      </c>
      <c r="D517" s="74">
        <f t="shared" si="282"/>
        <v>27</v>
      </c>
      <c r="E517" s="74">
        <f t="shared" si="283"/>
        <v>25.5</v>
      </c>
      <c r="F517" s="114">
        <v>24</v>
      </c>
      <c r="G517" s="74">
        <f t="shared" si="284"/>
        <v>22.5</v>
      </c>
      <c r="H517" s="74">
        <f t="shared" si="285"/>
        <v>21</v>
      </c>
      <c r="I517" s="74">
        <f t="shared" si="286"/>
        <v>19.5</v>
      </c>
      <c r="J517" s="114">
        <f t="shared" si="287"/>
        <v>18</v>
      </c>
      <c r="K517" s="74">
        <f t="shared" si="257"/>
        <v>16.801200000000001</v>
      </c>
      <c r="L517" s="74">
        <f t="shared" si="288"/>
        <v>15.602399999999999</v>
      </c>
      <c r="M517" s="114">
        <f t="shared" si="280"/>
        <v>14.4</v>
      </c>
      <c r="N517" s="115">
        <f t="shared" si="289"/>
        <v>14.92</v>
      </c>
      <c r="O517" s="74">
        <f t="shared" si="290"/>
        <v>15.44</v>
      </c>
      <c r="P517" s="74">
        <f t="shared" si="291"/>
        <v>15.96</v>
      </c>
      <c r="Q517" s="74">
        <f t="shared" si="292"/>
        <v>16.48</v>
      </c>
      <c r="R517" s="114">
        <v>17</v>
      </c>
      <c r="S517" s="129"/>
      <c r="T517" s="117">
        <f>SUM((AV20+AW20+BA18+BB18)*-0.132/2,(AX19+AY19+AZ19+BC17+BD17+BE17++BF16+BG16+BH16+BI15+BJ15+BK15+BL14+BM14+BN14+BO13+BP13+BQ13+BR12+BS12+BT12+BU11+BV11+BW11)*-0.132/3,(BX10+BY10+BZ9+CA9)*-0.132/2,(BZ8+BY7+BX6+BW5+BV4)*-0.132,17)</f>
        <v>15.270461538461539</v>
      </c>
      <c r="U517" s="117">
        <f>Lefty!T517</f>
        <v>16.617538461538462</v>
      </c>
    </row>
    <row r="518" spans="2:21">
      <c r="B518" s="114">
        <v>31</v>
      </c>
      <c r="C518" s="74">
        <f t="shared" si="281"/>
        <v>29.25</v>
      </c>
      <c r="D518" s="74">
        <f t="shared" si="282"/>
        <v>27.5</v>
      </c>
      <c r="E518" s="74">
        <f t="shared" si="283"/>
        <v>25.75</v>
      </c>
      <c r="F518" s="114">
        <v>24</v>
      </c>
      <c r="G518" s="74">
        <f t="shared" si="284"/>
        <v>22.25</v>
      </c>
      <c r="H518" s="74">
        <f t="shared" si="285"/>
        <v>20.5</v>
      </c>
      <c r="I518" s="74">
        <f t="shared" si="286"/>
        <v>18.75</v>
      </c>
      <c r="J518" s="114">
        <f t="shared" si="287"/>
        <v>17</v>
      </c>
      <c r="K518" s="74">
        <f t="shared" ref="K518:K585" si="293">SUM(0.333*(M518-J518),J518)</f>
        <v>15.6014</v>
      </c>
      <c r="L518" s="74">
        <f t="shared" si="288"/>
        <v>14.2028</v>
      </c>
      <c r="M518" s="114">
        <f t="shared" si="280"/>
        <v>12.8</v>
      </c>
      <c r="N518" s="115">
        <f t="shared" si="289"/>
        <v>13.64</v>
      </c>
      <c r="O518" s="74">
        <f t="shared" si="290"/>
        <v>14.48</v>
      </c>
      <c r="P518" s="74">
        <f t="shared" si="291"/>
        <v>15.32</v>
      </c>
      <c r="Q518" s="74">
        <f t="shared" si="292"/>
        <v>16.16</v>
      </c>
      <c r="R518" s="114">
        <v>17</v>
      </c>
      <c r="S518" s="129"/>
      <c r="T518" s="117">
        <f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15.226461538461539</v>
      </c>
      <c r="U518" s="117">
        <f>Lefty!T518</f>
        <v>16.870538461538462</v>
      </c>
    </row>
    <row r="519" spans="2:21">
      <c r="B519" s="114">
        <v>32</v>
      </c>
      <c r="C519" s="74">
        <f t="shared" si="281"/>
        <v>30</v>
      </c>
      <c r="D519" s="74">
        <f t="shared" si="282"/>
        <v>28</v>
      </c>
      <c r="E519" s="74">
        <f t="shared" si="283"/>
        <v>26</v>
      </c>
      <c r="F519" s="114">
        <v>24</v>
      </c>
      <c r="G519" s="74">
        <f t="shared" si="284"/>
        <v>22</v>
      </c>
      <c r="H519" s="74">
        <f t="shared" si="285"/>
        <v>20</v>
      </c>
      <c r="I519" s="74">
        <f t="shared" si="286"/>
        <v>18</v>
      </c>
      <c r="J519" s="114">
        <f t="shared" si="287"/>
        <v>16</v>
      </c>
      <c r="K519" s="74">
        <f t="shared" si="293"/>
        <v>14.4016</v>
      </c>
      <c r="L519" s="74">
        <f t="shared" si="288"/>
        <v>12.8032</v>
      </c>
      <c r="M519" s="114">
        <f t="shared" si="280"/>
        <v>11.2</v>
      </c>
      <c r="N519" s="115">
        <f t="shared" si="289"/>
        <v>12.36</v>
      </c>
      <c r="O519" s="74">
        <f t="shared" si="290"/>
        <v>13.52</v>
      </c>
      <c r="P519" s="74">
        <f t="shared" si="291"/>
        <v>14.68</v>
      </c>
      <c r="Q519" s="74">
        <f t="shared" si="292"/>
        <v>15.84</v>
      </c>
      <c r="R519" s="114">
        <v>17</v>
      </c>
      <c r="S519" s="129"/>
      <c r="T519" s="117">
        <f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15.259461538461538</v>
      </c>
      <c r="U519" s="117">
        <f>Lefty!T519</f>
        <v>16.771538461538462</v>
      </c>
    </row>
    <row r="520" spans="2:21">
      <c r="B520" s="114">
        <v>33</v>
      </c>
      <c r="C520" s="74">
        <f t="shared" si="281"/>
        <v>30.75</v>
      </c>
      <c r="D520" s="74">
        <f t="shared" si="282"/>
        <v>28.5</v>
      </c>
      <c r="E520" s="74">
        <f t="shared" si="283"/>
        <v>26.25</v>
      </c>
      <c r="F520" s="114">
        <v>24</v>
      </c>
      <c r="G520" s="74">
        <f t="shared" si="284"/>
        <v>21.75</v>
      </c>
      <c r="H520" s="74">
        <f t="shared" si="285"/>
        <v>19.5</v>
      </c>
      <c r="I520" s="74">
        <f t="shared" si="286"/>
        <v>17.25</v>
      </c>
      <c r="J520" s="114">
        <f t="shared" si="287"/>
        <v>15</v>
      </c>
      <c r="K520" s="74">
        <f t="shared" si="293"/>
        <v>13.2018</v>
      </c>
      <c r="L520" s="74">
        <f t="shared" si="288"/>
        <v>11.403599999999999</v>
      </c>
      <c r="M520" s="114">
        <f t="shared" si="280"/>
        <v>9.6</v>
      </c>
      <c r="N520" s="115">
        <f t="shared" si="289"/>
        <v>11.08</v>
      </c>
      <c r="O520" s="74">
        <f t="shared" si="290"/>
        <v>12.56</v>
      </c>
      <c r="P520" s="74">
        <f t="shared" si="291"/>
        <v>14.04</v>
      </c>
      <c r="Q520" s="74">
        <f t="shared" si="292"/>
        <v>15.52</v>
      </c>
      <c r="R520" s="114">
        <v>17</v>
      </c>
      <c r="S520" s="129"/>
      <c r="T520" s="117">
        <f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15.40906153846154</v>
      </c>
      <c r="U520" s="117">
        <f>Lefty!T520</f>
        <v>16.857338461538461</v>
      </c>
    </row>
    <row r="521" spans="2:21">
      <c r="B521" s="114">
        <v>34</v>
      </c>
      <c r="C521" s="74">
        <f t="shared" si="281"/>
        <v>31.5</v>
      </c>
      <c r="D521" s="74">
        <f t="shared" si="282"/>
        <v>29</v>
      </c>
      <c r="E521" s="74">
        <f t="shared" si="283"/>
        <v>26.5</v>
      </c>
      <c r="F521" s="114">
        <v>24</v>
      </c>
      <c r="G521" s="74">
        <f t="shared" si="284"/>
        <v>21.5</v>
      </c>
      <c r="H521" s="74">
        <f t="shared" si="285"/>
        <v>19</v>
      </c>
      <c r="I521" s="74">
        <f t="shared" si="286"/>
        <v>16.5</v>
      </c>
      <c r="J521" s="114">
        <f t="shared" si="287"/>
        <v>14</v>
      </c>
      <c r="K521" s="74">
        <f t="shared" si="293"/>
        <v>12.001999999999999</v>
      </c>
      <c r="L521" s="74">
        <f t="shared" si="288"/>
        <v>10.004</v>
      </c>
      <c r="M521" s="114">
        <f t="shared" si="280"/>
        <v>8</v>
      </c>
      <c r="N521" s="115">
        <f t="shared" si="289"/>
        <v>9.8000000000000007</v>
      </c>
      <c r="O521" s="74">
        <f t="shared" si="290"/>
        <v>11.6</v>
      </c>
      <c r="P521" s="74">
        <f t="shared" si="291"/>
        <v>13.399999999999999</v>
      </c>
      <c r="Q521" s="74">
        <f t="shared" si="292"/>
        <v>15.2</v>
      </c>
      <c r="R521" s="114">
        <v>17</v>
      </c>
      <c r="S521" s="129"/>
      <c r="T521" s="117">
        <f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15.461861538461539</v>
      </c>
      <c r="U521" s="117">
        <f>Lefty!T521</f>
        <v>16.751738461538462</v>
      </c>
    </row>
    <row r="522" spans="2:21">
      <c r="B522" s="114">
        <v>35</v>
      </c>
      <c r="C522" s="74">
        <f t="shared" si="281"/>
        <v>32.25</v>
      </c>
      <c r="D522" s="74">
        <f t="shared" si="282"/>
        <v>29.5</v>
      </c>
      <c r="E522" s="74">
        <f t="shared" si="283"/>
        <v>26.75</v>
      </c>
      <c r="F522" s="114">
        <v>24</v>
      </c>
      <c r="G522" s="74">
        <f t="shared" si="284"/>
        <v>21.25</v>
      </c>
      <c r="H522" s="74">
        <f t="shared" si="285"/>
        <v>18.5</v>
      </c>
      <c r="I522" s="74">
        <f t="shared" si="286"/>
        <v>15.75</v>
      </c>
      <c r="J522" s="114">
        <f t="shared" si="287"/>
        <v>13</v>
      </c>
      <c r="K522" s="74">
        <f t="shared" si="293"/>
        <v>10.802199999999999</v>
      </c>
      <c r="L522" s="74">
        <f t="shared" si="288"/>
        <v>8.6044</v>
      </c>
      <c r="M522" s="114">
        <f t="shared" si="280"/>
        <v>6.4</v>
      </c>
      <c r="N522" s="115">
        <f t="shared" si="289"/>
        <v>8.52</v>
      </c>
      <c r="O522" s="74">
        <f t="shared" si="290"/>
        <v>10.64</v>
      </c>
      <c r="P522" s="74">
        <f t="shared" si="291"/>
        <v>12.76</v>
      </c>
      <c r="Q522" s="74">
        <f t="shared" si="292"/>
        <v>14.88</v>
      </c>
      <c r="R522" s="114">
        <v>17</v>
      </c>
      <c r="S522" s="129"/>
      <c r="T522" s="117">
        <f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15.398061538461539</v>
      </c>
      <c r="U522" s="117">
        <f>Lefty!T522</f>
        <v>16.448138461538463</v>
      </c>
    </row>
    <row r="523" spans="2:21">
      <c r="B523" s="114">
        <v>36</v>
      </c>
      <c r="C523" s="74">
        <f t="shared" si="281"/>
        <v>33</v>
      </c>
      <c r="D523" s="74">
        <f t="shared" si="282"/>
        <v>30</v>
      </c>
      <c r="E523" s="74">
        <f t="shared" si="283"/>
        <v>27</v>
      </c>
      <c r="F523" s="114">
        <v>24</v>
      </c>
      <c r="G523" s="74">
        <f t="shared" si="284"/>
        <v>21</v>
      </c>
      <c r="H523" s="74">
        <f t="shared" si="285"/>
        <v>18</v>
      </c>
      <c r="I523" s="74">
        <f t="shared" si="286"/>
        <v>15</v>
      </c>
      <c r="J523" s="114">
        <f t="shared" si="287"/>
        <v>12</v>
      </c>
      <c r="K523" s="74">
        <f t="shared" si="293"/>
        <v>9.6023999999999994</v>
      </c>
      <c r="L523" s="74">
        <f t="shared" si="288"/>
        <v>7.2048000000000005</v>
      </c>
      <c r="M523" s="114">
        <f t="shared" si="280"/>
        <v>4.8000000000000007</v>
      </c>
      <c r="N523" s="115">
        <f t="shared" si="289"/>
        <v>7.24</v>
      </c>
      <c r="O523" s="74">
        <f t="shared" si="290"/>
        <v>9.68</v>
      </c>
      <c r="P523" s="74">
        <f t="shared" si="291"/>
        <v>12.120000000000001</v>
      </c>
      <c r="Q523" s="74">
        <f t="shared" si="292"/>
        <v>14.56</v>
      </c>
      <c r="R523" s="114">
        <v>17</v>
      </c>
      <c r="S523" s="129"/>
      <c r="T523" s="117">
        <f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15.439861538461539</v>
      </c>
      <c r="U523" s="117">
        <f>Lefty!T523</f>
        <v>16.043338461538461</v>
      </c>
    </row>
    <row r="524" spans="2:21">
      <c r="B524" s="114">
        <v>37</v>
      </c>
      <c r="C524" s="74">
        <f t="shared" si="281"/>
        <v>33.75</v>
      </c>
      <c r="D524" s="74">
        <f t="shared" si="282"/>
        <v>30.5</v>
      </c>
      <c r="E524" s="74">
        <f t="shared" si="283"/>
        <v>27.25</v>
      </c>
      <c r="F524" s="114">
        <v>24</v>
      </c>
      <c r="G524" s="74">
        <f t="shared" si="284"/>
        <v>20.75</v>
      </c>
      <c r="H524" s="74">
        <f t="shared" si="285"/>
        <v>17.5</v>
      </c>
      <c r="I524" s="74">
        <f t="shared" si="286"/>
        <v>14.25</v>
      </c>
      <c r="J524" s="114">
        <f t="shared" si="287"/>
        <v>11</v>
      </c>
      <c r="K524" s="74">
        <f t="shared" si="293"/>
        <v>8.4025999999999996</v>
      </c>
      <c r="L524" s="74">
        <f t="shared" si="288"/>
        <v>5.8052000000000001</v>
      </c>
      <c r="M524" s="114">
        <f t="shared" si="280"/>
        <v>3.2</v>
      </c>
      <c r="N524" s="115">
        <f t="shared" si="289"/>
        <v>5.9600000000000009</v>
      </c>
      <c r="O524" s="74">
        <f t="shared" si="290"/>
        <v>8.7200000000000006</v>
      </c>
      <c r="P524" s="74">
        <f t="shared" si="291"/>
        <v>11.48</v>
      </c>
      <c r="Q524" s="74">
        <f t="shared" si="292"/>
        <v>14.240000000000002</v>
      </c>
      <c r="R524" s="114">
        <v>17</v>
      </c>
      <c r="S524" s="129"/>
      <c r="T524" s="131">
        <f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15.598575824175825</v>
      </c>
      <c r="U524" s="131">
        <f>Lefty!T524</f>
        <v>15.88650989010989</v>
      </c>
    </row>
    <row r="525" spans="2:21">
      <c r="B525" s="114">
        <v>38</v>
      </c>
      <c r="C525" s="74">
        <f t="shared" si="281"/>
        <v>34.5</v>
      </c>
      <c r="D525" s="74">
        <f t="shared" si="282"/>
        <v>31</v>
      </c>
      <c r="E525" s="74">
        <f t="shared" si="283"/>
        <v>27.5</v>
      </c>
      <c r="F525" s="114">
        <v>24</v>
      </c>
      <c r="G525" s="74">
        <f t="shared" si="284"/>
        <v>20.5</v>
      </c>
      <c r="H525" s="74">
        <f t="shared" si="285"/>
        <v>17</v>
      </c>
      <c r="I525" s="74">
        <f t="shared" si="286"/>
        <v>13.5</v>
      </c>
      <c r="J525" s="114">
        <f t="shared" si="287"/>
        <v>10</v>
      </c>
      <c r="K525" s="74">
        <f t="shared" si="293"/>
        <v>7.2027999999999999</v>
      </c>
      <c r="L525" s="74">
        <f t="shared" si="288"/>
        <v>4.4056000000000006</v>
      </c>
      <c r="M525" s="114">
        <f t="shared" si="280"/>
        <v>1.6000000000000005</v>
      </c>
      <c r="N525" s="115">
        <f t="shared" si="289"/>
        <v>4.6800000000000006</v>
      </c>
      <c r="O525" s="74">
        <f t="shared" si="290"/>
        <v>7.7600000000000007</v>
      </c>
      <c r="P525" s="74">
        <f t="shared" si="291"/>
        <v>10.84</v>
      </c>
      <c r="Q525" s="74">
        <f t="shared" si="292"/>
        <v>13.920000000000002</v>
      </c>
      <c r="R525" s="114">
        <v>17</v>
      </c>
      <c r="S525" s="129"/>
      <c r="T525" s="131">
        <f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15.818575824175824</v>
      </c>
      <c r="U525" s="131">
        <f>Lefty!T525</f>
        <v>15.756395604395605</v>
      </c>
    </row>
    <row r="526" spans="2:21">
      <c r="B526" s="114"/>
      <c r="C526" s="74"/>
      <c r="D526" s="74"/>
      <c r="E526" s="74"/>
      <c r="F526" s="114"/>
      <c r="G526" s="74"/>
      <c r="H526" s="74"/>
      <c r="I526" s="74"/>
      <c r="J526" s="114"/>
      <c r="K526" s="74"/>
      <c r="L526" s="74"/>
      <c r="M526" s="114"/>
      <c r="N526" s="115"/>
      <c r="O526" s="74"/>
      <c r="P526" s="74"/>
      <c r="Q526" s="74"/>
      <c r="R526" s="114"/>
      <c r="S526" s="129"/>
    </row>
    <row r="527" spans="2:21">
      <c r="B527" s="114">
        <v>28</v>
      </c>
      <c r="C527" s="74">
        <f t="shared" si="281"/>
        <v>27.25</v>
      </c>
      <c r="D527" s="74">
        <f t="shared" si="282"/>
        <v>26.5</v>
      </c>
      <c r="E527" s="74">
        <f t="shared" si="283"/>
        <v>25.75</v>
      </c>
      <c r="F527" s="114">
        <v>25</v>
      </c>
      <c r="G527" s="74">
        <f t="shared" si="284"/>
        <v>24.25</v>
      </c>
      <c r="H527" s="74">
        <f t="shared" si="285"/>
        <v>23.5</v>
      </c>
      <c r="I527" s="74">
        <f t="shared" si="286"/>
        <v>22.75</v>
      </c>
      <c r="J527" s="114">
        <f t="shared" si="287"/>
        <v>22</v>
      </c>
      <c r="K527" s="74">
        <f t="shared" si="293"/>
        <v>21.400600000000001</v>
      </c>
      <c r="L527" s="74">
        <f t="shared" si="288"/>
        <v>20.801199999999998</v>
      </c>
      <c r="M527" s="114">
        <f t="shared" si="280"/>
        <v>20.2</v>
      </c>
      <c r="N527" s="115">
        <f t="shared" ref="N527:N538" si="294">SUM(0.2*(R527-M527),M527)</f>
        <v>19.559999999999999</v>
      </c>
      <c r="O527" s="74">
        <f t="shared" ref="O527:O538" si="295">SUM(0.4*(R527-M527),M527)</f>
        <v>18.919999999999998</v>
      </c>
      <c r="P527" s="74">
        <f t="shared" ref="P527:P538" si="296">SUM(0.6*(R527-M527),M527)</f>
        <v>18.28</v>
      </c>
      <c r="Q527" s="74">
        <f t="shared" ref="Q527:Q538" si="297">SUM(0.8*(R527-M527),M527)</f>
        <v>17.64</v>
      </c>
      <c r="R527" s="114">
        <v>17</v>
      </c>
      <c r="S527" s="129"/>
      <c r="T527" s="117">
        <f>SUM((AZ20+BC18+BF16+BI14+BL12+BO10+BP9+BQ8+BR7+BS6+BT5)*-0.132,(BA19+BB19+BD17+BE17+BG15+BH15+BJ13+BK13+BM11+BN11+BU4+BV4)*-0.132/2,17)</f>
        <v>14.96246153846154</v>
      </c>
      <c r="U527" s="117">
        <f>Lefty!T527</f>
        <v>16.991538461538461</v>
      </c>
    </row>
    <row r="528" spans="2:21">
      <c r="B528" s="114">
        <v>29</v>
      </c>
      <c r="C528" s="74">
        <f t="shared" si="281"/>
        <v>28</v>
      </c>
      <c r="D528" s="74">
        <f t="shared" si="282"/>
        <v>27</v>
      </c>
      <c r="E528" s="74">
        <f t="shared" si="283"/>
        <v>26</v>
      </c>
      <c r="F528" s="114">
        <v>25</v>
      </c>
      <c r="G528" s="74">
        <f t="shared" si="284"/>
        <v>24</v>
      </c>
      <c r="H528" s="74">
        <f t="shared" si="285"/>
        <v>23</v>
      </c>
      <c r="I528" s="74">
        <f t="shared" si="286"/>
        <v>22</v>
      </c>
      <c r="J528" s="114">
        <f t="shared" si="287"/>
        <v>21</v>
      </c>
      <c r="K528" s="74">
        <f t="shared" si="293"/>
        <v>20.200800000000001</v>
      </c>
      <c r="L528" s="74">
        <f t="shared" si="288"/>
        <v>19.401600000000002</v>
      </c>
      <c r="M528" s="114">
        <f t="shared" si="280"/>
        <v>18.600000000000001</v>
      </c>
      <c r="N528" s="115">
        <f t="shared" si="294"/>
        <v>18.28</v>
      </c>
      <c r="O528" s="74">
        <f t="shared" si="295"/>
        <v>17.96</v>
      </c>
      <c r="P528" s="74">
        <f t="shared" si="296"/>
        <v>17.64</v>
      </c>
      <c r="Q528" s="74">
        <f t="shared" si="297"/>
        <v>17.32</v>
      </c>
      <c r="R528" s="114">
        <v>17</v>
      </c>
      <c r="S528" s="129"/>
      <c r="T528" s="117">
        <f>SUM((AY19+AZ19+BA18+BB18+BC17+BD17+BE16+BF16+BG15+BH15+BI14+BJ14+BK13+BL13+BM12+BN12+BO11+BP11+BQ10+BR10)*-0.132/2,(AX20+BS9+BT8+BT7+BU6+BU5+BV4)*-0.132,17)</f>
        <v>15.358461538461539</v>
      </c>
      <c r="U528" s="117">
        <f>Lefty!T528</f>
        <v>16.595538461538464</v>
      </c>
    </row>
    <row r="529" spans="2:21">
      <c r="B529" s="114">
        <v>30</v>
      </c>
      <c r="C529" s="74">
        <f t="shared" si="281"/>
        <v>28.75</v>
      </c>
      <c r="D529" s="74">
        <f t="shared" si="282"/>
        <v>27.5</v>
      </c>
      <c r="E529" s="74">
        <f t="shared" si="283"/>
        <v>26.25</v>
      </c>
      <c r="F529" s="114">
        <v>25</v>
      </c>
      <c r="G529" s="74">
        <f t="shared" si="284"/>
        <v>23.75</v>
      </c>
      <c r="H529" s="74">
        <f t="shared" si="285"/>
        <v>22.5</v>
      </c>
      <c r="I529" s="74">
        <f t="shared" si="286"/>
        <v>21.25</v>
      </c>
      <c r="J529" s="114">
        <f t="shared" si="287"/>
        <v>20</v>
      </c>
      <c r="K529" s="74">
        <f t="shared" si="293"/>
        <v>19.001000000000001</v>
      </c>
      <c r="L529" s="74">
        <f t="shared" si="288"/>
        <v>18.001999999999999</v>
      </c>
      <c r="M529" s="114">
        <f t="shared" si="280"/>
        <v>17</v>
      </c>
      <c r="N529" s="115">
        <f t="shared" si="294"/>
        <v>17</v>
      </c>
      <c r="O529" s="74">
        <f t="shared" si="295"/>
        <v>17</v>
      </c>
      <c r="P529" s="74">
        <f t="shared" si="296"/>
        <v>17</v>
      </c>
      <c r="Q529" s="74">
        <f t="shared" si="297"/>
        <v>17</v>
      </c>
      <c r="R529" s="114">
        <v>17</v>
      </c>
      <c r="S529" s="129"/>
      <c r="T529" s="117">
        <f>SUM((AV20+AW20+AX19+AY19+BC17+BD17+BE16+BF16+BJ14+BK14+BO12+BP12+BQ11+BR11+BS10+BT10+BU9+BV9)*-0.132/2,(AZ18+BA18+BB18+BG15+BH15+BI15+BL13+BM13+BN13)*-0.132/3,(BV8+BV7+BV6+BV5+BV4)*-0.132,17)</f>
        <v>15.336461538461538</v>
      </c>
      <c r="U529" s="117">
        <f>Lefty!T529</f>
        <v>16.595538461538464</v>
      </c>
    </row>
    <row r="530" spans="2:21">
      <c r="B530" s="114">
        <v>31</v>
      </c>
      <c r="C530" s="74">
        <f t="shared" si="281"/>
        <v>29.5</v>
      </c>
      <c r="D530" s="74">
        <f t="shared" si="282"/>
        <v>28</v>
      </c>
      <c r="E530" s="74">
        <f t="shared" si="283"/>
        <v>26.5</v>
      </c>
      <c r="F530" s="114">
        <v>25</v>
      </c>
      <c r="G530" s="74">
        <f t="shared" si="284"/>
        <v>23.5</v>
      </c>
      <c r="H530" s="74">
        <f t="shared" si="285"/>
        <v>22</v>
      </c>
      <c r="I530" s="74">
        <f t="shared" si="286"/>
        <v>20.5</v>
      </c>
      <c r="J530" s="114">
        <f t="shared" si="287"/>
        <v>19</v>
      </c>
      <c r="K530" s="74">
        <f t="shared" si="293"/>
        <v>17.801200000000001</v>
      </c>
      <c r="L530" s="74">
        <f t="shared" si="288"/>
        <v>16.602399999999999</v>
      </c>
      <c r="M530" s="114">
        <f t="shared" si="280"/>
        <v>15.4</v>
      </c>
      <c r="N530" s="115">
        <f t="shared" si="294"/>
        <v>15.72</v>
      </c>
      <c r="O530" s="74">
        <f t="shared" si="295"/>
        <v>16.04</v>
      </c>
      <c r="P530" s="74">
        <f t="shared" si="296"/>
        <v>16.36</v>
      </c>
      <c r="Q530" s="74">
        <f t="shared" si="297"/>
        <v>16.68</v>
      </c>
      <c r="R530" s="114">
        <v>17</v>
      </c>
      <c r="S530" s="129"/>
      <c r="T530" s="117">
        <f>SUM((AT20+AU20+AY18+AZ18)*-0.132/2,(AV19+AW19+AX19+BA17+BB17+BC17+BD16+BE16+BF16+BG15+BH15+BI15+BJ14+BK14+BL14+BM13+BN13+BO13+BP12+BQ12+BR12+BS11+BT11+BU11)*-0.132/3,(BV10+BW10+BX9+BY9)*-0.132/2,(BX8+BX7+BW6+BW5+BV4)*-0.132,17)</f>
        <v>15.050461538461537</v>
      </c>
      <c r="U530" s="117">
        <f>Lefty!T530</f>
        <v>16.59553846153846</v>
      </c>
    </row>
    <row r="531" spans="2:21">
      <c r="B531" s="114">
        <v>32</v>
      </c>
      <c r="C531" s="74">
        <f t="shared" si="281"/>
        <v>30.25</v>
      </c>
      <c r="D531" s="74">
        <f t="shared" si="282"/>
        <v>28.5</v>
      </c>
      <c r="E531" s="74">
        <f t="shared" si="283"/>
        <v>26.75</v>
      </c>
      <c r="F531" s="114">
        <v>25</v>
      </c>
      <c r="G531" s="74">
        <f t="shared" si="284"/>
        <v>23.25</v>
      </c>
      <c r="H531" s="74">
        <f t="shared" si="285"/>
        <v>21.5</v>
      </c>
      <c r="I531" s="74">
        <f t="shared" si="286"/>
        <v>19.75</v>
      </c>
      <c r="J531" s="114">
        <f t="shared" si="287"/>
        <v>18</v>
      </c>
      <c r="K531" s="74">
        <f t="shared" si="293"/>
        <v>16.601400000000002</v>
      </c>
      <c r="L531" s="74">
        <f t="shared" si="288"/>
        <v>15.2028</v>
      </c>
      <c r="M531" s="114">
        <f t="shared" si="280"/>
        <v>13.8</v>
      </c>
      <c r="N531" s="115">
        <f t="shared" si="294"/>
        <v>14.440000000000001</v>
      </c>
      <c r="O531" s="74">
        <f t="shared" si="295"/>
        <v>15.08</v>
      </c>
      <c r="P531" s="74">
        <f t="shared" si="296"/>
        <v>15.72</v>
      </c>
      <c r="Q531" s="74">
        <f t="shared" si="297"/>
        <v>16.36</v>
      </c>
      <c r="R531" s="114">
        <v>17</v>
      </c>
      <c r="S531" s="129"/>
      <c r="T531" s="117">
        <f>SUM((AR20+AS20+AT20+AU19+AV19+AW19+AX18+AY18+AZ18+BA17+BB17+BC17+BD16+BE16+BF16+BK14+BL14+BM14+BR12+BS12+BT12+BU11+BV11+BW11+BX10+BY10+BZ10)*-0.132/3,(BG15+BH15+BI15+BJ15+BN13+BO13+BP13+BQ13)*-0.132/4,(CA9+CB9+CA8+BZ8)*-0.132/2,(BY7+BX6+BW5+BV4)*-0.132,17)</f>
        <v>15.281461538461539</v>
      </c>
      <c r="U531" s="117">
        <f>Lefty!T531</f>
        <v>16.397538461538463</v>
      </c>
    </row>
    <row r="532" spans="2:21">
      <c r="B532" s="114">
        <v>33</v>
      </c>
      <c r="C532" s="74">
        <f t="shared" si="281"/>
        <v>31</v>
      </c>
      <c r="D532" s="74">
        <f t="shared" si="282"/>
        <v>29</v>
      </c>
      <c r="E532" s="74">
        <f t="shared" si="283"/>
        <v>27</v>
      </c>
      <c r="F532" s="114">
        <v>25</v>
      </c>
      <c r="G532" s="74">
        <f t="shared" si="284"/>
        <v>23</v>
      </c>
      <c r="H532" s="74">
        <f t="shared" si="285"/>
        <v>21</v>
      </c>
      <c r="I532" s="74">
        <f t="shared" si="286"/>
        <v>19</v>
      </c>
      <c r="J532" s="114">
        <f t="shared" si="287"/>
        <v>17</v>
      </c>
      <c r="K532" s="74">
        <f t="shared" si="293"/>
        <v>15.4016</v>
      </c>
      <c r="L532" s="74">
        <f t="shared" si="288"/>
        <v>13.8032</v>
      </c>
      <c r="M532" s="114">
        <f t="shared" si="280"/>
        <v>12.2</v>
      </c>
      <c r="N532" s="115">
        <f t="shared" si="294"/>
        <v>13.16</v>
      </c>
      <c r="O532" s="74">
        <f t="shared" si="295"/>
        <v>14.12</v>
      </c>
      <c r="P532" s="74">
        <f t="shared" si="296"/>
        <v>15.08</v>
      </c>
      <c r="Q532" s="74">
        <f t="shared" si="297"/>
        <v>16.04</v>
      </c>
      <c r="R532" s="114">
        <v>17</v>
      </c>
      <c r="S532" s="129"/>
      <c r="T532" s="117">
        <f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15.336461538461538</v>
      </c>
      <c r="U532" s="117">
        <f>Lefty!T532</f>
        <v>16.749538461538464</v>
      </c>
    </row>
    <row r="533" spans="2:21">
      <c r="B533" s="114">
        <v>34</v>
      </c>
      <c r="C533" s="74">
        <f t="shared" si="281"/>
        <v>31.75</v>
      </c>
      <c r="D533" s="74">
        <f t="shared" si="282"/>
        <v>29.5</v>
      </c>
      <c r="E533" s="74">
        <f t="shared" si="283"/>
        <v>27.25</v>
      </c>
      <c r="F533" s="114">
        <v>25</v>
      </c>
      <c r="G533" s="74">
        <f t="shared" si="284"/>
        <v>22.75</v>
      </c>
      <c r="H533" s="74">
        <f t="shared" si="285"/>
        <v>20.5</v>
      </c>
      <c r="I533" s="74">
        <f t="shared" si="286"/>
        <v>18.25</v>
      </c>
      <c r="J533" s="114">
        <f t="shared" si="287"/>
        <v>16</v>
      </c>
      <c r="K533" s="74">
        <f t="shared" si="293"/>
        <v>14.2018</v>
      </c>
      <c r="L533" s="74">
        <f t="shared" si="288"/>
        <v>12.403599999999999</v>
      </c>
      <c r="M533" s="114">
        <f t="shared" si="280"/>
        <v>10.6</v>
      </c>
      <c r="N533" s="115">
        <f t="shared" si="294"/>
        <v>11.879999999999999</v>
      </c>
      <c r="O533" s="74">
        <f t="shared" si="295"/>
        <v>13.16</v>
      </c>
      <c r="P533" s="74">
        <f t="shared" si="296"/>
        <v>14.44</v>
      </c>
      <c r="Q533" s="74">
        <f t="shared" si="297"/>
        <v>15.72</v>
      </c>
      <c r="R533" s="114">
        <v>17</v>
      </c>
      <c r="S533" s="129"/>
      <c r="T533" s="117">
        <f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15.514661538461539</v>
      </c>
      <c r="U533" s="117">
        <f>Lefty!T533</f>
        <v>16.417338461538463</v>
      </c>
    </row>
    <row r="534" spans="2:21">
      <c r="B534" s="114">
        <v>35</v>
      </c>
      <c r="C534" s="74">
        <f t="shared" si="281"/>
        <v>32.5</v>
      </c>
      <c r="D534" s="74">
        <f t="shared" si="282"/>
        <v>30</v>
      </c>
      <c r="E534" s="74">
        <f t="shared" si="283"/>
        <v>27.5</v>
      </c>
      <c r="F534" s="114">
        <v>25</v>
      </c>
      <c r="G534" s="74">
        <f t="shared" si="284"/>
        <v>22.5</v>
      </c>
      <c r="H534" s="74">
        <f t="shared" si="285"/>
        <v>20</v>
      </c>
      <c r="I534" s="74">
        <f t="shared" si="286"/>
        <v>17.5</v>
      </c>
      <c r="J534" s="114">
        <f t="shared" si="287"/>
        <v>15</v>
      </c>
      <c r="K534" s="74">
        <f t="shared" si="293"/>
        <v>13.001999999999999</v>
      </c>
      <c r="L534" s="74">
        <f t="shared" si="288"/>
        <v>11.004</v>
      </c>
      <c r="M534" s="114">
        <f t="shared" si="280"/>
        <v>9</v>
      </c>
      <c r="N534" s="115">
        <f t="shared" si="294"/>
        <v>10.6</v>
      </c>
      <c r="O534" s="74">
        <f t="shared" si="295"/>
        <v>12.2</v>
      </c>
      <c r="P534" s="74">
        <f t="shared" si="296"/>
        <v>13.8</v>
      </c>
      <c r="Q534" s="74">
        <f t="shared" si="297"/>
        <v>15.4</v>
      </c>
      <c r="R534" s="114">
        <v>17</v>
      </c>
      <c r="S534" s="129"/>
      <c r="T534" s="117">
        <f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15.763261538461538</v>
      </c>
      <c r="U534" s="117">
        <f>Lefty!T534</f>
        <v>16.507538461538463</v>
      </c>
    </row>
    <row r="535" spans="2:21">
      <c r="B535" s="114">
        <v>36</v>
      </c>
      <c r="C535" s="74">
        <f t="shared" si="281"/>
        <v>33.25</v>
      </c>
      <c r="D535" s="74">
        <f t="shared" si="282"/>
        <v>30.5</v>
      </c>
      <c r="E535" s="74">
        <f t="shared" si="283"/>
        <v>27.75</v>
      </c>
      <c r="F535" s="114">
        <v>25</v>
      </c>
      <c r="G535" s="74">
        <f t="shared" si="284"/>
        <v>22.25</v>
      </c>
      <c r="H535" s="74">
        <f t="shared" si="285"/>
        <v>19.5</v>
      </c>
      <c r="I535" s="74">
        <f t="shared" si="286"/>
        <v>16.75</v>
      </c>
      <c r="J535" s="114">
        <f t="shared" si="287"/>
        <v>14</v>
      </c>
      <c r="K535" s="74">
        <f t="shared" si="293"/>
        <v>11.802199999999999</v>
      </c>
      <c r="L535" s="74">
        <f t="shared" si="288"/>
        <v>9.6044</v>
      </c>
      <c r="M535" s="114">
        <f t="shared" si="280"/>
        <v>7.4</v>
      </c>
      <c r="N535" s="115">
        <f t="shared" si="294"/>
        <v>9.32</v>
      </c>
      <c r="O535" s="74">
        <f t="shared" si="295"/>
        <v>11.24</v>
      </c>
      <c r="P535" s="74">
        <f t="shared" si="296"/>
        <v>13.16</v>
      </c>
      <c r="Q535" s="74">
        <f t="shared" si="297"/>
        <v>15.08</v>
      </c>
      <c r="R535" s="114">
        <v>17</v>
      </c>
      <c r="S535" s="129"/>
      <c r="T535" s="117">
        <f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15.783061538461538</v>
      </c>
      <c r="U535" s="117">
        <f>Lefty!T535</f>
        <v>16.274338461538463</v>
      </c>
    </row>
    <row r="536" spans="2:21">
      <c r="B536" s="114">
        <v>37</v>
      </c>
      <c r="C536" s="74">
        <f t="shared" si="281"/>
        <v>34</v>
      </c>
      <c r="D536" s="74">
        <f t="shared" si="282"/>
        <v>31</v>
      </c>
      <c r="E536" s="74">
        <f t="shared" si="283"/>
        <v>28</v>
      </c>
      <c r="F536" s="114">
        <v>25</v>
      </c>
      <c r="G536" s="74">
        <f t="shared" si="284"/>
        <v>22</v>
      </c>
      <c r="H536" s="74">
        <f t="shared" si="285"/>
        <v>19</v>
      </c>
      <c r="I536" s="74">
        <f t="shared" si="286"/>
        <v>16</v>
      </c>
      <c r="J536" s="114">
        <f t="shared" si="287"/>
        <v>13</v>
      </c>
      <c r="K536" s="74">
        <f t="shared" si="293"/>
        <v>10.602399999999999</v>
      </c>
      <c r="L536" s="74">
        <f t="shared" si="288"/>
        <v>8.2048000000000005</v>
      </c>
      <c r="M536" s="114">
        <f t="shared" si="280"/>
        <v>5.8000000000000007</v>
      </c>
      <c r="N536" s="115">
        <f t="shared" si="294"/>
        <v>8.0400000000000009</v>
      </c>
      <c r="O536" s="74">
        <f t="shared" si="295"/>
        <v>10.280000000000001</v>
      </c>
      <c r="P536" s="74">
        <f t="shared" si="296"/>
        <v>12.52</v>
      </c>
      <c r="Q536" s="74">
        <f t="shared" si="297"/>
        <v>14.76</v>
      </c>
      <c r="R536" s="114">
        <v>17</v>
      </c>
      <c r="S536" s="129"/>
      <c r="T536" s="117">
        <f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15.765461538461539</v>
      </c>
      <c r="U536" s="117">
        <f>Lefty!T536</f>
        <v>16.071938461538462</v>
      </c>
    </row>
    <row r="537" spans="2:21">
      <c r="B537" s="114">
        <v>38</v>
      </c>
      <c r="C537" s="74">
        <f t="shared" si="281"/>
        <v>34.75</v>
      </c>
      <c r="D537" s="74">
        <f t="shared" si="282"/>
        <v>31.5</v>
      </c>
      <c r="E537" s="74">
        <f t="shared" si="283"/>
        <v>28.25</v>
      </c>
      <c r="F537" s="114">
        <v>25</v>
      </c>
      <c r="G537" s="74">
        <f t="shared" si="284"/>
        <v>21.75</v>
      </c>
      <c r="H537" s="74">
        <f t="shared" si="285"/>
        <v>18.5</v>
      </c>
      <c r="I537" s="74">
        <f t="shared" si="286"/>
        <v>15.25</v>
      </c>
      <c r="J537" s="114">
        <f t="shared" si="287"/>
        <v>12</v>
      </c>
      <c r="K537" s="74">
        <f t="shared" si="293"/>
        <v>9.4025999999999996</v>
      </c>
      <c r="L537" s="74">
        <f t="shared" si="288"/>
        <v>6.8052000000000001</v>
      </c>
      <c r="M537" s="114">
        <f t="shared" si="280"/>
        <v>4.2</v>
      </c>
      <c r="N537" s="115">
        <f t="shared" si="294"/>
        <v>6.7600000000000007</v>
      </c>
      <c r="O537" s="74">
        <f t="shared" si="295"/>
        <v>9.32</v>
      </c>
      <c r="P537" s="74">
        <f t="shared" si="296"/>
        <v>11.879999999999999</v>
      </c>
      <c r="Q537" s="74">
        <f t="shared" si="297"/>
        <v>14.440000000000001</v>
      </c>
      <c r="R537" s="114">
        <v>17</v>
      </c>
      <c r="S537" s="129"/>
      <c r="T537" s="126">
        <f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15.90909010989011</v>
      </c>
      <c r="U537" s="126">
        <f>Lefty!T537</f>
        <v>15.69730989010989</v>
      </c>
    </row>
    <row r="538" spans="2:21">
      <c r="B538" s="114">
        <v>39</v>
      </c>
      <c r="C538" s="74">
        <f t="shared" si="281"/>
        <v>35.5</v>
      </c>
      <c r="D538" s="74">
        <f t="shared" si="282"/>
        <v>32</v>
      </c>
      <c r="E538" s="74">
        <f t="shared" si="283"/>
        <v>28.5</v>
      </c>
      <c r="F538" s="114">
        <v>25</v>
      </c>
      <c r="G538" s="74">
        <f t="shared" si="284"/>
        <v>21.5</v>
      </c>
      <c r="H538" s="74">
        <f t="shared" si="285"/>
        <v>18</v>
      </c>
      <c r="I538" s="74">
        <f t="shared" si="286"/>
        <v>14.5</v>
      </c>
      <c r="J538" s="114">
        <f t="shared" si="287"/>
        <v>11</v>
      </c>
      <c r="K538" s="74">
        <f t="shared" si="293"/>
        <v>8.2027999999999999</v>
      </c>
      <c r="L538" s="74">
        <f t="shared" si="288"/>
        <v>5.4056000000000006</v>
      </c>
      <c r="M538" s="114">
        <f t="shared" si="280"/>
        <v>2.6000000000000005</v>
      </c>
      <c r="N538" s="115">
        <f t="shared" si="294"/>
        <v>5.48</v>
      </c>
      <c r="O538" s="74">
        <f t="shared" si="295"/>
        <v>8.36</v>
      </c>
      <c r="P538" s="74">
        <f t="shared" si="296"/>
        <v>11.239999999999998</v>
      </c>
      <c r="Q538" s="74">
        <f t="shared" si="297"/>
        <v>14.120000000000001</v>
      </c>
      <c r="R538" s="114">
        <v>17</v>
      </c>
      <c r="S538" s="129"/>
      <c r="T538" s="131">
        <f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16.015318681318682</v>
      </c>
      <c r="U538" s="131">
        <f>Lefty!T538</f>
        <v>15.560281318681319</v>
      </c>
    </row>
    <row r="539" spans="2:21">
      <c r="B539" s="114"/>
      <c r="C539" s="74"/>
      <c r="D539" s="74"/>
      <c r="E539" s="74"/>
      <c r="F539" s="114"/>
      <c r="G539" s="74"/>
      <c r="H539" s="74"/>
      <c r="I539" s="74"/>
      <c r="J539" s="114"/>
      <c r="K539" s="74"/>
      <c r="L539" s="74"/>
      <c r="M539" s="114"/>
      <c r="N539" s="115"/>
      <c r="O539" s="74"/>
      <c r="P539" s="74"/>
      <c r="Q539" s="74"/>
      <c r="R539" s="114"/>
      <c r="S539" s="129"/>
    </row>
    <row r="540" spans="2:21">
      <c r="B540" s="114">
        <v>29</v>
      </c>
      <c r="C540" s="74">
        <f t="shared" si="281"/>
        <v>28.25</v>
      </c>
      <c r="D540" s="74">
        <f t="shared" si="282"/>
        <v>27.5</v>
      </c>
      <c r="E540" s="74">
        <f t="shared" si="283"/>
        <v>26.75</v>
      </c>
      <c r="F540" s="114">
        <v>26</v>
      </c>
      <c r="G540" s="74">
        <f t="shared" si="284"/>
        <v>25.25</v>
      </c>
      <c r="H540" s="74">
        <f t="shared" si="285"/>
        <v>24.5</v>
      </c>
      <c r="I540" s="74">
        <f t="shared" si="286"/>
        <v>23.75</v>
      </c>
      <c r="J540" s="114">
        <f t="shared" si="287"/>
        <v>23</v>
      </c>
      <c r="K540" s="74">
        <f t="shared" si="293"/>
        <v>22.25075</v>
      </c>
      <c r="L540" s="74">
        <f t="shared" si="288"/>
        <v>21.5015</v>
      </c>
      <c r="M540" s="114">
        <f>SUM(J540,J540-G540)</f>
        <v>20.75</v>
      </c>
      <c r="N540" s="115">
        <f t="shared" ref="N540:N550" si="298">SUM(0.2*(R540-M540),M540)</f>
        <v>20</v>
      </c>
      <c r="O540" s="74">
        <f t="shared" ref="O540:O550" si="299">SUM(0.4*(R540-M540),M540)</f>
        <v>19.25</v>
      </c>
      <c r="P540" s="74">
        <f t="shared" ref="P540:P550" si="300">SUM(0.6*(R540-M540),M540)</f>
        <v>18.5</v>
      </c>
      <c r="Q540" s="74">
        <f t="shared" ref="Q540:Q550" si="301">SUM(0.8*(R540-M540),M540)</f>
        <v>17.75</v>
      </c>
      <c r="R540" s="114">
        <v>17</v>
      </c>
      <c r="S540" s="129"/>
      <c r="T540" s="117">
        <f>SUM((AX20+BA18+BD16+BG14+BJ12+BM10+BN9+BO8+BP7)*-0.132,(AY19+AZ19+BB17+BC17+BE15+BF15+BH13+BI13+BK11+BL11+BQ6+BR6+BS5+BT5+BU4+BV4)*-0.132/2,17)</f>
        <v>15.358461538461539</v>
      </c>
      <c r="U540" s="117">
        <f>Lefty!T540</f>
        <v>16.859538461538463</v>
      </c>
    </row>
    <row r="541" spans="2:21">
      <c r="B541" s="114">
        <v>30</v>
      </c>
      <c r="C541" s="74">
        <f t="shared" si="281"/>
        <v>29</v>
      </c>
      <c r="D541" s="74">
        <f t="shared" si="282"/>
        <v>28</v>
      </c>
      <c r="E541" s="74">
        <f t="shared" si="283"/>
        <v>27</v>
      </c>
      <c r="F541" s="114">
        <v>26</v>
      </c>
      <c r="G541" s="74">
        <f t="shared" si="284"/>
        <v>25</v>
      </c>
      <c r="H541" s="74">
        <f t="shared" si="285"/>
        <v>24</v>
      </c>
      <c r="I541" s="74">
        <f t="shared" si="286"/>
        <v>23</v>
      </c>
      <c r="J541" s="114">
        <f t="shared" si="287"/>
        <v>22</v>
      </c>
      <c r="K541" s="74">
        <f t="shared" si="293"/>
        <v>21.200800000000001</v>
      </c>
      <c r="L541" s="74">
        <f t="shared" si="288"/>
        <v>20.401600000000002</v>
      </c>
      <c r="M541" s="114">
        <f t="shared" ref="M541:M569" si="302">SUM(J541,-F541,J541,0.4*ABS(J541-F541))</f>
        <v>19.600000000000001</v>
      </c>
      <c r="N541" s="115">
        <f t="shared" si="298"/>
        <v>19.080000000000002</v>
      </c>
      <c r="O541" s="74">
        <f t="shared" si="299"/>
        <v>18.560000000000002</v>
      </c>
      <c r="P541" s="74">
        <f t="shared" si="300"/>
        <v>18.04</v>
      </c>
      <c r="Q541" s="74">
        <f t="shared" si="301"/>
        <v>17.52</v>
      </c>
      <c r="R541" s="114">
        <v>17</v>
      </c>
      <c r="S541" s="129"/>
      <c r="T541" s="117">
        <f>SUM((AW19+AX19+AY18+AZ18+BA17+BB17+BC16+BD16+BE15+BF15+BG14+BH14+BI13+BJ13+BK12+BL12)*-0.132/2,(AV20+BM11+BN10+BO9+BN8+BM7+BL6+BK5+BJ4)*-0.132,17)</f>
        <v>15.424461538461538</v>
      </c>
      <c r="U541" s="117">
        <f>Lefty!T541</f>
        <v>17.057538461538464</v>
      </c>
    </row>
    <row r="542" spans="2:21">
      <c r="B542" s="114">
        <v>31</v>
      </c>
      <c r="C542" s="74">
        <f t="shared" si="281"/>
        <v>29.75</v>
      </c>
      <c r="D542" s="74">
        <f t="shared" si="282"/>
        <v>28.5</v>
      </c>
      <c r="E542" s="74">
        <f t="shared" si="283"/>
        <v>27.25</v>
      </c>
      <c r="F542" s="114">
        <v>26</v>
      </c>
      <c r="G542" s="74">
        <f t="shared" si="284"/>
        <v>24.75</v>
      </c>
      <c r="H542" s="74">
        <f t="shared" si="285"/>
        <v>23.5</v>
      </c>
      <c r="I542" s="74">
        <f t="shared" si="286"/>
        <v>22.25</v>
      </c>
      <c r="J542" s="114">
        <f t="shared" si="287"/>
        <v>21</v>
      </c>
      <c r="K542" s="74">
        <f t="shared" si="293"/>
        <v>20.001000000000001</v>
      </c>
      <c r="L542" s="74">
        <f t="shared" si="288"/>
        <v>19.001999999999999</v>
      </c>
      <c r="M542" s="114">
        <f t="shared" si="302"/>
        <v>18</v>
      </c>
      <c r="N542" s="115">
        <f t="shared" si="298"/>
        <v>17.8</v>
      </c>
      <c r="O542" s="74">
        <f t="shared" si="299"/>
        <v>17.600000000000001</v>
      </c>
      <c r="P542" s="74">
        <f t="shared" si="300"/>
        <v>17.399999999999999</v>
      </c>
      <c r="Q542" s="74">
        <f t="shared" si="301"/>
        <v>17.2</v>
      </c>
      <c r="R542" s="114">
        <v>17</v>
      </c>
      <c r="S542" s="129"/>
      <c r="T542" s="117">
        <f>SUM((AT20+AU20+AV19+AW19+BA17+BB17+BC16+BD16+BH14+BI14+BM12+BN12+BO11+BP11+BQ10+BR10+BS9+BT9)*-0.132/2,(AX18+AY18+AZ18+BE15+BF15+BG15+BJ13+BK13+BL13)*-0.132/3,(BU8+BU7+BV6+BV5+BV4)*-0.132,17)</f>
        <v>14.896461538461537</v>
      </c>
      <c r="U542" s="117">
        <f>Lefty!T542</f>
        <v>16.749538461538464</v>
      </c>
    </row>
    <row r="543" spans="2:21">
      <c r="B543" s="114">
        <v>32</v>
      </c>
      <c r="C543" s="74">
        <f t="shared" si="281"/>
        <v>30.5</v>
      </c>
      <c r="D543" s="74">
        <f t="shared" si="282"/>
        <v>29</v>
      </c>
      <c r="E543" s="74">
        <f t="shared" si="283"/>
        <v>27.5</v>
      </c>
      <c r="F543" s="114">
        <v>26</v>
      </c>
      <c r="G543" s="74">
        <f t="shared" si="284"/>
        <v>24.5</v>
      </c>
      <c r="H543" s="74">
        <f t="shared" si="285"/>
        <v>23</v>
      </c>
      <c r="I543" s="74">
        <f t="shared" si="286"/>
        <v>21.5</v>
      </c>
      <c r="J543" s="114">
        <f t="shared" si="287"/>
        <v>20</v>
      </c>
      <c r="K543" s="74">
        <f t="shared" si="293"/>
        <v>18.801199999999998</v>
      </c>
      <c r="L543" s="74">
        <f t="shared" si="288"/>
        <v>17.602399999999999</v>
      </c>
      <c r="M543" s="114">
        <f t="shared" si="302"/>
        <v>16.399999999999999</v>
      </c>
      <c r="N543" s="115">
        <f t="shared" si="298"/>
        <v>16.52</v>
      </c>
      <c r="O543" s="74">
        <f t="shared" si="299"/>
        <v>16.64</v>
      </c>
      <c r="P543" s="74">
        <f t="shared" si="300"/>
        <v>16.759999999999998</v>
      </c>
      <c r="Q543" s="74">
        <f t="shared" si="301"/>
        <v>16.88</v>
      </c>
      <c r="R543" s="114">
        <v>17</v>
      </c>
      <c r="S543" s="129"/>
      <c r="T543" s="117">
        <f>SUM((AR20+AS20+AW18+AX18)*-0.132/2,(AT19+AU19+AV19+AY17+AZ17+BA17+BB16+BC16+BD16+BE15+BF15+BG15+BH14+BI14+BJ14+BK13+BL13+BM13+BN12+BO12+BP12+BQ11+BR11+BS11)*-0.132/3,(BT10+BU10+BV9+BW9)*-0.132/2,(BW8+BW7+BV6+BV5+BV4)*-0.132,17)</f>
        <v>15.248461538461537</v>
      </c>
      <c r="U543" s="117">
        <f>Lefty!T543</f>
        <v>16.375538461538461</v>
      </c>
    </row>
    <row r="544" spans="2:21">
      <c r="B544" s="114">
        <v>33</v>
      </c>
      <c r="C544" s="74">
        <f t="shared" si="281"/>
        <v>31.25</v>
      </c>
      <c r="D544" s="74">
        <f t="shared" si="282"/>
        <v>29.5</v>
      </c>
      <c r="E544" s="74">
        <f t="shared" si="283"/>
        <v>27.75</v>
      </c>
      <c r="F544" s="114">
        <v>26</v>
      </c>
      <c r="G544" s="74">
        <f t="shared" si="284"/>
        <v>24.25</v>
      </c>
      <c r="H544" s="74">
        <f t="shared" si="285"/>
        <v>22.5</v>
      </c>
      <c r="I544" s="74">
        <f t="shared" si="286"/>
        <v>20.75</v>
      </c>
      <c r="J544" s="114">
        <f t="shared" si="287"/>
        <v>19</v>
      </c>
      <c r="K544" s="74">
        <f t="shared" si="293"/>
        <v>17.601400000000002</v>
      </c>
      <c r="L544" s="74">
        <f t="shared" si="288"/>
        <v>16.2028</v>
      </c>
      <c r="M544" s="114">
        <f t="shared" si="302"/>
        <v>14.8</v>
      </c>
      <c r="N544" s="115">
        <f t="shared" si="298"/>
        <v>15.24</v>
      </c>
      <c r="O544" s="74">
        <f t="shared" si="299"/>
        <v>15.68</v>
      </c>
      <c r="P544" s="74">
        <f t="shared" si="300"/>
        <v>16.12</v>
      </c>
      <c r="Q544" s="74">
        <f t="shared" si="301"/>
        <v>16.559999999999999</v>
      </c>
      <c r="R544" s="114">
        <v>17</v>
      </c>
      <c r="S544" s="129"/>
      <c r="T544" s="117">
        <f>SUM((AP20+AQ20+AR20+AS19+AT19+AU19+AV18+AW18+AX18+AY17+AZ17+BA17+BB16+BC16+BD16+BI14+BJ14+BK14+BP12+BQ12+BR12+BS11+BT11+BU11+BV10+BW10+BX10)*-0.132/3,(BE15+BF15+BG15+BH15+BL13+BM13+BN13+BO13)*-0.132/4,(BY9+BZ9)*-0.132/2,(BY8+BX7+BW6+BV5+BV4)*-0.132,17)</f>
        <v>15.292461538461538</v>
      </c>
      <c r="U544" s="117">
        <f>Lefty!T544</f>
        <v>16.639538461538461</v>
      </c>
    </row>
    <row r="545" spans="2:21">
      <c r="B545" s="114">
        <v>34</v>
      </c>
      <c r="C545" s="74">
        <f t="shared" si="281"/>
        <v>32</v>
      </c>
      <c r="D545" s="74">
        <f t="shared" si="282"/>
        <v>30</v>
      </c>
      <c r="E545" s="74">
        <f t="shared" si="283"/>
        <v>28</v>
      </c>
      <c r="F545" s="114">
        <v>26</v>
      </c>
      <c r="G545" s="74">
        <f t="shared" si="284"/>
        <v>24</v>
      </c>
      <c r="H545" s="74">
        <f t="shared" si="285"/>
        <v>22</v>
      </c>
      <c r="I545" s="74">
        <f t="shared" si="286"/>
        <v>20</v>
      </c>
      <c r="J545" s="114">
        <f t="shared" si="287"/>
        <v>18</v>
      </c>
      <c r="K545" s="74">
        <f t="shared" si="293"/>
        <v>16.401599999999998</v>
      </c>
      <c r="L545" s="74">
        <f t="shared" si="288"/>
        <v>14.8032</v>
      </c>
      <c r="M545" s="114">
        <f t="shared" si="302"/>
        <v>13.2</v>
      </c>
      <c r="N545" s="115">
        <f t="shared" si="298"/>
        <v>13.959999999999999</v>
      </c>
      <c r="O545" s="74">
        <f t="shared" si="299"/>
        <v>14.719999999999999</v>
      </c>
      <c r="P545" s="74">
        <f t="shared" si="300"/>
        <v>15.48</v>
      </c>
      <c r="Q545" s="74">
        <f t="shared" si="301"/>
        <v>16.240000000000002</v>
      </c>
      <c r="R545" s="114">
        <v>17</v>
      </c>
      <c r="S545" s="129"/>
      <c r="T545" s="117">
        <f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15.512461538461539</v>
      </c>
      <c r="U545" s="117">
        <f>Lefty!T545</f>
        <v>16.353538461538463</v>
      </c>
    </row>
    <row r="546" spans="2:21">
      <c r="B546" s="114">
        <v>35</v>
      </c>
      <c r="C546" s="74">
        <f t="shared" si="281"/>
        <v>32.75</v>
      </c>
      <c r="D546" s="74">
        <f t="shared" si="282"/>
        <v>30.5</v>
      </c>
      <c r="E546" s="74">
        <f t="shared" si="283"/>
        <v>28.25</v>
      </c>
      <c r="F546" s="114">
        <v>26</v>
      </c>
      <c r="G546" s="74">
        <f t="shared" si="284"/>
        <v>23.75</v>
      </c>
      <c r="H546" s="74">
        <f t="shared" si="285"/>
        <v>21.5</v>
      </c>
      <c r="I546" s="74">
        <f t="shared" si="286"/>
        <v>19.25</v>
      </c>
      <c r="J546" s="114">
        <f t="shared" si="287"/>
        <v>17</v>
      </c>
      <c r="K546" s="74">
        <f t="shared" si="293"/>
        <v>15.2018</v>
      </c>
      <c r="L546" s="74">
        <f t="shared" si="288"/>
        <v>13.403599999999999</v>
      </c>
      <c r="M546" s="114">
        <f t="shared" si="302"/>
        <v>11.6</v>
      </c>
      <c r="N546" s="115">
        <f t="shared" si="298"/>
        <v>12.68</v>
      </c>
      <c r="O546" s="74">
        <f t="shared" si="299"/>
        <v>13.76</v>
      </c>
      <c r="P546" s="74">
        <f t="shared" si="300"/>
        <v>14.84</v>
      </c>
      <c r="Q546" s="74">
        <f t="shared" si="301"/>
        <v>15.92</v>
      </c>
      <c r="R546" s="114">
        <v>17</v>
      </c>
      <c r="S546" s="129"/>
      <c r="T546" s="117">
        <f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15.827061538461539</v>
      </c>
      <c r="U546" s="117">
        <f>Lefty!T546</f>
        <v>16.173138461538461</v>
      </c>
    </row>
    <row r="547" spans="2:21">
      <c r="B547" s="114">
        <v>36</v>
      </c>
      <c r="C547" s="74">
        <f t="shared" si="281"/>
        <v>33.5</v>
      </c>
      <c r="D547" s="74">
        <f t="shared" si="282"/>
        <v>31</v>
      </c>
      <c r="E547" s="74">
        <f t="shared" si="283"/>
        <v>28.5</v>
      </c>
      <c r="F547" s="114">
        <v>26</v>
      </c>
      <c r="G547" s="74">
        <f t="shared" si="284"/>
        <v>23.5</v>
      </c>
      <c r="H547" s="74">
        <f t="shared" si="285"/>
        <v>21</v>
      </c>
      <c r="I547" s="74">
        <f t="shared" si="286"/>
        <v>18.5</v>
      </c>
      <c r="J547" s="114">
        <f t="shared" si="287"/>
        <v>16</v>
      </c>
      <c r="K547" s="74">
        <f t="shared" si="293"/>
        <v>14.001999999999999</v>
      </c>
      <c r="L547" s="74">
        <f t="shared" si="288"/>
        <v>12.004</v>
      </c>
      <c r="M547" s="114">
        <f t="shared" si="302"/>
        <v>10</v>
      </c>
      <c r="N547" s="115">
        <f t="shared" si="298"/>
        <v>11.4</v>
      </c>
      <c r="O547" s="74">
        <f t="shared" si="299"/>
        <v>12.8</v>
      </c>
      <c r="P547" s="74">
        <f t="shared" si="300"/>
        <v>14.2</v>
      </c>
      <c r="Q547" s="74">
        <f t="shared" si="301"/>
        <v>15.600000000000001</v>
      </c>
      <c r="R547" s="114">
        <v>17</v>
      </c>
      <c r="S547" s="129"/>
      <c r="T547" s="117">
        <f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15.906261538461539</v>
      </c>
      <c r="U547" s="117">
        <f>Lefty!T547</f>
        <v>15.990538461538462</v>
      </c>
    </row>
    <row r="548" spans="2:21">
      <c r="B548" s="114">
        <v>37</v>
      </c>
      <c r="C548" s="74">
        <f t="shared" si="281"/>
        <v>34.25</v>
      </c>
      <c r="D548" s="74">
        <f t="shared" si="282"/>
        <v>31.5</v>
      </c>
      <c r="E548" s="74">
        <f t="shared" si="283"/>
        <v>28.75</v>
      </c>
      <c r="F548" s="114">
        <v>26</v>
      </c>
      <c r="G548" s="74">
        <f t="shared" si="284"/>
        <v>23.25</v>
      </c>
      <c r="H548" s="74">
        <f t="shared" si="285"/>
        <v>20.5</v>
      </c>
      <c r="I548" s="74">
        <f t="shared" si="286"/>
        <v>17.75</v>
      </c>
      <c r="J548" s="114">
        <f t="shared" si="287"/>
        <v>15</v>
      </c>
      <c r="K548" s="74">
        <f t="shared" si="293"/>
        <v>12.802199999999999</v>
      </c>
      <c r="L548" s="74">
        <f t="shared" si="288"/>
        <v>10.6044</v>
      </c>
      <c r="M548" s="114">
        <f t="shared" si="302"/>
        <v>8.4</v>
      </c>
      <c r="N548" s="115">
        <f t="shared" si="298"/>
        <v>10.120000000000001</v>
      </c>
      <c r="O548" s="74">
        <f t="shared" si="299"/>
        <v>11.84</v>
      </c>
      <c r="P548" s="74">
        <f t="shared" si="300"/>
        <v>13.559999999999999</v>
      </c>
      <c r="Q548" s="74">
        <f t="shared" si="301"/>
        <v>15.280000000000001</v>
      </c>
      <c r="R548" s="114">
        <v>17</v>
      </c>
      <c r="S548" s="129"/>
      <c r="T548" s="117">
        <f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16.192261538461537</v>
      </c>
      <c r="U548" s="117">
        <f>Lefty!T548</f>
        <v>16.003738461538461</v>
      </c>
    </row>
    <row r="549" spans="2:21">
      <c r="B549" s="114">
        <v>38</v>
      </c>
      <c r="C549" s="74">
        <f t="shared" si="281"/>
        <v>35</v>
      </c>
      <c r="D549" s="74">
        <f t="shared" si="282"/>
        <v>32</v>
      </c>
      <c r="E549" s="74">
        <f t="shared" si="283"/>
        <v>29</v>
      </c>
      <c r="F549" s="114">
        <v>26</v>
      </c>
      <c r="G549" s="74">
        <f t="shared" si="284"/>
        <v>23</v>
      </c>
      <c r="H549" s="74">
        <f t="shared" si="285"/>
        <v>20</v>
      </c>
      <c r="I549" s="74">
        <f t="shared" si="286"/>
        <v>17</v>
      </c>
      <c r="J549" s="114">
        <f t="shared" si="287"/>
        <v>14</v>
      </c>
      <c r="K549" s="74">
        <f t="shared" si="293"/>
        <v>11.602399999999999</v>
      </c>
      <c r="L549" s="74">
        <f t="shared" si="288"/>
        <v>9.2048000000000005</v>
      </c>
      <c r="M549" s="114">
        <f t="shared" si="302"/>
        <v>6.8000000000000007</v>
      </c>
      <c r="N549" s="115">
        <f t="shared" si="298"/>
        <v>8.84</v>
      </c>
      <c r="O549" s="74">
        <f t="shared" si="299"/>
        <v>10.88</v>
      </c>
      <c r="P549" s="74">
        <f t="shared" si="300"/>
        <v>12.92</v>
      </c>
      <c r="Q549" s="74">
        <f t="shared" si="301"/>
        <v>14.96</v>
      </c>
      <c r="R549" s="114">
        <v>17</v>
      </c>
      <c r="S549" s="129"/>
      <c r="T549" s="117">
        <f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15.996461538461539</v>
      </c>
      <c r="U549" s="117">
        <f>Lefty!T549</f>
        <v>15.876138461538462</v>
      </c>
    </row>
    <row r="550" spans="2:21">
      <c r="B550" s="114">
        <v>39</v>
      </c>
      <c r="C550" s="74">
        <f t="shared" si="281"/>
        <v>35.75</v>
      </c>
      <c r="D550" s="74">
        <f t="shared" si="282"/>
        <v>32.5</v>
      </c>
      <c r="E550" s="74">
        <f t="shared" si="283"/>
        <v>29.25</v>
      </c>
      <c r="F550" s="114">
        <v>26</v>
      </c>
      <c r="G550" s="74">
        <f t="shared" si="284"/>
        <v>22.75</v>
      </c>
      <c r="H550" s="74">
        <f t="shared" si="285"/>
        <v>19.5</v>
      </c>
      <c r="I550" s="74">
        <f t="shared" si="286"/>
        <v>16.25</v>
      </c>
      <c r="J550" s="114">
        <f t="shared" si="287"/>
        <v>13</v>
      </c>
      <c r="K550" s="74">
        <f t="shared" si="293"/>
        <v>10.4026</v>
      </c>
      <c r="L550" s="74">
        <f t="shared" si="288"/>
        <v>7.8052000000000001</v>
      </c>
      <c r="M550" s="114">
        <f t="shared" si="302"/>
        <v>5.2</v>
      </c>
      <c r="N550" s="115">
        <f t="shared" si="298"/>
        <v>7.5600000000000005</v>
      </c>
      <c r="O550" s="74">
        <f t="shared" si="299"/>
        <v>9.9200000000000017</v>
      </c>
      <c r="P550" s="74">
        <f t="shared" si="300"/>
        <v>12.280000000000001</v>
      </c>
      <c r="Q550" s="74">
        <f t="shared" si="301"/>
        <v>14.64</v>
      </c>
      <c r="R550" s="114">
        <v>17</v>
      </c>
      <c r="S550" s="129"/>
      <c r="T550" s="117">
        <f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15.989547252747252</v>
      </c>
      <c r="U550" s="117">
        <f>Lefty!T550</f>
        <v>15.752624175824177</v>
      </c>
    </row>
    <row r="551" spans="2:21">
      <c r="B551" s="114"/>
      <c r="C551" s="74"/>
      <c r="D551" s="74"/>
      <c r="E551" s="74"/>
      <c r="F551" s="114"/>
      <c r="G551" s="74"/>
      <c r="H551" s="74"/>
      <c r="I551" s="74"/>
      <c r="J551" s="114"/>
      <c r="K551" s="74"/>
      <c r="L551" s="74"/>
      <c r="M551" s="114"/>
      <c r="N551" s="115"/>
      <c r="O551" s="74"/>
      <c r="P551" s="74"/>
      <c r="Q551" s="74"/>
      <c r="R551" s="114"/>
      <c r="S551" s="129"/>
    </row>
    <row r="552" spans="2:21">
      <c r="B552" s="114">
        <v>31</v>
      </c>
      <c r="C552" s="74">
        <f t="shared" si="281"/>
        <v>30</v>
      </c>
      <c r="D552" s="74">
        <f t="shared" si="282"/>
        <v>29</v>
      </c>
      <c r="E552" s="74">
        <f t="shared" si="283"/>
        <v>28</v>
      </c>
      <c r="F552" s="114">
        <v>27</v>
      </c>
      <c r="G552" s="74">
        <f t="shared" si="284"/>
        <v>26</v>
      </c>
      <c r="H552" s="74">
        <f t="shared" si="285"/>
        <v>25</v>
      </c>
      <c r="I552" s="74">
        <f t="shared" si="286"/>
        <v>24</v>
      </c>
      <c r="J552" s="114">
        <f t="shared" si="287"/>
        <v>23</v>
      </c>
      <c r="K552" s="74">
        <f t="shared" si="293"/>
        <v>22.200800000000001</v>
      </c>
      <c r="L552" s="74">
        <f t="shared" si="288"/>
        <v>21.401600000000002</v>
      </c>
      <c r="M552" s="114">
        <f t="shared" si="302"/>
        <v>20.6</v>
      </c>
      <c r="N552" s="115">
        <f t="shared" ref="N552:N560" si="303">SUM(0.2*(R552-M552),M552)</f>
        <v>19.880000000000003</v>
      </c>
      <c r="O552" s="74">
        <f t="shared" ref="O552:O560" si="304">SUM(0.4*(R552-M552),M552)</f>
        <v>19.16</v>
      </c>
      <c r="P552" s="74">
        <f t="shared" ref="P552:P560" si="305">SUM(0.6*(R552-M552),M552)</f>
        <v>18.440000000000001</v>
      </c>
      <c r="Q552" s="74">
        <f t="shared" ref="Q552:Q560" si="306">SUM(0.8*(R552-M552),M552)</f>
        <v>17.72</v>
      </c>
      <c r="R552" s="114">
        <v>17</v>
      </c>
      <c r="S552" s="129"/>
      <c r="T552" s="117">
        <f>SUM((AU19+AV19+AW18+AX18+AY17+AZ17+BA16+BB16+BC15+BD15+BE14+BF14+BG13+BH13+BI12+BJ12+BK11+BL11+BM10+BN10+BS5+BT5+BU4+BV4)*-0.132/2,(AT20+BO9+BP8+BQ7+BR6)*-0.132,17)</f>
        <v>15.160461538461538</v>
      </c>
      <c r="U552" s="117">
        <f>Lefty!T552</f>
        <v>16.529538461538461</v>
      </c>
    </row>
    <row r="553" spans="2:21">
      <c r="B553" s="114">
        <v>32</v>
      </c>
      <c r="C553" s="74">
        <f t="shared" si="281"/>
        <v>30.75</v>
      </c>
      <c r="D553" s="74">
        <f t="shared" si="282"/>
        <v>29.5</v>
      </c>
      <c r="E553" s="74">
        <f t="shared" si="283"/>
        <v>28.25</v>
      </c>
      <c r="F553" s="114">
        <v>27</v>
      </c>
      <c r="G553" s="74">
        <f t="shared" si="284"/>
        <v>25.75</v>
      </c>
      <c r="H553" s="74">
        <f t="shared" si="285"/>
        <v>24.5</v>
      </c>
      <c r="I553" s="74">
        <f t="shared" si="286"/>
        <v>23.25</v>
      </c>
      <c r="J553" s="114">
        <f t="shared" si="287"/>
        <v>22</v>
      </c>
      <c r="K553" s="74">
        <f t="shared" si="293"/>
        <v>21.001000000000001</v>
      </c>
      <c r="L553" s="74">
        <f t="shared" si="288"/>
        <v>20.001999999999999</v>
      </c>
      <c r="M553" s="114">
        <f t="shared" si="302"/>
        <v>19</v>
      </c>
      <c r="N553" s="115">
        <f t="shared" si="303"/>
        <v>18.600000000000001</v>
      </c>
      <c r="O553" s="74">
        <f t="shared" si="304"/>
        <v>18.2</v>
      </c>
      <c r="P553" s="74">
        <f t="shared" si="305"/>
        <v>17.8</v>
      </c>
      <c r="Q553" s="74">
        <f t="shared" si="306"/>
        <v>17.399999999999999</v>
      </c>
      <c r="R553" s="114">
        <v>17</v>
      </c>
      <c r="S553" s="129"/>
      <c r="T553" s="117">
        <f>SUM((AR20+AS20+AT19+AU19+AY17+AZ17+BA16+BB16+BF14+BG14+BK12+BL12+BM11+BN11+BO10+BP10+BQ9+BR9)*-0.132/2,(AV18+AW18+AX18+BC15+BD15+BE15+BH13+BI13+BJ13)*-0.132/3,(BS8+BS7+BT6+BU5+BV4)*-0.132,17)</f>
        <v>15.468461538461538</v>
      </c>
      <c r="U553" s="117">
        <f>Lefty!T553</f>
        <v>16.419538461538462</v>
      </c>
    </row>
    <row r="554" spans="2:21">
      <c r="B554" s="114">
        <v>33</v>
      </c>
      <c r="C554" s="74">
        <f t="shared" si="281"/>
        <v>31.5</v>
      </c>
      <c r="D554" s="74">
        <f t="shared" si="282"/>
        <v>30</v>
      </c>
      <c r="E554" s="74">
        <f t="shared" si="283"/>
        <v>28.5</v>
      </c>
      <c r="F554" s="114">
        <v>27</v>
      </c>
      <c r="G554" s="74">
        <f t="shared" si="284"/>
        <v>25.5</v>
      </c>
      <c r="H554" s="74">
        <f t="shared" si="285"/>
        <v>24</v>
      </c>
      <c r="I554" s="74">
        <f t="shared" si="286"/>
        <v>22.5</v>
      </c>
      <c r="J554" s="114">
        <f t="shared" si="287"/>
        <v>21</v>
      </c>
      <c r="K554" s="74">
        <f t="shared" si="293"/>
        <v>19.801199999999998</v>
      </c>
      <c r="L554" s="74">
        <f t="shared" si="288"/>
        <v>18.602399999999999</v>
      </c>
      <c r="M554" s="114">
        <f t="shared" si="302"/>
        <v>17.399999999999999</v>
      </c>
      <c r="N554" s="115">
        <f t="shared" si="303"/>
        <v>17.32</v>
      </c>
      <c r="O554" s="74">
        <f t="shared" si="304"/>
        <v>17.239999999999998</v>
      </c>
      <c r="P554" s="74">
        <f t="shared" si="305"/>
        <v>17.16</v>
      </c>
      <c r="Q554" s="74">
        <f t="shared" si="306"/>
        <v>17.079999999999998</v>
      </c>
      <c r="R554" s="114">
        <v>17</v>
      </c>
      <c r="S554" s="129"/>
      <c r="T554" s="117">
        <f>SUM((AP20+AQ20+AU18+AV18)*-0.132/2,(AR19+AS19+AT19+AW17+AX17+AY17+AZ16+BA16+BB16+BC15+BD15+BE15+BF14+BG14+BH14+BI13+BJ13+BK13+BL12+BM12+BN12+BO11+BP11+BQ11)*-0.132/3,(BR10+BS10+BT9+BU9)*-0.132/2,(BU8+BU7+BV6+BV5+BV4)*-0.132,17)</f>
        <v>15.204461538461539</v>
      </c>
      <c r="U554" s="117">
        <f>Lefty!T554</f>
        <v>16.485538461538461</v>
      </c>
    </row>
    <row r="555" spans="2:21">
      <c r="B555" s="114">
        <v>34</v>
      </c>
      <c r="C555" s="74">
        <f t="shared" si="281"/>
        <v>32.25</v>
      </c>
      <c r="D555" s="74">
        <f t="shared" si="282"/>
        <v>30.5</v>
      </c>
      <c r="E555" s="74">
        <f t="shared" si="283"/>
        <v>28.75</v>
      </c>
      <c r="F555" s="114">
        <v>27</v>
      </c>
      <c r="G555" s="74">
        <f t="shared" si="284"/>
        <v>25.25</v>
      </c>
      <c r="H555" s="74">
        <f t="shared" si="285"/>
        <v>23.5</v>
      </c>
      <c r="I555" s="74">
        <f t="shared" si="286"/>
        <v>21.75</v>
      </c>
      <c r="J555" s="114">
        <f t="shared" si="287"/>
        <v>20</v>
      </c>
      <c r="K555" s="74">
        <f t="shared" si="293"/>
        <v>18.601400000000002</v>
      </c>
      <c r="L555" s="74">
        <f t="shared" si="288"/>
        <v>17.2028</v>
      </c>
      <c r="M555" s="114">
        <f t="shared" si="302"/>
        <v>15.8</v>
      </c>
      <c r="N555" s="115">
        <f t="shared" si="303"/>
        <v>16.04</v>
      </c>
      <c r="O555" s="74">
        <f t="shared" si="304"/>
        <v>16.28</v>
      </c>
      <c r="P555" s="74">
        <f t="shared" si="305"/>
        <v>16.52</v>
      </c>
      <c r="Q555" s="74">
        <f t="shared" si="306"/>
        <v>16.760000000000002</v>
      </c>
      <c r="R555" s="114">
        <v>17</v>
      </c>
      <c r="S555" s="129"/>
      <c r="T555" s="117">
        <f>SUM((AN20+AO20+AP20+AQ19+AR19+AS19+AT18+AU18+AV18+AW17+AX17+AY17+AZ16+BA16+BB16+BG14+BH14+BI14+BN12+BO12+BP12+BQ11+BR11+BS11+BT10+BU10+BV10)*-0.132/3,(BC15+BD15+BE15+BF15+BJ13+BK13+BL13+BM13)*-0.132/4,(BW9+BX9)*-0.132/2,(BX8+BW7+BW6+BV5+BV4)*-0.132,17)</f>
        <v>15.501461538461538</v>
      </c>
      <c r="U555" s="117">
        <f>Lefty!T555</f>
        <v>15.836538461538462</v>
      </c>
    </row>
    <row r="556" spans="2:21">
      <c r="B556" s="114">
        <v>35</v>
      </c>
      <c r="C556" s="74">
        <f t="shared" si="281"/>
        <v>33</v>
      </c>
      <c r="D556" s="74">
        <f t="shared" si="282"/>
        <v>31</v>
      </c>
      <c r="E556" s="74">
        <f t="shared" si="283"/>
        <v>29</v>
      </c>
      <c r="F556" s="114">
        <v>27</v>
      </c>
      <c r="G556" s="74">
        <f t="shared" si="284"/>
        <v>25</v>
      </c>
      <c r="H556" s="74">
        <f t="shared" si="285"/>
        <v>23</v>
      </c>
      <c r="I556" s="74">
        <f t="shared" si="286"/>
        <v>21</v>
      </c>
      <c r="J556" s="114">
        <f t="shared" si="287"/>
        <v>19</v>
      </c>
      <c r="K556" s="74">
        <f t="shared" si="293"/>
        <v>17.401599999999998</v>
      </c>
      <c r="L556" s="74">
        <f t="shared" si="288"/>
        <v>15.8032</v>
      </c>
      <c r="M556" s="114">
        <f t="shared" si="302"/>
        <v>14.2</v>
      </c>
      <c r="N556" s="115">
        <f t="shared" si="303"/>
        <v>14.76</v>
      </c>
      <c r="O556" s="74">
        <f t="shared" si="304"/>
        <v>15.32</v>
      </c>
      <c r="P556" s="74">
        <f t="shared" si="305"/>
        <v>15.879999999999999</v>
      </c>
      <c r="Q556" s="74">
        <f t="shared" si="306"/>
        <v>16.440000000000001</v>
      </c>
      <c r="R556" s="114">
        <v>17</v>
      </c>
      <c r="S556" s="129"/>
      <c r="T556" s="117">
        <f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15.721461538461538</v>
      </c>
      <c r="U556" s="117">
        <f>Lefty!T556</f>
        <v>15.836538461538462</v>
      </c>
    </row>
    <row r="557" spans="2:21">
      <c r="B557" s="114">
        <v>36</v>
      </c>
      <c r="C557" s="74">
        <f t="shared" si="281"/>
        <v>33.75</v>
      </c>
      <c r="D557" s="74">
        <f t="shared" si="282"/>
        <v>31.5</v>
      </c>
      <c r="E557" s="74">
        <f t="shared" si="283"/>
        <v>29.25</v>
      </c>
      <c r="F557" s="114">
        <v>27</v>
      </c>
      <c r="G557" s="74">
        <f t="shared" si="284"/>
        <v>24.75</v>
      </c>
      <c r="H557" s="74">
        <f t="shared" si="285"/>
        <v>22.5</v>
      </c>
      <c r="I557" s="74">
        <f t="shared" si="286"/>
        <v>20.25</v>
      </c>
      <c r="J557" s="114">
        <f t="shared" si="287"/>
        <v>18</v>
      </c>
      <c r="K557" s="74">
        <f t="shared" si="293"/>
        <v>16.201799999999999</v>
      </c>
      <c r="L557" s="74">
        <f t="shared" si="288"/>
        <v>14.403599999999999</v>
      </c>
      <c r="M557" s="114">
        <f t="shared" si="302"/>
        <v>12.6</v>
      </c>
      <c r="N557" s="115">
        <f t="shared" si="303"/>
        <v>13.48</v>
      </c>
      <c r="O557" s="74">
        <f t="shared" si="304"/>
        <v>14.36</v>
      </c>
      <c r="P557" s="74">
        <f t="shared" si="305"/>
        <v>15.24</v>
      </c>
      <c r="Q557" s="74">
        <f t="shared" si="306"/>
        <v>16.12</v>
      </c>
      <c r="R557" s="114">
        <v>17</v>
      </c>
      <c r="S557" s="129"/>
      <c r="T557" s="117">
        <f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15.796261538461538</v>
      </c>
      <c r="U557" s="117">
        <f>Lefty!T557</f>
        <v>15.873938461538462</v>
      </c>
    </row>
    <row r="558" spans="2:21">
      <c r="B558" s="114">
        <v>37</v>
      </c>
      <c r="C558" s="74">
        <f t="shared" si="281"/>
        <v>34.5</v>
      </c>
      <c r="D558" s="74">
        <f t="shared" si="282"/>
        <v>32</v>
      </c>
      <c r="E558" s="74">
        <f t="shared" si="283"/>
        <v>29.5</v>
      </c>
      <c r="F558" s="114">
        <v>27</v>
      </c>
      <c r="G558" s="74">
        <f t="shared" si="284"/>
        <v>24.5</v>
      </c>
      <c r="H558" s="74">
        <f t="shared" si="285"/>
        <v>22</v>
      </c>
      <c r="I558" s="74">
        <f t="shared" si="286"/>
        <v>19.5</v>
      </c>
      <c r="J558" s="114">
        <f t="shared" si="287"/>
        <v>17</v>
      </c>
      <c r="K558" s="74">
        <f t="shared" si="293"/>
        <v>15.001999999999999</v>
      </c>
      <c r="L558" s="74">
        <f t="shared" si="288"/>
        <v>13.004</v>
      </c>
      <c r="M558" s="114">
        <f t="shared" si="302"/>
        <v>11</v>
      </c>
      <c r="N558" s="115">
        <f t="shared" si="303"/>
        <v>12.2</v>
      </c>
      <c r="O558" s="74">
        <f t="shared" si="304"/>
        <v>13.4</v>
      </c>
      <c r="P558" s="74">
        <f t="shared" si="305"/>
        <v>14.6</v>
      </c>
      <c r="Q558" s="74">
        <f t="shared" si="306"/>
        <v>15.8</v>
      </c>
      <c r="R558" s="114">
        <v>17</v>
      </c>
      <c r="S558" s="129"/>
      <c r="T558" s="117">
        <f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15.840261538461538</v>
      </c>
      <c r="U558" s="117">
        <f>Lefty!T558</f>
        <v>15.807938461538463</v>
      </c>
    </row>
    <row r="559" spans="2:21">
      <c r="B559" s="114">
        <v>38</v>
      </c>
      <c r="C559" s="74">
        <f t="shared" si="281"/>
        <v>35.25</v>
      </c>
      <c r="D559" s="74">
        <f t="shared" si="282"/>
        <v>32.5</v>
      </c>
      <c r="E559" s="74">
        <f t="shared" si="283"/>
        <v>29.75</v>
      </c>
      <c r="F559" s="114">
        <v>27</v>
      </c>
      <c r="G559" s="74">
        <f t="shared" si="284"/>
        <v>24.25</v>
      </c>
      <c r="H559" s="74">
        <f t="shared" si="285"/>
        <v>21.5</v>
      </c>
      <c r="I559" s="74">
        <f t="shared" si="286"/>
        <v>18.75</v>
      </c>
      <c r="J559" s="114">
        <f t="shared" si="287"/>
        <v>16</v>
      </c>
      <c r="K559" s="74">
        <f t="shared" si="293"/>
        <v>13.802199999999999</v>
      </c>
      <c r="L559" s="74">
        <f t="shared" si="288"/>
        <v>11.6044</v>
      </c>
      <c r="M559" s="114">
        <f t="shared" si="302"/>
        <v>9.4</v>
      </c>
      <c r="N559" s="115">
        <f t="shared" si="303"/>
        <v>10.92</v>
      </c>
      <c r="O559" s="74">
        <f t="shared" si="304"/>
        <v>12.440000000000001</v>
      </c>
      <c r="P559" s="74">
        <f t="shared" si="305"/>
        <v>13.96</v>
      </c>
      <c r="Q559" s="74">
        <f t="shared" si="306"/>
        <v>15.48</v>
      </c>
      <c r="R559" s="114">
        <v>17</v>
      </c>
      <c r="S559" s="129"/>
      <c r="T559" s="117">
        <f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16.205461538461538</v>
      </c>
      <c r="U559" s="117">
        <f>Lefty!T559</f>
        <v>15.845338461538461</v>
      </c>
    </row>
    <row r="560" spans="2:21">
      <c r="B560" s="114">
        <v>39</v>
      </c>
      <c r="C560" s="74">
        <f t="shared" si="281"/>
        <v>36</v>
      </c>
      <c r="D560" s="74">
        <f t="shared" si="282"/>
        <v>33</v>
      </c>
      <c r="E560" s="74">
        <f t="shared" si="283"/>
        <v>30</v>
      </c>
      <c r="F560" s="114">
        <v>27</v>
      </c>
      <c r="G560" s="74">
        <f t="shared" si="284"/>
        <v>24</v>
      </c>
      <c r="H560" s="74">
        <f t="shared" si="285"/>
        <v>21</v>
      </c>
      <c r="I560" s="74">
        <f t="shared" si="286"/>
        <v>18</v>
      </c>
      <c r="J560" s="114">
        <f t="shared" si="287"/>
        <v>15</v>
      </c>
      <c r="K560" s="74">
        <f t="shared" si="293"/>
        <v>12.602399999999999</v>
      </c>
      <c r="L560" s="74">
        <f t="shared" si="288"/>
        <v>10.204800000000001</v>
      </c>
      <c r="M560" s="114">
        <f t="shared" si="302"/>
        <v>7.8000000000000007</v>
      </c>
      <c r="N560" s="115">
        <f t="shared" si="303"/>
        <v>9.64</v>
      </c>
      <c r="O560" s="74">
        <f t="shared" si="304"/>
        <v>11.48</v>
      </c>
      <c r="P560" s="74">
        <f t="shared" si="305"/>
        <v>13.32</v>
      </c>
      <c r="Q560" s="74">
        <f t="shared" si="306"/>
        <v>15.16</v>
      </c>
      <c r="R560" s="114">
        <v>17</v>
      </c>
      <c r="S560" s="129"/>
      <c r="T560" s="117">
        <f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16.269261538461539</v>
      </c>
      <c r="U560" s="117">
        <f>Lefty!T560</f>
        <v>15.794738461538461</v>
      </c>
    </row>
    <row r="561" spans="2:21">
      <c r="B561" s="114"/>
      <c r="C561" s="74"/>
      <c r="D561" s="74"/>
      <c r="E561" s="74"/>
      <c r="F561" s="114"/>
      <c r="G561" s="74"/>
      <c r="H561" s="74"/>
      <c r="I561" s="74"/>
      <c r="J561" s="114"/>
      <c r="K561" s="74"/>
      <c r="L561" s="74"/>
      <c r="M561" s="114"/>
      <c r="N561" s="115"/>
      <c r="O561" s="74"/>
      <c r="P561" s="74"/>
      <c r="Q561" s="74"/>
      <c r="R561" s="114"/>
      <c r="S561" s="129"/>
    </row>
    <row r="562" spans="2:21">
      <c r="B562" s="114">
        <v>32</v>
      </c>
      <c r="C562" s="74">
        <f t="shared" si="281"/>
        <v>31</v>
      </c>
      <c r="D562" s="74">
        <f t="shared" si="282"/>
        <v>30</v>
      </c>
      <c r="E562" s="74">
        <f t="shared" si="283"/>
        <v>29</v>
      </c>
      <c r="F562" s="114">
        <v>28</v>
      </c>
      <c r="G562" s="74">
        <f t="shared" si="284"/>
        <v>27</v>
      </c>
      <c r="H562" s="74">
        <f t="shared" si="285"/>
        <v>26</v>
      </c>
      <c r="I562" s="74">
        <f t="shared" si="286"/>
        <v>25</v>
      </c>
      <c r="J562" s="114">
        <f t="shared" si="287"/>
        <v>24</v>
      </c>
      <c r="K562" s="74">
        <f t="shared" si="293"/>
        <v>23.200800000000001</v>
      </c>
      <c r="L562" s="74">
        <f t="shared" si="288"/>
        <v>22.401600000000002</v>
      </c>
      <c r="M562" s="114">
        <f t="shared" si="302"/>
        <v>21.6</v>
      </c>
      <c r="N562" s="115">
        <f t="shared" ref="N562:N569" si="307">SUM(0.2*(R562-M562),M562)</f>
        <v>20.68</v>
      </c>
      <c r="O562" s="74">
        <f t="shared" ref="O562:O569" si="308">SUM(0.4*(R562-M562),M562)</f>
        <v>19.760000000000002</v>
      </c>
      <c r="P562" s="74">
        <f t="shared" ref="P562:P569" si="309">SUM(0.6*(R562-M562),M562)</f>
        <v>18.84</v>
      </c>
      <c r="Q562" s="74">
        <f t="shared" ref="Q562:Q569" si="310">SUM(0.8*(R562-M562),M562)</f>
        <v>17.920000000000002</v>
      </c>
      <c r="R562" s="114">
        <v>17</v>
      </c>
      <c r="S562" s="129"/>
      <c r="T562" s="117">
        <f>SUM((AS19+AT19+AU18+AV18+AW17+AX17+AY16+AZ16+BA15+BB15+BC14+BD14+BE13+BF13+BG12+BH12+BI11+BJ11+BK10+BL10)*-0.132/2,(AR20+BM9+BN8)*-0.132,(BO7+BP7+BQ6+BR6+BS5+BT5+BU4+BV4)*-0.132/2,17)</f>
        <v>15.226461538461539</v>
      </c>
      <c r="U562" s="117">
        <f>Lefty!T562</f>
        <v>16.133538461538464</v>
      </c>
    </row>
    <row r="563" spans="2:21">
      <c r="B563" s="114">
        <v>33</v>
      </c>
      <c r="C563" s="74">
        <f t="shared" si="281"/>
        <v>31.75</v>
      </c>
      <c r="D563" s="74">
        <f t="shared" si="282"/>
        <v>30.5</v>
      </c>
      <c r="E563" s="74">
        <f t="shared" si="283"/>
        <v>29.25</v>
      </c>
      <c r="F563" s="114">
        <v>28</v>
      </c>
      <c r="G563" s="74">
        <f t="shared" si="284"/>
        <v>26.75</v>
      </c>
      <c r="H563" s="74">
        <f t="shared" si="285"/>
        <v>25.5</v>
      </c>
      <c r="I563" s="74">
        <f t="shared" si="286"/>
        <v>24.25</v>
      </c>
      <c r="J563" s="114">
        <f t="shared" si="287"/>
        <v>23</v>
      </c>
      <c r="K563" s="74">
        <f t="shared" si="293"/>
        <v>22.001000000000001</v>
      </c>
      <c r="L563" s="74">
        <f t="shared" si="288"/>
        <v>21.001999999999999</v>
      </c>
      <c r="M563" s="114">
        <f t="shared" si="302"/>
        <v>20</v>
      </c>
      <c r="N563" s="115">
        <f t="shared" si="307"/>
        <v>19.399999999999999</v>
      </c>
      <c r="O563" s="74">
        <f t="shared" si="308"/>
        <v>18.8</v>
      </c>
      <c r="P563" s="74">
        <f t="shared" si="309"/>
        <v>18.2</v>
      </c>
      <c r="Q563" s="74">
        <f t="shared" si="310"/>
        <v>17.600000000000001</v>
      </c>
      <c r="R563" s="114">
        <v>17</v>
      </c>
      <c r="S563" s="129"/>
      <c r="T563" s="117">
        <f>SUM((AP20+AQ20+AR19+AS19+AW17+AX17+AY16+AZ16)*-0.132/2,(AT18+AU18+AV18+BA15+BB15+BC15+BF13+BG13+BH13)*-0.132/3,(BD14+BE14+BI12+BJ12+BK11+BL11+BM10+BN10+BO9+BP9+BU4+BV4)*-0.132/2,(BQ8+BR7+BS6+BT5)*-0.132,17)</f>
        <v>15.116461538461538</v>
      </c>
      <c r="U563" s="117">
        <f>Lefty!T563</f>
        <v>16.155538461538463</v>
      </c>
    </row>
    <row r="564" spans="2:21">
      <c r="B564" s="114">
        <v>34</v>
      </c>
      <c r="C564" s="74">
        <f t="shared" si="281"/>
        <v>32.5</v>
      </c>
      <c r="D564" s="74">
        <f t="shared" si="282"/>
        <v>31</v>
      </c>
      <c r="E564" s="74">
        <f t="shared" si="283"/>
        <v>29.5</v>
      </c>
      <c r="F564" s="114">
        <v>28</v>
      </c>
      <c r="G564" s="74">
        <f t="shared" si="284"/>
        <v>26.5</v>
      </c>
      <c r="H564" s="74">
        <f t="shared" si="285"/>
        <v>25</v>
      </c>
      <c r="I564" s="74">
        <f t="shared" si="286"/>
        <v>23.5</v>
      </c>
      <c r="J564" s="114">
        <f t="shared" si="287"/>
        <v>22</v>
      </c>
      <c r="K564" s="74">
        <f t="shared" si="293"/>
        <v>20.801199999999998</v>
      </c>
      <c r="L564" s="74">
        <f t="shared" si="288"/>
        <v>19.602399999999999</v>
      </c>
      <c r="M564" s="114">
        <f t="shared" si="302"/>
        <v>18.399999999999999</v>
      </c>
      <c r="N564" s="115">
        <f t="shared" si="307"/>
        <v>18.119999999999997</v>
      </c>
      <c r="O564" s="74">
        <f t="shared" si="308"/>
        <v>17.84</v>
      </c>
      <c r="P564" s="74">
        <f t="shared" si="309"/>
        <v>17.559999999999999</v>
      </c>
      <c r="Q564" s="74">
        <f t="shared" si="310"/>
        <v>17.28</v>
      </c>
      <c r="R564" s="114">
        <v>17</v>
      </c>
      <c r="S564" s="129"/>
      <c r="T564" s="117">
        <f>SUM((AN20+AO20+AS18+AT18)*-0.132/2,(AP19+AQ19+AR19+AU17+AV17+AW17+AX16+AY16+AZ16+BA15+BB15+BC15+BD14+BE14+BF14+BG13+BH13+BI13+BJ12+BK12+BL12+BM11+BN11+BO11)*-0.132/3,(BP10+BQ10+BR9+BS9)*-0.132/2,(BT8+BT7+BU6+BU5+BV4)*-0.132,17)</f>
        <v>15.688461538461539</v>
      </c>
      <c r="U564" s="117">
        <f>Lefty!T564</f>
        <v>15.649538461538462</v>
      </c>
    </row>
    <row r="565" spans="2:21">
      <c r="B565" s="114">
        <v>35</v>
      </c>
      <c r="C565" s="74">
        <f t="shared" si="281"/>
        <v>33.25</v>
      </c>
      <c r="D565" s="74">
        <f t="shared" si="282"/>
        <v>31.5</v>
      </c>
      <c r="E565" s="74">
        <f t="shared" si="283"/>
        <v>29.75</v>
      </c>
      <c r="F565" s="114">
        <v>28</v>
      </c>
      <c r="G565" s="74">
        <f t="shared" si="284"/>
        <v>26.25</v>
      </c>
      <c r="H565" s="74">
        <f t="shared" si="285"/>
        <v>24.5</v>
      </c>
      <c r="I565" s="74">
        <f t="shared" si="286"/>
        <v>22.75</v>
      </c>
      <c r="J565" s="114">
        <f t="shared" si="287"/>
        <v>21</v>
      </c>
      <c r="K565" s="74">
        <f t="shared" si="293"/>
        <v>19.601400000000002</v>
      </c>
      <c r="L565" s="74">
        <f t="shared" si="288"/>
        <v>18.2028</v>
      </c>
      <c r="M565" s="114">
        <f t="shared" si="302"/>
        <v>16.8</v>
      </c>
      <c r="N565" s="115">
        <f t="shared" si="307"/>
        <v>16.84</v>
      </c>
      <c r="O565" s="74">
        <f t="shared" si="308"/>
        <v>16.88</v>
      </c>
      <c r="P565" s="74">
        <f t="shared" si="309"/>
        <v>16.920000000000002</v>
      </c>
      <c r="Q565" s="74">
        <f t="shared" si="310"/>
        <v>16.96</v>
      </c>
      <c r="R565" s="114">
        <v>17</v>
      </c>
      <c r="S565" s="129"/>
      <c r="T565" s="117">
        <f>SUM((AL20+AM20+AN20+AO19+AP19+AQ19+AR18+AS18+AT18+AU17+AV17+AW17+AX16+AY16+AZ16+BE14+BF14+BG14+BL12+BM12+BN12+BO11+BP11+BQ11+BR10+BS10+BT10)*-0.132/3,(BA15+BB15+BC15+BD15+BH13+BI13+BJ13+BK13)*-0.132/4,(BU9+BV9)*-0.132/2,(BV8+BV7+BV6+BV5+BV4)*-0.132,17)</f>
        <v>15.732461538461537</v>
      </c>
      <c r="U565" s="117">
        <f>Lefty!T565</f>
        <v>15.737538461538461</v>
      </c>
    </row>
    <row r="566" spans="2:21">
      <c r="B566" s="114">
        <v>36</v>
      </c>
      <c r="C566" s="74">
        <f t="shared" si="281"/>
        <v>34</v>
      </c>
      <c r="D566" s="74">
        <f t="shared" si="282"/>
        <v>32</v>
      </c>
      <c r="E566" s="74">
        <f t="shared" si="283"/>
        <v>30</v>
      </c>
      <c r="F566" s="114">
        <v>28</v>
      </c>
      <c r="G566" s="74">
        <f t="shared" si="284"/>
        <v>26</v>
      </c>
      <c r="H566" s="74">
        <f t="shared" si="285"/>
        <v>24</v>
      </c>
      <c r="I566" s="74">
        <f t="shared" si="286"/>
        <v>22</v>
      </c>
      <c r="J566" s="114">
        <f t="shared" si="287"/>
        <v>20</v>
      </c>
      <c r="K566" s="74">
        <f t="shared" si="293"/>
        <v>18.401599999999998</v>
      </c>
      <c r="L566" s="74">
        <f t="shared" si="288"/>
        <v>16.8032</v>
      </c>
      <c r="M566" s="114">
        <f t="shared" si="302"/>
        <v>15.2</v>
      </c>
      <c r="N566" s="115">
        <f t="shared" si="307"/>
        <v>15.559999999999999</v>
      </c>
      <c r="O566" s="74">
        <f t="shared" si="308"/>
        <v>15.92</v>
      </c>
      <c r="P566" s="74">
        <f t="shared" si="309"/>
        <v>16.28</v>
      </c>
      <c r="Q566" s="74">
        <f t="shared" si="310"/>
        <v>16.64</v>
      </c>
      <c r="R566" s="114">
        <v>17</v>
      </c>
      <c r="S566" s="129"/>
      <c r="T566" s="117">
        <f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15.644461538461538</v>
      </c>
      <c r="U566" s="117">
        <f>Lefty!T566</f>
        <v>15.880538461538462</v>
      </c>
    </row>
    <row r="567" spans="2:21">
      <c r="B567" s="114">
        <v>37</v>
      </c>
      <c r="C567" s="74">
        <f t="shared" si="281"/>
        <v>34.75</v>
      </c>
      <c r="D567" s="74">
        <f t="shared" si="282"/>
        <v>32.5</v>
      </c>
      <c r="E567" s="74">
        <f t="shared" si="283"/>
        <v>30.25</v>
      </c>
      <c r="F567" s="114">
        <v>28</v>
      </c>
      <c r="G567" s="74">
        <f t="shared" si="284"/>
        <v>25.75</v>
      </c>
      <c r="H567" s="74">
        <f t="shared" si="285"/>
        <v>23.5</v>
      </c>
      <c r="I567" s="74">
        <f t="shared" si="286"/>
        <v>21.25</v>
      </c>
      <c r="J567" s="114">
        <f t="shared" si="287"/>
        <v>19</v>
      </c>
      <c r="K567" s="74">
        <f t="shared" si="293"/>
        <v>17.201799999999999</v>
      </c>
      <c r="L567" s="74">
        <f t="shared" si="288"/>
        <v>15.403599999999999</v>
      </c>
      <c r="M567" s="114">
        <f t="shared" si="302"/>
        <v>13.6</v>
      </c>
      <c r="N567" s="115">
        <f t="shared" si="307"/>
        <v>14.28</v>
      </c>
      <c r="O567" s="74">
        <f t="shared" si="308"/>
        <v>14.96</v>
      </c>
      <c r="P567" s="74">
        <f t="shared" si="309"/>
        <v>15.64</v>
      </c>
      <c r="Q567" s="74">
        <f t="shared" si="310"/>
        <v>16.32</v>
      </c>
      <c r="R567" s="114">
        <v>17</v>
      </c>
      <c r="S567" s="129"/>
      <c r="T567" s="117">
        <f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15.904061538461539</v>
      </c>
      <c r="U567" s="117">
        <f>Lefty!T567</f>
        <v>15.365738461538461</v>
      </c>
    </row>
    <row r="568" spans="2:21">
      <c r="B568" s="114">
        <v>38</v>
      </c>
      <c r="C568" s="74">
        <f t="shared" si="281"/>
        <v>35.5</v>
      </c>
      <c r="D568" s="74">
        <f t="shared" si="282"/>
        <v>33</v>
      </c>
      <c r="E568" s="74">
        <f t="shared" si="283"/>
        <v>30.5</v>
      </c>
      <c r="F568" s="114">
        <v>28</v>
      </c>
      <c r="G568" s="74">
        <f t="shared" si="284"/>
        <v>25.5</v>
      </c>
      <c r="H568" s="74">
        <f t="shared" si="285"/>
        <v>23</v>
      </c>
      <c r="I568" s="74">
        <f t="shared" si="286"/>
        <v>20.5</v>
      </c>
      <c r="J568" s="114">
        <f t="shared" si="287"/>
        <v>18</v>
      </c>
      <c r="K568" s="74">
        <f t="shared" si="293"/>
        <v>16.001999999999999</v>
      </c>
      <c r="L568" s="74">
        <f t="shared" si="288"/>
        <v>14.004</v>
      </c>
      <c r="M568" s="114">
        <f t="shared" si="302"/>
        <v>12</v>
      </c>
      <c r="N568" s="115">
        <f t="shared" si="307"/>
        <v>13</v>
      </c>
      <c r="O568" s="74">
        <f t="shared" si="308"/>
        <v>14</v>
      </c>
      <c r="P568" s="74">
        <f t="shared" si="309"/>
        <v>15</v>
      </c>
      <c r="Q568" s="74">
        <f t="shared" si="310"/>
        <v>16</v>
      </c>
      <c r="R568" s="114">
        <v>17</v>
      </c>
      <c r="S568" s="129"/>
      <c r="T568" s="117">
        <f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15.998661538461539</v>
      </c>
      <c r="U568" s="117">
        <f>Lefty!T568</f>
        <v>15.539538461538463</v>
      </c>
    </row>
    <row r="569" spans="2:21">
      <c r="B569" s="114">
        <v>39</v>
      </c>
      <c r="C569" s="74">
        <f t="shared" si="281"/>
        <v>36.25</v>
      </c>
      <c r="D569" s="74">
        <f t="shared" si="282"/>
        <v>33.5</v>
      </c>
      <c r="E569" s="74">
        <f t="shared" si="283"/>
        <v>30.75</v>
      </c>
      <c r="F569" s="114">
        <v>28</v>
      </c>
      <c r="G569" s="74">
        <f t="shared" si="284"/>
        <v>25.25</v>
      </c>
      <c r="H569" s="74">
        <f t="shared" si="285"/>
        <v>22.5</v>
      </c>
      <c r="I569" s="74">
        <f t="shared" si="286"/>
        <v>19.75</v>
      </c>
      <c r="J569" s="114">
        <f t="shared" si="287"/>
        <v>17</v>
      </c>
      <c r="K569" s="74">
        <f t="shared" si="293"/>
        <v>14.802199999999999</v>
      </c>
      <c r="L569" s="74">
        <f t="shared" si="288"/>
        <v>12.6044</v>
      </c>
      <c r="M569" s="114">
        <f t="shared" si="302"/>
        <v>10.4</v>
      </c>
      <c r="N569" s="115">
        <f t="shared" si="307"/>
        <v>11.72</v>
      </c>
      <c r="O569" s="74">
        <f t="shared" si="308"/>
        <v>13.040000000000001</v>
      </c>
      <c r="P569" s="74">
        <f t="shared" si="309"/>
        <v>14.36</v>
      </c>
      <c r="Q569" s="74">
        <f t="shared" si="310"/>
        <v>15.68</v>
      </c>
      <c r="R569" s="114">
        <v>17</v>
      </c>
      <c r="S569" s="129"/>
      <c r="T569" s="117">
        <f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16.20766153846154</v>
      </c>
      <c r="U569" s="117">
        <f>Lefty!T569</f>
        <v>15.585738461538462</v>
      </c>
    </row>
    <row r="570" spans="2:21">
      <c r="B570" s="114"/>
      <c r="C570" s="74"/>
      <c r="D570" s="74"/>
      <c r="E570" s="74"/>
      <c r="F570" s="114"/>
      <c r="G570" s="74"/>
      <c r="H570" s="74"/>
      <c r="I570" s="74"/>
      <c r="J570" s="114"/>
      <c r="K570" s="74"/>
      <c r="L570" s="74"/>
      <c r="M570" s="114"/>
      <c r="N570" s="115"/>
      <c r="O570" s="74"/>
      <c r="P570" s="74"/>
      <c r="Q570" s="74"/>
      <c r="R570" s="114"/>
      <c r="S570" s="129"/>
    </row>
    <row r="571" spans="2:21">
      <c r="B571" s="114">
        <v>33</v>
      </c>
      <c r="C571" s="74">
        <f t="shared" si="281"/>
        <v>32</v>
      </c>
      <c r="D571" s="74">
        <f t="shared" si="282"/>
        <v>31</v>
      </c>
      <c r="E571" s="74">
        <f t="shared" si="283"/>
        <v>30</v>
      </c>
      <c r="F571" s="114">
        <v>29</v>
      </c>
      <c r="G571" s="74">
        <f t="shared" si="284"/>
        <v>28</v>
      </c>
      <c r="H571" s="74">
        <f t="shared" si="285"/>
        <v>27</v>
      </c>
      <c r="I571" s="74">
        <f t="shared" si="286"/>
        <v>26</v>
      </c>
      <c r="J571" s="114">
        <f t="shared" si="287"/>
        <v>25</v>
      </c>
      <c r="K571" s="74">
        <f t="shared" si="293"/>
        <v>24.001000000000001</v>
      </c>
      <c r="L571" s="74">
        <f t="shared" si="288"/>
        <v>23.001999999999999</v>
      </c>
      <c r="M571" s="114">
        <f>SUM(J571,J571-G571)</f>
        <v>22</v>
      </c>
      <c r="N571" s="115">
        <f t="shared" ref="N571:N577" si="311">SUM(0.2*(R571-M571),M571)</f>
        <v>21</v>
      </c>
      <c r="O571" s="74">
        <f t="shared" ref="O571:O577" si="312">SUM(0.4*(R571-M571),M571)</f>
        <v>20</v>
      </c>
      <c r="P571" s="74">
        <f t="shared" ref="P571:P577" si="313">SUM(0.6*(R571-M571),M571)</f>
        <v>19</v>
      </c>
      <c r="Q571" s="74">
        <f t="shared" ref="Q571:Q577" si="314">SUM(0.8*(R571-M571),M571)</f>
        <v>18</v>
      </c>
      <c r="R571" s="114">
        <v>17</v>
      </c>
      <c r="S571" s="129"/>
      <c r="T571" s="117">
        <f>SUM((AQ19+AR19+AS18+AT18+AU17+AV17+AW16+AX16+AY15+AZ15+BA14+BB14+BC13+BD13+BE12+BF12+BG11+BH11+BI10+BJ10+BK9+BL9+BM8+BN8+BO7+BP7+BQ6+BR6+BS5+BT5+BU4+BV4)*-0.132/2,AP20*-0.132,17)</f>
        <v>14.830461538461538</v>
      </c>
      <c r="U571" s="117">
        <f>Lefty!T571</f>
        <v>15.605538461538464</v>
      </c>
    </row>
    <row r="572" spans="2:21">
      <c r="B572" s="114">
        <v>34</v>
      </c>
      <c r="C572" s="74">
        <f t="shared" si="281"/>
        <v>32.75</v>
      </c>
      <c r="D572" s="74">
        <f t="shared" si="282"/>
        <v>31.5</v>
      </c>
      <c r="E572" s="74">
        <f t="shared" si="283"/>
        <v>30.25</v>
      </c>
      <c r="F572" s="114">
        <v>29</v>
      </c>
      <c r="G572" s="74">
        <f t="shared" si="284"/>
        <v>27.75</v>
      </c>
      <c r="H572" s="74">
        <f t="shared" si="285"/>
        <v>26.5</v>
      </c>
      <c r="I572" s="74">
        <f t="shared" si="286"/>
        <v>25.25</v>
      </c>
      <c r="J572" s="114">
        <f t="shared" si="287"/>
        <v>24</v>
      </c>
      <c r="K572" s="74">
        <f t="shared" si="293"/>
        <v>23.001000000000001</v>
      </c>
      <c r="L572" s="74">
        <f t="shared" si="288"/>
        <v>22.001999999999999</v>
      </c>
      <c r="M572" s="114">
        <f t="shared" ref="M572:M588" si="315">SUM(J572,-F572,J572,0.4*ABS(J572-F572))</f>
        <v>21</v>
      </c>
      <c r="N572" s="115">
        <f t="shared" si="311"/>
        <v>20.2</v>
      </c>
      <c r="O572" s="74">
        <f t="shared" si="312"/>
        <v>19.399999999999999</v>
      </c>
      <c r="P572" s="74">
        <f t="shared" si="313"/>
        <v>18.600000000000001</v>
      </c>
      <c r="Q572" s="74">
        <f t="shared" si="314"/>
        <v>17.8</v>
      </c>
      <c r="R572" s="114">
        <v>17</v>
      </c>
      <c r="S572" s="129"/>
      <c r="T572" s="117">
        <f>SUM((AN20+AO20+AP19+AQ19+AU17+AV17+AW16+AX16)*-0.132/2,(AR18+AS18+AT18+AY15+AZ15+BA15+BD13+BE13+BF13)*-0.132/3,(BB14+BC14+BG12+BH12+BI11+BJ11+BK10+BL10+BM9+BN9+BQ6+BR6+BS5+BT5+BU4+BV4)*-0.132/2,(BO8+BP7)*-0.132,17)</f>
        <v>15.358461538461539</v>
      </c>
      <c r="U572" s="117">
        <f>Lefty!T572</f>
        <v>15.627538461538462</v>
      </c>
    </row>
    <row r="573" spans="2:21">
      <c r="B573" s="114">
        <v>35</v>
      </c>
      <c r="C573" s="74">
        <f t="shared" si="281"/>
        <v>33.5</v>
      </c>
      <c r="D573" s="74">
        <f t="shared" si="282"/>
        <v>32</v>
      </c>
      <c r="E573" s="74">
        <f t="shared" si="283"/>
        <v>30.5</v>
      </c>
      <c r="F573" s="114">
        <v>29</v>
      </c>
      <c r="G573" s="74">
        <f t="shared" si="284"/>
        <v>27.5</v>
      </c>
      <c r="H573" s="74">
        <f t="shared" si="285"/>
        <v>26</v>
      </c>
      <c r="I573" s="74">
        <f t="shared" si="286"/>
        <v>24.5</v>
      </c>
      <c r="J573" s="114">
        <f t="shared" si="287"/>
        <v>23</v>
      </c>
      <c r="K573" s="74">
        <f t="shared" si="293"/>
        <v>21.801199999999998</v>
      </c>
      <c r="L573" s="74">
        <f t="shared" si="288"/>
        <v>20.602399999999999</v>
      </c>
      <c r="M573" s="114">
        <f t="shared" si="315"/>
        <v>19.399999999999999</v>
      </c>
      <c r="N573" s="115">
        <f t="shared" si="311"/>
        <v>18.919999999999998</v>
      </c>
      <c r="O573" s="74">
        <f t="shared" si="312"/>
        <v>18.439999999999998</v>
      </c>
      <c r="P573" s="74">
        <f t="shared" si="313"/>
        <v>17.96</v>
      </c>
      <c r="Q573" s="74">
        <f t="shared" si="314"/>
        <v>17.48</v>
      </c>
      <c r="R573" s="114">
        <v>17</v>
      </c>
      <c r="S573" s="129"/>
      <c r="T573" s="117">
        <f>SUM((AL20+AM20+AQ18+AR18)*-0.132/2,(AN19+AO19+AP19+AS17+AT17+AU17+AV16+AW16+AX16++AY15+AZ15+BA15+BB14+BC14+BD14+BE13+BF13+BG13+BH12+BI12+BJ12+BK11+BL11+BM11)*-0.132/3,(BN10+BO10+BP9+BQ9)*-0.132/2,(BR8+BS7+BT6+BU5+BV4)*-0.132,17)</f>
        <v>15.490461538461538</v>
      </c>
      <c r="U573" s="117">
        <f>Lefty!T573</f>
        <v>15.671538461538463</v>
      </c>
    </row>
    <row r="574" spans="2:21">
      <c r="B574" s="114">
        <v>36</v>
      </c>
      <c r="C574" s="74">
        <f t="shared" si="281"/>
        <v>34.25</v>
      </c>
      <c r="D574" s="74">
        <f t="shared" si="282"/>
        <v>32.5</v>
      </c>
      <c r="E574" s="74">
        <f t="shared" si="283"/>
        <v>30.75</v>
      </c>
      <c r="F574" s="114">
        <v>29</v>
      </c>
      <c r="G574" s="74">
        <f t="shared" si="284"/>
        <v>27.25</v>
      </c>
      <c r="H574" s="74">
        <f t="shared" si="285"/>
        <v>25.5</v>
      </c>
      <c r="I574" s="74">
        <f t="shared" si="286"/>
        <v>23.75</v>
      </c>
      <c r="J574" s="114">
        <f t="shared" si="287"/>
        <v>22</v>
      </c>
      <c r="K574" s="74">
        <f t="shared" si="293"/>
        <v>20.601400000000002</v>
      </c>
      <c r="L574" s="74">
        <f t="shared" si="288"/>
        <v>19.2028</v>
      </c>
      <c r="M574" s="114">
        <f t="shared" si="315"/>
        <v>17.8</v>
      </c>
      <c r="N574" s="115">
        <f t="shared" si="311"/>
        <v>17.64</v>
      </c>
      <c r="O574" s="74">
        <f t="shared" si="312"/>
        <v>17.48</v>
      </c>
      <c r="P574" s="74">
        <f t="shared" si="313"/>
        <v>17.32</v>
      </c>
      <c r="Q574" s="74">
        <f t="shared" si="314"/>
        <v>17.16</v>
      </c>
      <c r="R574" s="114">
        <v>17</v>
      </c>
      <c r="S574" s="129"/>
      <c r="T574" s="117">
        <f>SUM((AJ20+AK20+AL20+AM19+AN19+AO19+AP18+AQ18+AR18+AS17+AT17+AU17+AV16+AW16+AX16+BC14+BD14+BE14+BJ12+BK12+BL12+BM11+BN11+BO11+BP10+BQ10+BR10)*-0.132/3,(AY15+AZ15+BA15+BB15+BF13+BG13+BH13+BI13)*-0.132/4,(BS9+BT9)*-0.132/2,(BU8+BU7+BV6+BV5+BV4)*-0.132,17)</f>
        <v>15.545461538461538</v>
      </c>
      <c r="U574" s="117">
        <f>Lefty!T574</f>
        <v>15.539538461538461</v>
      </c>
    </row>
    <row r="575" spans="2:21">
      <c r="B575" s="114">
        <v>37</v>
      </c>
      <c r="C575" s="74">
        <f t="shared" si="281"/>
        <v>35</v>
      </c>
      <c r="D575" s="74">
        <f t="shared" si="282"/>
        <v>33</v>
      </c>
      <c r="E575" s="74">
        <f t="shared" si="283"/>
        <v>31</v>
      </c>
      <c r="F575" s="114">
        <v>29</v>
      </c>
      <c r="G575" s="74">
        <f t="shared" si="284"/>
        <v>27</v>
      </c>
      <c r="H575" s="74">
        <f t="shared" si="285"/>
        <v>25</v>
      </c>
      <c r="I575" s="74">
        <f t="shared" si="286"/>
        <v>23</v>
      </c>
      <c r="J575" s="114">
        <f t="shared" si="287"/>
        <v>21</v>
      </c>
      <c r="K575" s="74">
        <f t="shared" si="293"/>
        <v>19.401599999999998</v>
      </c>
      <c r="L575" s="74">
        <f t="shared" si="288"/>
        <v>17.8032</v>
      </c>
      <c r="M575" s="114">
        <f t="shared" si="315"/>
        <v>16.2</v>
      </c>
      <c r="N575" s="115">
        <f t="shared" si="311"/>
        <v>16.36</v>
      </c>
      <c r="O575" s="74">
        <f t="shared" si="312"/>
        <v>16.52</v>
      </c>
      <c r="P575" s="74">
        <f t="shared" si="313"/>
        <v>16.68</v>
      </c>
      <c r="Q575" s="74">
        <f t="shared" si="314"/>
        <v>16.84</v>
      </c>
      <c r="R575" s="114">
        <v>17</v>
      </c>
      <c r="S575" s="129"/>
      <c r="T575" s="117">
        <f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15.622461538461538</v>
      </c>
      <c r="U575" s="117">
        <f>Lefty!T575</f>
        <v>15.198538461538462</v>
      </c>
    </row>
    <row r="576" spans="2:21">
      <c r="B576" s="114">
        <v>38</v>
      </c>
      <c r="C576" s="74">
        <f t="shared" si="281"/>
        <v>35.75</v>
      </c>
      <c r="D576" s="74">
        <f t="shared" si="282"/>
        <v>33.5</v>
      </c>
      <c r="E576" s="74">
        <f t="shared" si="283"/>
        <v>31.25</v>
      </c>
      <c r="F576" s="114">
        <v>29</v>
      </c>
      <c r="G576" s="74">
        <f t="shared" si="284"/>
        <v>26.75</v>
      </c>
      <c r="H576" s="74">
        <f t="shared" si="285"/>
        <v>24.5</v>
      </c>
      <c r="I576" s="74">
        <f t="shared" si="286"/>
        <v>22.25</v>
      </c>
      <c r="J576" s="114">
        <f t="shared" si="287"/>
        <v>20</v>
      </c>
      <c r="K576" s="74">
        <f t="shared" si="293"/>
        <v>18.201799999999999</v>
      </c>
      <c r="L576" s="74">
        <f t="shared" si="288"/>
        <v>16.403600000000001</v>
      </c>
      <c r="M576" s="114">
        <f t="shared" si="315"/>
        <v>14.6</v>
      </c>
      <c r="N576" s="115">
        <f t="shared" si="311"/>
        <v>15.08</v>
      </c>
      <c r="O576" s="74">
        <f t="shared" si="312"/>
        <v>15.56</v>
      </c>
      <c r="P576" s="74">
        <f t="shared" si="313"/>
        <v>16.04</v>
      </c>
      <c r="Q576" s="74">
        <f t="shared" si="314"/>
        <v>16.52</v>
      </c>
      <c r="R576" s="114">
        <v>17</v>
      </c>
      <c r="S576" s="129"/>
      <c r="T576" s="117">
        <f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16.115261538461539</v>
      </c>
      <c r="U576" s="117">
        <f>Lefty!T576</f>
        <v>15.301938461538461</v>
      </c>
    </row>
    <row r="577" spans="2:21">
      <c r="B577" s="114">
        <v>39</v>
      </c>
      <c r="C577" s="74">
        <f t="shared" si="281"/>
        <v>36.5</v>
      </c>
      <c r="D577" s="74">
        <f t="shared" si="282"/>
        <v>34</v>
      </c>
      <c r="E577" s="74">
        <f t="shared" si="283"/>
        <v>31.5</v>
      </c>
      <c r="F577" s="114">
        <v>29</v>
      </c>
      <c r="G577" s="74">
        <f t="shared" si="284"/>
        <v>26.5</v>
      </c>
      <c r="H577" s="74">
        <f t="shared" si="285"/>
        <v>24</v>
      </c>
      <c r="I577" s="74">
        <f t="shared" si="286"/>
        <v>21.5</v>
      </c>
      <c r="J577" s="114">
        <f t="shared" si="287"/>
        <v>19</v>
      </c>
      <c r="K577" s="74">
        <f t="shared" si="293"/>
        <v>17.001999999999999</v>
      </c>
      <c r="L577" s="74">
        <f t="shared" si="288"/>
        <v>15.004</v>
      </c>
      <c r="M577" s="114">
        <f t="shared" si="315"/>
        <v>13</v>
      </c>
      <c r="N577" s="115">
        <f t="shared" si="311"/>
        <v>13.8</v>
      </c>
      <c r="O577" s="74">
        <f t="shared" si="312"/>
        <v>14.6</v>
      </c>
      <c r="P577" s="74">
        <f t="shared" si="313"/>
        <v>15.4</v>
      </c>
      <c r="Q577" s="74">
        <f t="shared" si="314"/>
        <v>16.2</v>
      </c>
      <c r="R577" s="114">
        <v>17</v>
      </c>
      <c r="S577" s="129"/>
      <c r="T577" s="117">
        <f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16.12406153846154</v>
      </c>
      <c r="U577" s="117">
        <f>Lefty!T577</f>
        <v>15.394338461538462</v>
      </c>
    </row>
    <row r="578" spans="2:21">
      <c r="B578" s="114"/>
      <c r="C578" s="74"/>
      <c r="D578" s="74"/>
      <c r="E578" s="74"/>
      <c r="F578" s="114"/>
      <c r="G578" s="74"/>
      <c r="H578" s="74"/>
      <c r="I578" s="74"/>
      <c r="J578" s="114"/>
      <c r="K578" s="74"/>
      <c r="L578" s="74"/>
      <c r="M578" s="114"/>
      <c r="N578" s="115"/>
      <c r="O578" s="74"/>
      <c r="P578" s="74"/>
      <c r="Q578" s="74"/>
      <c r="R578" s="114"/>
      <c r="S578" s="129"/>
    </row>
    <row r="579" spans="2:21">
      <c r="B579" s="114">
        <v>35</v>
      </c>
      <c r="C579" s="74">
        <f t="shared" ref="C579:C594" si="316">SUM(0.25*(F579-B579),B579)</f>
        <v>33.75</v>
      </c>
      <c r="D579" s="74">
        <f t="shared" ref="D579:D594" si="317">SUM(0.5*(F579-B579)+B579)</f>
        <v>32.5</v>
      </c>
      <c r="E579" s="74">
        <f t="shared" ref="E579:E594" si="318">SUM(0.75*(F579-B579),B579)</f>
        <v>31.25</v>
      </c>
      <c r="F579" s="114">
        <v>30</v>
      </c>
      <c r="G579" s="74">
        <f t="shared" ref="G579:G594" si="319">SUM(0.25*(J579-F579),F579)</f>
        <v>28.75</v>
      </c>
      <c r="H579" s="74">
        <f t="shared" ref="H579:H594" si="320">SUM(0.5*(J579-F579),F579)</f>
        <v>27.5</v>
      </c>
      <c r="I579" s="74">
        <f t="shared" ref="I579:I594" si="321">SUM(0.75*(J579-F579),F579)</f>
        <v>26.25</v>
      </c>
      <c r="J579" s="114">
        <f t="shared" ref="J579:J594" si="322">SUM(F579,-B579,F579)</f>
        <v>25</v>
      </c>
      <c r="K579" s="74">
        <f t="shared" si="293"/>
        <v>24.001000000000001</v>
      </c>
      <c r="L579" s="74">
        <f t="shared" ref="L579:L594" si="323">SUM(0.666*(M579-J579),J579)</f>
        <v>23.001999999999999</v>
      </c>
      <c r="M579" s="114">
        <f t="shared" si="315"/>
        <v>22</v>
      </c>
      <c r="N579" s="115">
        <f>SUM(0.2*(R579-M579),M579)</f>
        <v>21</v>
      </c>
      <c r="O579" s="74">
        <f>SUM(0.4*(R579-M579),M579)</f>
        <v>20</v>
      </c>
      <c r="P579" s="74">
        <f>SUM(0.6*(R579-M579),M579)</f>
        <v>19</v>
      </c>
      <c r="Q579" s="74">
        <f>SUM(0.8*(R579-M579),M579)</f>
        <v>18</v>
      </c>
      <c r="R579" s="114">
        <v>17</v>
      </c>
      <c r="S579" s="129"/>
      <c r="T579" s="117">
        <f>SUM((AL20+AM20+AN19+AO19+AS17+AT17+AU16+AV16+AZ14+BA14+BE12+BF12+BG11+BH11+BI10+BJ10+BK9+BL9+BM8+BN8+BO7+BP7+BQ6+BR6+BS5+BT5+BU4+BV4)*-0.132/2,(AP18+AQ18+AR18+AW15+AX15+AY15+BB13+BC13+BD13)*-0.132/3,17)</f>
        <v>15.204461538461539</v>
      </c>
      <c r="U579" s="117">
        <f>Lefty!T579</f>
        <v>15.165538461538462</v>
      </c>
    </row>
    <row r="580" spans="2:21">
      <c r="B580" s="114">
        <v>36</v>
      </c>
      <c r="C580" s="74">
        <f t="shared" si="316"/>
        <v>34.5</v>
      </c>
      <c r="D580" s="74">
        <f t="shared" si="317"/>
        <v>33</v>
      </c>
      <c r="E580" s="74">
        <f t="shared" si="318"/>
        <v>31.5</v>
      </c>
      <c r="F580" s="114">
        <v>30</v>
      </c>
      <c r="G580" s="74">
        <f t="shared" si="319"/>
        <v>28.5</v>
      </c>
      <c r="H580" s="74">
        <f t="shared" si="320"/>
        <v>27</v>
      </c>
      <c r="I580" s="74">
        <f t="shared" si="321"/>
        <v>25.5</v>
      </c>
      <c r="J580" s="114">
        <f t="shared" si="322"/>
        <v>24</v>
      </c>
      <c r="K580" s="74">
        <f t="shared" si="293"/>
        <v>22.801199999999998</v>
      </c>
      <c r="L580" s="74">
        <f t="shared" si="323"/>
        <v>21.602399999999999</v>
      </c>
      <c r="M580" s="114">
        <f t="shared" si="315"/>
        <v>20.399999999999999</v>
      </c>
      <c r="N580" s="115">
        <f>SUM(0.2*(R580-M580),M580)</f>
        <v>19.72</v>
      </c>
      <c r="O580" s="74">
        <f>SUM(0.4*(R580-M580),M580)</f>
        <v>19.04</v>
      </c>
      <c r="P580" s="74">
        <f>SUM(0.6*(R580-M580),M580)</f>
        <v>18.36</v>
      </c>
      <c r="Q580" s="74">
        <f>SUM(0.8*(R580-M580),M580)</f>
        <v>17.68</v>
      </c>
      <c r="R580" s="114">
        <v>17</v>
      </c>
      <c r="S580" s="129"/>
      <c r="T580" s="117">
        <f>SUM((AJ20+AK20++AO18+AP18)*-0.132/2,(AL19+AM19+AN19+AQ17+AR17+AS17+AT16+AU16+AV16+AW15+AX15+AY15+AZ14+BA14+BB14+BC13+BD13+BE13+BF12+BG12+BH12+BI11+BJ11+BK11)*-0.132/3,(BL10+BM10+BN9+BO9+BS5+BT5+BU4+BV4)*-0.132/2,(BP8+BQ7+BR6)*-0.132,17)</f>
        <v>15.534461538461539</v>
      </c>
      <c r="U580" s="117">
        <f>Lefty!T580</f>
        <v>14.923538461538461</v>
      </c>
    </row>
    <row r="581" spans="2:21">
      <c r="B581" s="114">
        <v>37</v>
      </c>
      <c r="C581" s="74">
        <f t="shared" si="316"/>
        <v>35.25</v>
      </c>
      <c r="D581" s="74">
        <f t="shared" si="317"/>
        <v>33.5</v>
      </c>
      <c r="E581" s="74">
        <f t="shared" si="318"/>
        <v>31.75</v>
      </c>
      <c r="F581" s="114">
        <v>30</v>
      </c>
      <c r="G581" s="74">
        <f t="shared" si="319"/>
        <v>28.25</v>
      </c>
      <c r="H581" s="74">
        <f t="shared" si="320"/>
        <v>26.5</v>
      </c>
      <c r="I581" s="74">
        <f t="shared" si="321"/>
        <v>24.75</v>
      </c>
      <c r="J581" s="114">
        <f t="shared" si="322"/>
        <v>23</v>
      </c>
      <c r="K581" s="74">
        <f t="shared" si="293"/>
        <v>21.601400000000002</v>
      </c>
      <c r="L581" s="74">
        <f t="shared" si="323"/>
        <v>20.2028</v>
      </c>
      <c r="M581" s="114">
        <f t="shared" si="315"/>
        <v>18.8</v>
      </c>
      <c r="N581" s="115">
        <f>SUM(0.2*(R581-M581),M581)</f>
        <v>18.440000000000001</v>
      </c>
      <c r="O581" s="74">
        <f>SUM(0.4*(R581-M581),M581)</f>
        <v>18.080000000000002</v>
      </c>
      <c r="P581" s="74">
        <f>SUM(0.6*(R581-M581),M581)</f>
        <v>17.72</v>
      </c>
      <c r="Q581" s="74">
        <f>SUM(0.8*(R581-M581),M581)</f>
        <v>17.36</v>
      </c>
      <c r="R581" s="114">
        <v>17</v>
      </c>
      <c r="S581" s="129"/>
      <c r="T581" s="117">
        <f>SUM((AH20+AI20+AJ20+AK19+AL19+AM19+AN18+AO18+AP18+AQ17+AR17+AS17+AT16+AU16+AV16+BA14+BB14+BC14+BH12+BI12+BJ12+BK11+BL11+BM11+BN10+BO10+BP10)*-0.132/3,(AW15+AX15+AY15+AZ15+BD13+BE13+BF13+BG13)*-0.132/4,(BQ9+BR9)*-0.132/2,(BS8++BS7+BT6+BU5+BV4)*-0.132,17)</f>
        <v>15.699461538461538</v>
      </c>
      <c r="U581" s="117">
        <f>Lefty!T581</f>
        <v>14.989538461538462</v>
      </c>
    </row>
    <row r="582" spans="2:21">
      <c r="B582" s="114">
        <v>38</v>
      </c>
      <c r="C582" s="74">
        <f t="shared" si="316"/>
        <v>36</v>
      </c>
      <c r="D582" s="74">
        <f t="shared" si="317"/>
        <v>34</v>
      </c>
      <c r="E582" s="74">
        <f t="shared" si="318"/>
        <v>32</v>
      </c>
      <c r="F582" s="114">
        <v>30</v>
      </c>
      <c r="G582" s="74">
        <f t="shared" si="319"/>
        <v>28</v>
      </c>
      <c r="H582" s="74">
        <f t="shared" si="320"/>
        <v>26</v>
      </c>
      <c r="I582" s="74">
        <f t="shared" si="321"/>
        <v>24</v>
      </c>
      <c r="J582" s="114">
        <f t="shared" si="322"/>
        <v>22</v>
      </c>
      <c r="K582" s="74">
        <f t="shared" si="293"/>
        <v>20.401599999999998</v>
      </c>
      <c r="L582" s="74">
        <f t="shared" si="323"/>
        <v>18.8032</v>
      </c>
      <c r="M582" s="114">
        <f t="shared" si="315"/>
        <v>17.2</v>
      </c>
      <c r="N582" s="115">
        <f>SUM(0.2*(R582-M582),M582)</f>
        <v>17.16</v>
      </c>
      <c r="O582" s="74">
        <f>SUM(0.4*(R582-M582),M582)</f>
        <v>17.12</v>
      </c>
      <c r="P582" s="74">
        <f>SUM(0.6*(R582-M582),M582)</f>
        <v>17.079999999999998</v>
      </c>
      <c r="Q582" s="74">
        <f>SUM(0.8*(R582-M582),M582)</f>
        <v>17.04</v>
      </c>
      <c r="R582" s="114">
        <v>17</v>
      </c>
      <c r="S582" s="129"/>
      <c r="T582" s="117">
        <f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15.853461538461538</v>
      </c>
      <c r="U582" s="117">
        <f>Lefty!T582</f>
        <v>15.275538461538462</v>
      </c>
    </row>
    <row r="583" spans="2:21">
      <c r="B583" s="114">
        <v>39</v>
      </c>
      <c r="C583" s="74">
        <f t="shared" si="316"/>
        <v>36.75</v>
      </c>
      <c r="D583" s="74">
        <f t="shared" si="317"/>
        <v>34.5</v>
      </c>
      <c r="E583" s="74">
        <f t="shared" si="318"/>
        <v>32.25</v>
      </c>
      <c r="F583" s="114">
        <v>30</v>
      </c>
      <c r="G583" s="74">
        <f t="shared" si="319"/>
        <v>27.75</v>
      </c>
      <c r="H583" s="74">
        <f t="shared" si="320"/>
        <v>25.5</v>
      </c>
      <c r="I583" s="74">
        <f t="shared" si="321"/>
        <v>23.25</v>
      </c>
      <c r="J583" s="114">
        <f t="shared" si="322"/>
        <v>21</v>
      </c>
      <c r="K583" s="74">
        <f t="shared" si="293"/>
        <v>19.201799999999999</v>
      </c>
      <c r="L583" s="74">
        <f t="shared" si="323"/>
        <v>17.403600000000001</v>
      </c>
      <c r="M583" s="114">
        <f t="shared" si="315"/>
        <v>15.6</v>
      </c>
      <c r="N583" s="115">
        <f>SUM(0.2*(R583-M583),M583)</f>
        <v>15.879999999999999</v>
      </c>
      <c r="O583" s="74">
        <f>SUM(0.4*(R583-M583),M583)</f>
        <v>16.16</v>
      </c>
      <c r="P583" s="74">
        <f>SUM(0.6*(R583-M583),M583)</f>
        <v>16.440000000000001</v>
      </c>
      <c r="Q583" s="74">
        <f>SUM(0.8*(R583-M583),M583)</f>
        <v>16.72</v>
      </c>
      <c r="R583" s="114">
        <v>17</v>
      </c>
      <c r="S583" s="129"/>
      <c r="T583" s="117">
        <f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15.972261538461538</v>
      </c>
      <c r="U583" s="117">
        <f>Lefty!T583</f>
        <v>15.297538461538462</v>
      </c>
    </row>
    <row r="584" spans="2:21">
      <c r="B584" s="114"/>
      <c r="C584" s="74"/>
      <c r="D584" s="74"/>
      <c r="E584" s="74"/>
      <c r="F584" s="114"/>
      <c r="G584" s="74"/>
      <c r="H584" s="74"/>
      <c r="I584" s="74"/>
      <c r="J584" s="114"/>
      <c r="K584" s="74"/>
      <c r="L584" s="74"/>
      <c r="M584" s="114"/>
      <c r="N584" s="115"/>
      <c r="O584" s="74"/>
      <c r="P584" s="74"/>
      <c r="Q584" s="74"/>
      <c r="R584" s="114"/>
      <c r="S584" s="129"/>
    </row>
    <row r="585" spans="2:21">
      <c r="B585" s="114">
        <v>36</v>
      </c>
      <c r="C585" s="74">
        <f t="shared" si="316"/>
        <v>34.75</v>
      </c>
      <c r="D585" s="74">
        <f t="shared" si="317"/>
        <v>33.5</v>
      </c>
      <c r="E585" s="74">
        <f t="shared" si="318"/>
        <v>32.25</v>
      </c>
      <c r="F585" s="114">
        <v>31</v>
      </c>
      <c r="G585" s="74">
        <f t="shared" si="319"/>
        <v>29.75</v>
      </c>
      <c r="H585" s="74">
        <f t="shared" si="320"/>
        <v>28.5</v>
      </c>
      <c r="I585" s="74">
        <f t="shared" si="321"/>
        <v>27.25</v>
      </c>
      <c r="J585" s="114">
        <f t="shared" si="322"/>
        <v>26</v>
      </c>
      <c r="K585" s="74">
        <f t="shared" si="293"/>
        <v>25.001000000000001</v>
      </c>
      <c r="L585" s="74">
        <f t="shared" si="323"/>
        <v>24.001999999999999</v>
      </c>
      <c r="M585" s="114">
        <f t="shared" si="315"/>
        <v>23</v>
      </c>
      <c r="N585" s="115">
        <f>SUM(0.2*(R585-M585),M585)</f>
        <v>21.8</v>
      </c>
      <c r="O585" s="74">
        <f>SUM(0.4*(R585-M585),M585)</f>
        <v>20.6</v>
      </c>
      <c r="P585" s="74">
        <f>SUM(0.6*(R585-M585),M585)</f>
        <v>19.399999999999999</v>
      </c>
      <c r="Q585" s="74">
        <f>SUM(0.8*(R585-M585),M585)</f>
        <v>18.2</v>
      </c>
      <c r="R585" s="114">
        <v>17</v>
      </c>
      <c r="S585" s="129"/>
      <c r="T585" s="117">
        <f>SUM((AJ20+AK20+AL19+AM19+AQ17+AR17+AS16+AT16)*-0.132/2,(AN18+AO18+AP18+AU15+AV15+AW15+AZ13+BA13+BB13)*-0.132/3,(AX14+AY14+BC12+BD12+BE11+BF11+BG10+BH10+BI9+BJ9+BK8+BL8+BM7+BN7+BO6+BP6)*-0.132/2,(BQ5+BR5+BS5+BT4+BU4+BV4)*-0.132/3,17)</f>
        <v>15.908461538461538</v>
      </c>
      <c r="U585" s="117">
        <f>Lefty!T585</f>
        <v>14.703538461538461</v>
      </c>
    </row>
    <row r="586" spans="2:21">
      <c r="B586" s="114">
        <v>37</v>
      </c>
      <c r="C586" s="74">
        <f t="shared" si="316"/>
        <v>35.5</v>
      </c>
      <c r="D586" s="74">
        <f t="shared" si="317"/>
        <v>34</v>
      </c>
      <c r="E586" s="74">
        <f t="shared" si="318"/>
        <v>32.5</v>
      </c>
      <c r="F586" s="114">
        <v>31</v>
      </c>
      <c r="G586" s="74">
        <f t="shared" si="319"/>
        <v>29.5</v>
      </c>
      <c r="H586" s="74">
        <f t="shared" si="320"/>
        <v>28</v>
      </c>
      <c r="I586" s="74">
        <f t="shared" si="321"/>
        <v>26.5</v>
      </c>
      <c r="J586" s="114">
        <f t="shared" si="322"/>
        <v>25</v>
      </c>
      <c r="K586" s="74">
        <f t="shared" ref="K586:K594" si="324">SUM(0.333*(M586-J586),J586)</f>
        <v>23.801199999999998</v>
      </c>
      <c r="L586" s="74">
        <f t="shared" si="323"/>
        <v>22.602399999999999</v>
      </c>
      <c r="M586" s="114">
        <f t="shared" si="315"/>
        <v>21.4</v>
      </c>
      <c r="N586" s="115">
        <f>SUM(0.2*(R586-M586),M586)</f>
        <v>20.52</v>
      </c>
      <c r="O586" s="74">
        <f>SUM(0.4*(R586-M586),M586)</f>
        <v>19.64</v>
      </c>
      <c r="P586" s="74">
        <f>SUM(0.6*(R586-M586),M586)</f>
        <v>18.759999999999998</v>
      </c>
      <c r="Q586" s="74">
        <f>SUM(0.8*(R586-M586),M586)</f>
        <v>17.88</v>
      </c>
      <c r="R586" s="114">
        <v>17</v>
      </c>
      <c r="S586" s="129"/>
      <c r="T586" s="117">
        <f>SUM((AH20+AI20+AM18+AN18)*-0.132/2,(AJ19+AK19+AL19+AO17+AP17+AQ17+AR16+AS16+AT16+AU15+AV15+AW15+AX14+AY14+AZ14+BA13+BB13+BC13+BD12+BE12+BF12+BG11+BH11+BI11)*-0.132/3,(BJ10+BK10+BL9+BM9+BO7+BP7+BQ6+BR6+BS5+BT5+BU4+BV4)*-0.132/2,BN8*-0.132,17)</f>
        <v>15.358461538461537</v>
      </c>
      <c r="U586" s="117">
        <f>Lefty!T586</f>
        <v>14.747538461538461</v>
      </c>
    </row>
    <row r="587" spans="2:21">
      <c r="B587" s="114">
        <v>38</v>
      </c>
      <c r="C587" s="74">
        <f t="shared" si="316"/>
        <v>36.25</v>
      </c>
      <c r="D587" s="74">
        <f t="shared" si="317"/>
        <v>34.5</v>
      </c>
      <c r="E587" s="74">
        <f t="shared" si="318"/>
        <v>32.75</v>
      </c>
      <c r="F587" s="114">
        <v>31</v>
      </c>
      <c r="G587" s="74">
        <f t="shared" si="319"/>
        <v>29.25</v>
      </c>
      <c r="H587" s="74">
        <f t="shared" si="320"/>
        <v>27.5</v>
      </c>
      <c r="I587" s="74">
        <f t="shared" si="321"/>
        <v>25.75</v>
      </c>
      <c r="J587" s="114">
        <f t="shared" si="322"/>
        <v>24</v>
      </c>
      <c r="K587" s="74">
        <f t="shared" si="324"/>
        <v>22.601400000000002</v>
      </c>
      <c r="L587" s="74">
        <f t="shared" si="323"/>
        <v>21.2028</v>
      </c>
      <c r="M587" s="114">
        <f t="shared" si="315"/>
        <v>19.8</v>
      </c>
      <c r="N587" s="115">
        <f>SUM(0.2*(R587-M587),M587)</f>
        <v>19.240000000000002</v>
      </c>
      <c r="O587" s="74">
        <f>SUM(0.4*(R587-M587),M587)</f>
        <v>18.68</v>
      </c>
      <c r="P587" s="74">
        <f>SUM(0.6*(R587-M587),M587)</f>
        <v>18.12</v>
      </c>
      <c r="Q587" s="74">
        <f>SUM(0.8*(R587-M587),M587)</f>
        <v>17.559999999999999</v>
      </c>
      <c r="R587" s="114">
        <v>17</v>
      </c>
      <c r="S587" s="129"/>
      <c r="T587" s="117">
        <f>SUM((AF20+AG20+AH20+AI19+AJ19+AK19+AL18+AM18+AN18+AO17+AP17+AQ17+AR16+AS16+AT16+AY14+AZ14+BA14+BF12+BG12+BH12+BI11+BJ11+BK11+BL10+BM10+BN10)*-0.132/3,(AU15+AV15+AW15+AX15+BB13+BC13+BD13+BE13)*-0.132/4,(BO9+BP9+BU4+BV4)*-0.132/2,(BQ8+BR7+BS6+BT5)*-0.132,17)</f>
        <v>15.644461538461538</v>
      </c>
      <c r="U587" s="117">
        <f>Lefty!T587</f>
        <v>14.923538461538461</v>
      </c>
    </row>
    <row r="588" spans="2:21">
      <c r="B588" s="114">
        <v>39</v>
      </c>
      <c r="C588" s="74">
        <f t="shared" si="316"/>
        <v>37</v>
      </c>
      <c r="D588" s="74">
        <f t="shared" si="317"/>
        <v>35</v>
      </c>
      <c r="E588" s="74">
        <f t="shared" si="318"/>
        <v>33</v>
      </c>
      <c r="F588" s="114">
        <v>31</v>
      </c>
      <c r="G588" s="74">
        <f t="shared" si="319"/>
        <v>29</v>
      </c>
      <c r="H588" s="74">
        <f t="shared" si="320"/>
        <v>27</v>
      </c>
      <c r="I588" s="74">
        <f t="shared" si="321"/>
        <v>25</v>
      </c>
      <c r="J588" s="114">
        <f t="shared" si="322"/>
        <v>23</v>
      </c>
      <c r="K588" s="74">
        <f t="shared" si="324"/>
        <v>21.401599999999998</v>
      </c>
      <c r="L588" s="74">
        <f t="shared" si="323"/>
        <v>19.8032</v>
      </c>
      <c r="M588" s="114">
        <f t="shared" si="315"/>
        <v>18.2</v>
      </c>
      <c r="N588" s="115">
        <f>SUM(0.2*(R588-M588),M588)</f>
        <v>17.96</v>
      </c>
      <c r="O588" s="74">
        <f>SUM(0.4*(R588-M588),M588)</f>
        <v>17.72</v>
      </c>
      <c r="P588" s="74">
        <f>SUM(0.6*(R588-M588),M588)</f>
        <v>17.48</v>
      </c>
      <c r="Q588" s="74">
        <f>SUM(0.8*(R588-M588),M588)</f>
        <v>17.239999999999998</v>
      </c>
      <c r="R588" s="114">
        <v>17</v>
      </c>
      <c r="S588" s="129"/>
      <c r="T588" s="117">
        <f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15.919461538461537</v>
      </c>
      <c r="U588" s="117">
        <f>Lefty!T588</f>
        <v>15.055538461538461</v>
      </c>
    </row>
    <row r="589" spans="2:21">
      <c r="B589" s="114"/>
      <c r="C589" s="74"/>
      <c r="D589" s="74"/>
      <c r="E589" s="74"/>
      <c r="F589" s="114"/>
      <c r="G589" s="74"/>
      <c r="H589" s="74"/>
      <c r="I589" s="74"/>
      <c r="J589" s="114"/>
      <c r="K589" s="74"/>
      <c r="L589" s="74"/>
      <c r="M589" s="114"/>
      <c r="N589" s="115"/>
      <c r="O589" s="74"/>
      <c r="P589" s="74"/>
      <c r="Q589" s="74"/>
      <c r="R589" s="114"/>
      <c r="S589" s="129"/>
    </row>
    <row r="590" spans="2:21">
      <c r="B590" s="114">
        <v>37</v>
      </c>
      <c r="C590" s="74">
        <f t="shared" si="316"/>
        <v>35.75</v>
      </c>
      <c r="D590" s="74">
        <f t="shared" si="317"/>
        <v>34.5</v>
      </c>
      <c r="E590" s="74">
        <f t="shared" si="318"/>
        <v>33.25</v>
      </c>
      <c r="F590" s="114">
        <v>32</v>
      </c>
      <c r="G590" s="74">
        <f t="shared" si="319"/>
        <v>30.75</v>
      </c>
      <c r="H590" s="74">
        <f t="shared" si="320"/>
        <v>29.5</v>
      </c>
      <c r="I590" s="74">
        <f t="shared" si="321"/>
        <v>28.25</v>
      </c>
      <c r="J590" s="114">
        <f t="shared" si="322"/>
        <v>27</v>
      </c>
      <c r="K590" s="74">
        <f t="shared" si="324"/>
        <v>25.751249999999999</v>
      </c>
      <c r="L590" s="74">
        <f t="shared" si="323"/>
        <v>24.502500000000001</v>
      </c>
      <c r="M590" s="114">
        <f>SUM(J590,J590-G590)</f>
        <v>23.25</v>
      </c>
      <c r="N590" s="115">
        <f>SUM(0.2*(R590-M590),M590)</f>
        <v>22</v>
      </c>
      <c r="O590" s="74">
        <f>SUM(0.4*(R590-M590),M590)</f>
        <v>20.75</v>
      </c>
      <c r="P590" s="74">
        <f>SUM(0.6*(R590-M590),M590)</f>
        <v>19.5</v>
      </c>
      <c r="Q590" s="74">
        <f>SUM(0.8*(R590-M590),M590)</f>
        <v>18.25</v>
      </c>
      <c r="R590" s="114">
        <v>17</v>
      </c>
      <c r="S590" s="129"/>
      <c r="T590" s="117">
        <f>SUM((AH20+AI20+AJ19+AK19+AO17+AP17+AQ16+AR16+AV14+AW14+BA12+BB12+BI9+BJ9)*-0.132/2,(AL18+AM18+AN18+AS15+AT15+AU15+AX13+AY13+AZ13+BC11+BD11+BE11+BF10+BG10+BH10+BQ5+BR5+BS5+BT4+BU4+BV4)*-0.132/3,(BK8+BL8+BM7+BN7+BO6+BP6)*-0.132/2,17)</f>
        <v>15.732461538461537</v>
      </c>
      <c r="U590" s="117">
        <f>Lefty!T590</f>
        <v>14.989538461538462</v>
      </c>
    </row>
    <row r="591" spans="2:21">
      <c r="B591" s="114">
        <v>38</v>
      </c>
      <c r="C591" s="74">
        <f t="shared" si="316"/>
        <v>36.5</v>
      </c>
      <c r="D591" s="74">
        <f t="shared" si="317"/>
        <v>35</v>
      </c>
      <c r="E591" s="74">
        <f t="shared" si="318"/>
        <v>33.5</v>
      </c>
      <c r="F591" s="114">
        <v>32</v>
      </c>
      <c r="G591" s="74">
        <f t="shared" si="319"/>
        <v>30.5</v>
      </c>
      <c r="H591" s="74">
        <f t="shared" si="320"/>
        <v>29</v>
      </c>
      <c r="I591" s="74">
        <f t="shared" si="321"/>
        <v>27.5</v>
      </c>
      <c r="J591" s="114">
        <f t="shared" si="322"/>
        <v>26</v>
      </c>
      <c r="K591" s="74">
        <f t="shared" si="324"/>
        <v>24.801199999999998</v>
      </c>
      <c r="L591" s="74">
        <f t="shared" si="323"/>
        <v>23.602399999999999</v>
      </c>
      <c r="M591" s="114">
        <f t="shared" ref="M591:M594" si="325">SUM(J591,-F591,J591,0.4*ABS(J591-F591))</f>
        <v>22.4</v>
      </c>
      <c r="N591" s="115">
        <f>SUM(0.2*(R591-M591),M591)</f>
        <v>21.32</v>
      </c>
      <c r="O591" s="74">
        <f>SUM(0.4*(R591-M591),M591)</f>
        <v>20.239999999999998</v>
      </c>
      <c r="P591" s="74">
        <f>SUM(0.6*(R591-M591),M591)</f>
        <v>19.16</v>
      </c>
      <c r="Q591" s="74">
        <f>SUM(0.8*(R591-M591),M591)</f>
        <v>18.079999999999998</v>
      </c>
      <c r="R591" s="114">
        <v>17</v>
      </c>
      <c r="S591" s="129"/>
      <c r="T591" s="117">
        <f>SUM((AF20+AG20+AK18+AL18)*-0.132/2,(AH19+AI19+AJ19+AM17+AN17+AO17+AP16+AQ16+AR16+AS15+AT15+AU15+AV14+AW14+AX14+AY13+AZ13+BA13+BB12+BC12+BD12+BE11+BF11+BG11)*-0.132/3,(BH10+BI10+BJ9+BK9+BL8+BM8+BN7+BO7+BP6+BQ6+BR5+BS5)*-0.132/2,(BT4+BU4+BV4)*-0.132/3,17)</f>
        <v>15.952461538461538</v>
      </c>
      <c r="U591" s="117">
        <f>Lefty!T591</f>
        <v>14.725538461538461</v>
      </c>
    </row>
    <row r="592" spans="2:21">
      <c r="B592" s="114">
        <v>39</v>
      </c>
      <c r="C592" s="74">
        <f t="shared" si="316"/>
        <v>37.25</v>
      </c>
      <c r="D592" s="74">
        <f t="shared" si="317"/>
        <v>35.5</v>
      </c>
      <c r="E592" s="74">
        <f t="shared" si="318"/>
        <v>33.75</v>
      </c>
      <c r="F592" s="114">
        <v>32</v>
      </c>
      <c r="G592" s="74">
        <f t="shared" si="319"/>
        <v>30.25</v>
      </c>
      <c r="H592" s="74">
        <f t="shared" si="320"/>
        <v>28.5</v>
      </c>
      <c r="I592" s="74">
        <f t="shared" si="321"/>
        <v>26.75</v>
      </c>
      <c r="J592" s="114">
        <f t="shared" si="322"/>
        <v>25</v>
      </c>
      <c r="K592" s="74">
        <f t="shared" si="324"/>
        <v>23.601400000000002</v>
      </c>
      <c r="L592" s="74">
        <f t="shared" si="323"/>
        <v>22.2028</v>
      </c>
      <c r="M592" s="114">
        <f t="shared" si="325"/>
        <v>20.8</v>
      </c>
      <c r="N592" s="115">
        <f>SUM(0.2*(R592-M592),M592)</f>
        <v>20.04</v>
      </c>
      <c r="O592" s="74">
        <f>SUM(0.4*(R592-M592),M592)</f>
        <v>19.28</v>
      </c>
      <c r="P592" s="74">
        <f>SUM(0.6*(R592-M592),M592)</f>
        <v>18.52</v>
      </c>
      <c r="Q592" s="74">
        <f>SUM(0.8*(R592-M592),M592)</f>
        <v>17.759999999999998</v>
      </c>
      <c r="R592" s="114">
        <v>17</v>
      </c>
      <c r="S592" s="129"/>
      <c r="T592" s="117">
        <f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15.875461538461538</v>
      </c>
      <c r="U592" s="117">
        <f>Lefty!T592</f>
        <v>14.747538461538461</v>
      </c>
    </row>
    <row r="593" spans="1:21">
      <c r="B593" s="114"/>
      <c r="C593" s="74"/>
      <c r="D593" s="74"/>
      <c r="E593" s="74"/>
      <c r="F593" s="114"/>
      <c r="G593" s="74"/>
      <c r="H593" s="74"/>
      <c r="I593" s="74"/>
      <c r="J593" s="114"/>
      <c r="K593" s="74"/>
      <c r="L593" s="74"/>
      <c r="M593" s="114"/>
      <c r="N593" s="115"/>
      <c r="O593" s="74"/>
      <c r="P593" s="74"/>
      <c r="Q593" s="74"/>
      <c r="R593" s="114"/>
      <c r="S593" s="129"/>
    </row>
    <row r="594" spans="1:21">
      <c r="B594" s="114">
        <v>39</v>
      </c>
      <c r="C594" s="74">
        <f t="shared" si="316"/>
        <v>37.5</v>
      </c>
      <c r="D594" s="74">
        <f t="shared" si="317"/>
        <v>36</v>
      </c>
      <c r="E594" s="74">
        <f t="shared" si="318"/>
        <v>34.5</v>
      </c>
      <c r="F594" s="114">
        <v>33</v>
      </c>
      <c r="G594" s="74">
        <f t="shared" si="319"/>
        <v>31.5</v>
      </c>
      <c r="H594" s="74">
        <f t="shared" si="320"/>
        <v>30</v>
      </c>
      <c r="I594" s="74">
        <f t="shared" si="321"/>
        <v>28.5</v>
      </c>
      <c r="J594" s="114">
        <f t="shared" si="322"/>
        <v>27</v>
      </c>
      <c r="K594" s="74">
        <f t="shared" si="324"/>
        <v>25.801199999999998</v>
      </c>
      <c r="L594" s="74">
        <f t="shared" si="323"/>
        <v>24.602399999999999</v>
      </c>
      <c r="M594" s="114">
        <f t="shared" si="325"/>
        <v>23.4</v>
      </c>
      <c r="N594" s="115">
        <f>SUM(0.2*(R594-M594),M594)</f>
        <v>22.119999999999997</v>
      </c>
      <c r="O594" s="74">
        <f>SUM(0.4*(R594-M594),M594)</f>
        <v>20.84</v>
      </c>
      <c r="P594" s="74">
        <f>SUM(0.6*(R594-M594),M594)</f>
        <v>19.559999999999999</v>
      </c>
      <c r="Q594" s="74">
        <f>SUM(0.8*(R594-M594),M594)</f>
        <v>18.28</v>
      </c>
      <c r="R594" s="114">
        <v>17</v>
      </c>
      <c r="S594" s="129"/>
      <c r="T594" s="117">
        <f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16.238461538461539</v>
      </c>
      <c r="U594" s="117">
        <f>Lefty!T594</f>
        <v>15.099538461538462</v>
      </c>
    </row>
    <row r="596" spans="1:21">
      <c r="A596" s="84" t="s">
        <v>178</v>
      </c>
      <c r="B596" s="111">
        <f>COUNT(B302:B594)</f>
        <v>261</v>
      </c>
      <c r="C596" s="111" t="s">
        <v>182</v>
      </c>
      <c r="D596" s="111">
        <f>$B$596</f>
        <v>261</v>
      </c>
      <c r="E596" s="111" t="s">
        <v>181</v>
      </c>
      <c r="F596" s="111">
        <f>PRODUCT(B596,2)</f>
        <v>522</v>
      </c>
    </row>
    <row r="598" spans="1:21" ht="25.5">
      <c r="I598" s="116" t="s">
        <v>176</v>
      </c>
      <c r="L598" s="111"/>
      <c r="M598" s="112"/>
      <c r="N598" s="112"/>
    </row>
    <row r="599" spans="1:21">
      <c r="L599" s="111"/>
      <c r="M599" s="112"/>
      <c r="N599" s="112"/>
    </row>
    <row r="600" spans="1:21">
      <c r="L600" s="111"/>
      <c r="M600" s="112"/>
      <c r="N600" s="112"/>
    </row>
    <row r="601" spans="1:21">
      <c r="B601" s="111" t="s">
        <v>127</v>
      </c>
      <c r="F601" s="113" t="s">
        <v>128</v>
      </c>
      <c r="L601" s="111" t="s">
        <v>130</v>
      </c>
      <c r="M601" s="112"/>
      <c r="N601" s="112"/>
    </row>
    <row r="602" spans="1:21">
      <c r="A602" s="112" t="s">
        <v>126</v>
      </c>
      <c r="B602" s="114">
        <v>0</v>
      </c>
      <c r="C602" s="74">
        <f t="shared" ref="C602" si="326">SUM(0.25*(F602-B602),B602)</f>
        <v>3.75</v>
      </c>
      <c r="D602" s="74">
        <f t="shared" ref="D602" si="327">SUM(0.5*(F602-B602)+B602)</f>
        <v>7.5</v>
      </c>
      <c r="E602" s="74">
        <f t="shared" ref="E602" si="328">SUM(0.75*(F602-B602),B602)</f>
        <v>11.25</v>
      </c>
      <c r="F602" s="114">
        <v>15</v>
      </c>
      <c r="G602" s="74">
        <f t="shared" ref="G602" si="329">SUM(0.25*(J602-F602),F602)</f>
        <v>18.75</v>
      </c>
      <c r="H602" s="74">
        <f t="shared" ref="H602" si="330">SUM(0.5*(J602-F602)+F602)</f>
        <v>22.5</v>
      </c>
      <c r="I602" s="74">
        <f t="shared" ref="I602" si="331">SUM(0.75*(J602-F602),F602)</f>
        <v>26.25</v>
      </c>
      <c r="J602" s="114">
        <v>30</v>
      </c>
      <c r="K602" s="74">
        <f t="shared" ref="K602" si="332">SUM(0.25*(N602-J602),J602)</f>
        <v>33.75</v>
      </c>
      <c r="L602" s="114">
        <f t="shared" ref="L602" si="333">SUM(0.5*(N602-J602)+J602)</f>
        <v>37.5</v>
      </c>
      <c r="M602" s="115">
        <f t="shared" ref="M602" si="334">SUM(0.75*(N602-J602),J602)</f>
        <v>41.25</v>
      </c>
      <c r="N602" s="115">
        <v>45</v>
      </c>
      <c r="O602" s="74">
        <f>SUM(0.25*(R602-N602),N602)</f>
        <v>48.75</v>
      </c>
      <c r="P602" s="74">
        <f>SUM(0.5*(R602-N602)+N602)</f>
        <v>52.5</v>
      </c>
      <c r="Q602" s="74">
        <f>SUM(0.75*(R602-N602),N602)</f>
        <v>56.25</v>
      </c>
      <c r="R602" s="114">
        <v>60</v>
      </c>
      <c r="S602" s="129"/>
    </row>
    <row r="603" spans="1:21">
      <c r="B603" s="114"/>
      <c r="C603" s="74"/>
      <c r="D603" s="74"/>
      <c r="E603" s="74"/>
      <c r="F603" s="114"/>
      <c r="G603" s="74"/>
      <c r="H603" s="74"/>
      <c r="I603" s="74"/>
      <c r="J603" s="114"/>
      <c r="K603" s="74"/>
      <c r="L603" s="114"/>
      <c r="M603" s="115"/>
      <c r="N603" s="115"/>
      <c r="O603" s="74"/>
      <c r="P603" s="74"/>
      <c r="Q603" s="74"/>
      <c r="R603" s="114"/>
      <c r="S603" s="129"/>
    </row>
    <row r="604" spans="1:21">
      <c r="A604" s="112" t="s">
        <v>125</v>
      </c>
      <c r="B604" s="114">
        <v>3.5</v>
      </c>
      <c r="C604" s="74">
        <v>7</v>
      </c>
      <c r="D604" s="74">
        <v>10.5</v>
      </c>
      <c r="E604" s="74">
        <v>14</v>
      </c>
      <c r="F604" s="114">
        <v>17.5</v>
      </c>
      <c r="G604" s="74">
        <v>21</v>
      </c>
      <c r="H604" s="74">
        <v>24.5</v>
      </c>
      <c r="I604" s="74">
        <v>28</v>
      </c>
      <c r="J604" s="114">
        <v>31.5</v>
      </c>
      <c r="K604" s="74">
        <v>35</v>
      </c>
      <c r="L604" s="114">
        <v>38.5</v>
      </c>
      <c r="M604" s="115">
        <v>42</v>
      </c>
      <c r="N604" s="115">
        <v>45.5</v>
      </c>
      <c r="O604" s="74">
        <v>49</v>
      </c>
      <c r="P604" s="74">
        <v>52.5</v>
      </c>
      <c r="Q604" s="74">
        <v>56</v>
      </c>
      <c r="R604" s="114">
        <v>58.5</v>
      </c>
      <c r="S604" s="129"/>
    </row>
    <row r="605" spans="1:21">
      <c r="B605" s="114"/>
      <c r="C605" s="74"/>
      <c r="D605" s="74"/>
      <c r="E605" s="74"/>
      <c r="F605" s="114"/>
      <c r="G605" s="74"/>
      <c r="H605" s="74"/>
      <c r="I605" s="74"/>
      <c r="J605" s="114"/>
      <c r="K605" s="74"/>
      <c r="L605" s="114"/>
      <c r="M605" s="115"/>
      <c r="N605" s="115"/>
      <c r="O605" s="74"/>
      <c r="P605" s="74"/>
      <c r="Q605" s="74"/>
      <c r="R605" s="114"/>
      <c r="S605" s="129"/>
    </row>
    <row r="606" spans="1:21">
      <c r="A606" s="112"/>
      <c r="B606" s="114"/>
      <c r="C606" s="74"/>
      <c r="D606" s="74"/>
      <c r="E606" s="74"/>
      <c r="F606" s="114"/>
      <c r="G606" s="74"/>
      <c r="H606" s="74"/>
      <c r="I606" s="74"/>
      <c r="J606" s="114"/>
      <c r="K606" s="74"/>
      <c r="L606" s="114"/>
      <c r="M606" s="115"/>
      <c r="N606" s="115"/>
      <c r="O606" s="74"/>
      <c r="P606" s="74"/>
      <c r="Q606" s="74"/>
      <c r="R606" s="114"/>
      <c r="S606" s="129"/>
    </row>
    <row r="607" spans="1:21">
      <c r="A607" s="112"/>
      <c r="B607" s="114"/>
      <c r="C607" s="74"/>
      <c r="D607" s="74"/>
      <c r="E607" s="74"/>
      <c r="F607" s="114"/>
      <c r="G607" s="74"/>
      <c r="H607" s="74"/>
      <c r="I607" s="74"/>
      <c r="J607" s="114"/>
      <c r="K607" s="74"/>
      <c r="L607" s="114"/>
      <c r="M607" s="115"/>
      <c r="N607" s="115"/>
      <c r="O607" s="74"/>
      <c r="P607" s="74"/>
      <c r="Q607" s="74"/>
      <c r="R607" s="114"/>
      <c r="S607" s="129"/>
    </row>
    <row r="608" spans="1:21">
      <c r="B608" s="114">
        <v>1</v>
      </c>
      <c r="C608" s="74">
        <f t="shared" ref="C608:C667" si="335">SUM(0.25*(F608-B608),B608)</f>
        <v>1</v>
      </c>
      <c r="D608" s="74">
        <f t="shared" ref="D608:D667" si="336">SUM(0.5*(F608-B608)+B608)</f>
        <v>1</v>
      </c>
      <c r="E608" s="74">
        <f t="shared" ref="E608:E667" si="337">SUM(0.75*(F608-B608),B608)</f>
        <v>1</v>
      </c>
      <c r="F608" s="114">
        <v>1</v>
      </c>
      <c r="G608" s="74">
        <f t="shared" ref="G608:G667" si="338">SUM(0.25*(J608-F608),F608)</f>
        <v>1</v>
      </c>
      <c r="H608" s="74">
        <f t="shared" ref="H608:H667" si="339">SUM(0.5*(J608-F608),F608)</f>
        <v>1</v>
      </c>
      <c r="I608" s="74">
        <f t="shared" ref="I608:I667" si="340">SUM(0.75*(J608-F608),F608)</f>
        <v>1</v>
      </c>
      <c r="J608" s="114">
        <f t="shared" ref="J608:J667" si="341">SUM(F608,-B608,F608)</f>
        <v>1</v>
      </c>
      <c r="K608" s="74">
        <f t="shared" ref="K608" si="342">SUM(0.5*(L608-J608),J608)</f>
        <v>1.8</v>
      </c>
      <c r="L608" s="114">
        <f>SUM(J608,J608,-H608,0.25*ABS(J608-H608),0.1*(17-F608))</f>
        <v>2.6</v>
      </c>
      <c r="M608" s="115">
        <f>SUM(0.166*(R608-L608),L608)</f>
        <v>4.9904000000000002</v>
      </c>
      <c r="N608" s="115">
        <f>SUM(0.333*(R608-L608),L608)</f>
        <v>7.3952000000000009</v>
      </c>
      <c r="O608" s="74">
        <f>SUM(0.5*(R608-L608),L608)</f>
        <v>9.8000000000000007</v>
      </c>
      <c r="P608" s="74">
        <f>SUM(0.666*(R608-L608),L608)</f>
        <v>12.1904</v>
      </c>
      <c r="Q608" s="74">
        <f>SUM(0.832*(R608-L608),L608)</f>
        <v>14.5808</v>
      </c>
      <c r="R608" s="114">
        <v>17</v>
      </c>
      <c r="S608" s="129"/>
      <c r="T608" s="117">
        <f>SUM((DB20+DB19+DB18+DB17+DB16+DB15+DB14+DB13+DB12+DA11)*-0.132,(CZ10+CY10)*-0.132/2,(CX9+CW9+CV9+CU9+CT9+CS8+CR8+CQ8+CP8+CO8+CN7+CM7+CL7+CK7+CJ7+CI6+CH6+CG6+CF6+CE6+CD5+CC5+CB5+CA5+BZ5)*-0.132/5,(BY4+BX4+BW4+BV4)*-0.132/4,17)</f>
        <v>18.420861538461537</v>
      </c>
      <c r="U608" s="117">
        <f>Lefty!T608</f>
        <v>16.885938461538462</v>
      </c>
    </row>
    <row r="609" spans="2:21">
      <c r="B609" s="114"/>
      <c r="C609" s="74"/>
      <c r="D609" s="74"/>
      <c r="E609" s="74"/>
      <c r="F609" s="114"/>
      <c r="G609" s="74"/>
      <c r="H609" s="74"/>
      <c r="I609" s="74"/>
      <c r="J609" s="114"/>
      <c r="K609" s="74"/>
      <c r="L609" s="114"/>
      <c r="M609" s="115"/>
      <c r="N609" s="115"/>
      <c r="O609" s="74"/>
      <c r="P609" s="74"/>
      <c r="Q609" s="74"/>
      <c r="R609" s="114"/>
      <c r="S609" s="129"/>
    </row>
    <row r="610" spans="2:21">
      <c r="B610" s="114">
        <v>1</v>
      </c>
      <c r="C610" s="74">
        <f t="shared" si="335"/>
        <v>1.25</v>
      </c>
      <c r="D610" s="74">
        <f t="shared" si="336"/>
        <v>1.5</v>
      </c>
      <c r="E610" s="74">
        <f t="shared" si="337"/>
        <v>1.75</v>
      </c>
      <c r="F610" s="114">
        <v>2</v>
      </c>
      <c r="G610" s="74">
        <f t="shared" si="338"/>
        <v>2.25</v>
      </c>
      <c r="H610" s="74">
        <f t="shared" si="339"/>
        <v>2.5</v>
      </c>
      <c r="I610" s="74">
        <f t="shared" si="340"/>
        <v>2.75</v>
      </c>
      <c r="J610" s="114">
        <f t="shared" si="341"/>
        <v>3</v>
      </c>
      <c r="K610" s="74">
        <f t="shared" ref="K610:K611" si="343">SUM(0.5*(L610-J610),J610)</f>
        <v>3.3125</v>
      </c>
      <c r="L610" s="114">
        <f t="shared" ref="L610:L614" si="344">SUM(J610,J610,-H610,0.25*ABS(J610-H610))</f>
        <v>3.625</v>
      </c>
      <c r="M610" s="115">
        <f>SUM(0.166*(R610-L610),L610)</f>
        <v>5.8452500000000001</v>
      </c>
      <c r="N610" s="115">
        <f>SUM(0.333*(R610-L610),L610)</f>
        <v>8.078875</v>
      </c>
      <c r="O610" s="74">
        <f>SUM(0.5*(R610-L610),L610)</f>
        <v>10.3125</v>
      </c>
      <c r="P610" s="74">
        <f>SUM(0.666*(R610-L610),L610)</f>
        <v>12.53275</v>
      </c>
      <c r="Q610" s="74">
        <f>SUM(0.832*(R610-L610),L610)</f>
        <v>14.753</v>
      </c>
      <c r="R610" s="114">
        <v>17</v>
      </c>
      <c r="S610" s="129"/>
      <c r="T610" s="117">
        <f>SUM((DB20+DA19+DA18+CZ17+CZ16+CY15+CY14+CX13+CX12+CW11+CW10)*-0.132,(CV9+CU9+CT9+CS9+CR9+CQ8+CP8+CO8+CN8+CM8+CL7+CK7+CJ7+CI7+CH7)*-0.132/5,(CG6+CF6+CE6+CD6+CC5+CB5+CA5+BZ5+BY4+BX4+BW4+BV4)*-0.132/4,17)</f>
        <v>18.02486153846154</v>
      </c>
      <c r="U610" s="117">
        <f>Lefty!T610</f>
        <v>16.839738461538463</v>
      </c>
    </row>
    <row r="611" spans="2:21">
      <c r="B611" s="114">
        <v>2</v>
      </c>
      <c r="C611" s="74">
        <f t="shared" si="335"/>
        <v>2</v>
      </c>
      <c r="D611" s="74">
        <f t="shared" si="336"/>
        <v>2</v>
      </c>
      <c r="E611" s="74">
        <f t="shared" si="337"/>
        <v>2</v>
      </c>
      <c r="F611" s="114">
        <v>2</v>
      </c>
      <c r="G611" s="74">
        <f t="shared" si="338"/>
        <v>2</v>
      </c>
      <c r="H611" s="74">
        <f t="shared" si="339"/>
        <v>2</v>
      </c>
      <c r="I611" s="74">
        <f t="shared" si="340"/>
        <v>2</v>
      </c>
      <c r="J611" s="114">
        <f t="shared" si="341"/>
        <v>2</v>
      </c>
      <c r="K611" s="74">
        <f t="shared" si="343"/>
        <v>2.75</v>
      </c>
      <c r="L611" s="114">
        <f>SUM(J611,J611,-H611,0.25*ABS(J611-H611),0.1*(17-F611))</f>
        <v>3.5</v>
      </c>
      <c r="M611" s="115">
        <f>SUM(0.166*(R611-L611),L611)</f>
        <v>5.7409999999999997</v>
      </c>
      <c r="N611" s="115">
        <f>SUM(0.333*(R611-L611),L611)</f>
        <v>7.9954999999999998</v>
      </c>
      <c r="O611" s="74">
        <f>SUM(0.5*(R611-L611),L611)</f>
        <v>10.25</v>
      </c>
      <c r="P611" s="74">
        <f>SUM(0.666*(R611-L611),L611)</f>
        <v>12.491</v>
      </c>
      <c r="Q611" s="74">
        <f>SUM(0.832*(R611-L611),L611)</f>
        <v>14.731999999999999</v>
      </c>
      <c r="R611" s="114">
        <v>17</v>
      </c>
      <c r="S611" s="129"/>
      <c r="T611" s="117">
        <f>SUM((CZ20+CZ19+CZ18+CZ17+CZ16+CZ15+CZ14+CZ13+CZ12+CY11)*-0.132,(CX10+CW10)*-0.132/2,(CV9+CU9+CT9+CS9+CR9+CQ8+CP8+CO8+CN8+CM8+CL7+CK7+CJ7+CI7+CH7)*-0.132/5,(CG6+CF6+CE6+CD6+CC5+CB5+CA5+BZ5+BY4+BX4+BW4+BV4)*-0.132/4,17)</f>
        <v>17.430861538461539</v>
      </c>
      <c r="U611" s="117">
        <f>Lefty!T611</f>
        <v>15.651738461538461</v>
      </c>
    </row>
    <row r="612" spans="2:21">
      <c r="B612" s="114"/>
      <c r="C612" s="74"/>
      <c r="D612" s="74"/>
      <c r="E612" s="74"/>
      <c r="F612" s="114"/>
      <c r="G612" s="74"/>
      <c r="H612" s="74"/>
      <c r="I612" s="74"/>
      <c r="J612" s="114"/>
      <c r="K612" s="74"/>
      <c r="L612" s="114"/>
      <c r="M612" s="115"/>
      <c r="N612" s="115"/>
      <c r="O612" s="74"/>
      <c r="P612" s="74"/>
      <c r="Q612" s="74"/>
      <c r="R612" s="114"/>
      <c r="S612" s="129"/>
    </row>
    <row r="613" spans="2:21">
      <c r="B613" s="114">
        <v>1</v>
      </c>
      <c r="C613" s="74">
        <f t="shared" si="335"/>
        <v>1.5</v>
      </c>
      <c r="D613" s="74">
        <f t="shared" si="336"/>
        <v>2</v>
      </c>
      <c r="E613" s="74">
        <f t="shared" si="337"/>
        <v>2.5</v>
      </c>
      <c r="F613" s="114">
        <v>3</v>
      </c>
      <c r="G613" s="74">
        <f t="shared" si="338"/>
        <v>3.5</v>
      </c>
      <c r="H613" s="74">
        <f t="shared" si="339"/>
        <v>4</v>
      </c>
      <c r="I613" s="74">
        <f t="shared" si="340"/>
        <v>4.5</v>
      </c>
      <c r="J613" s="114">
        <f t="shared" si="341"/>
        <v>5</v>
      </c>
      <c r="K613" s="74">
        <f t="shared" ref="K613:K616" si="345">SUM(0.5*(L613-J613),J613)</f>
        <v>5.625</v>
      </c>
      <c r="L613" s="114">
        <f t="shared" si="344"/>
        <v>6.25</v>
      </c>
      <c r="M613" s="115">
        <f>SUM(0.166*(R613-L613),L613)</f>
        <v>8.0344999999999995</v>
      </c>
      <c r="N613" s="115">
        <f>SUM(0.333*(R613-L613),L613)</f>
        <v>9.8297500000000007</v>
      </c>
      <c r="O613" s="74">
        <f>SUM(0.5*(R613-L613),L613)</f>
        <v>11.625</v>
      </c>
      <c r="P613" s="74">
        <f>SUM(0.666*(R613-L613),L613)</f>
        <v>13.409500000000001</v>
      </c>
      <c r="Q613" s="74">
        <f>SUM(0.832*(R613-L613),L613)</f>
        <v>15.193999999999999</v>
      </c>
      <c r="R613" s="114">
        <v>17</v>
      </c>
      <c r="S613" s="129"/>
      <c r="T613" s="117">
        <f>SUM((DB20+DA19+CZ18+CY17+CX16+CW15+CV14+CU13+CT12+CS11)*-0.132,(CR10+CQ10)*-0.132/2,(CP9+CO9+CN9+CM9+CL8+CK8+CJ8+CI8+CH7+CG7+CF7+CE7)*-0.132/4,(CD6+CC6+CB6+CA5+BZ5+BY5+BX4+BW4+BV4)*-0.132/3,17)</f>
        <v>17.976461538461539</v>
      </c>
      <c r="U613" s="117">
        <f>Lefty!T613</f>
        <v>17.233538461538462</v>
      </c>
    </row>
    <row r="614" spans="2:21">
      <c r="B614" s="114">
        <v>2</v>
      </c>
      <c r="C614" s="74">
        <f t="shared" si="335"/>
        <v>2.25</v>
      </c>
      <c r="D614" s="74">
        <f t="shared" si="336"/>
        <v>2.5</v>
      </c>
      <c r="E614" s="74">
        <f t="shared" si="337"/>
        <v>2.75</v>
      </c>
      <c r="F614" s="114">
        <v>3</v>
      </c>
      <c r="G614" s="74">
        <f t="shared" si="338"/>
        <v>3.25</v>
      </c>
      <c r="H614" s="74">
        <f t="shared" si="339"/>
        <v>3.5</v>
      </c>
      <c r="I614" s="74">
        <f t="shared" si="340"/>
        <v>3.75</v>
      </c>
      <c r="J614" s="114">
        <f t="shared" si="341"/>
        <v>4</v>
      </c>
      <c r="K614" s="74">
        <f t="shared" si="345"/>
        <v>4.3125</v>
      </c>
      <c r="L614" s="114">
        <f t="shared" si="344"/>
        <v>4.625</v>
      </c>
      <c r="M614" s="115">
        <f>SUM(0.166*(R614-L614),L614)</f>
        <v>6.6792499999999997</v>
      </c>
      <c r="N614" s="115">
        <f>SUM(0.333*(R614-L614),L614)</f>
        <v>8.7458749999999998</v>
      </c>
      <c r="O614" s="74">
        <f>SUM(0.5*(R614-L614),L614)</f>
        <v>10.8125</v>
      </c>
      <c r="P614" s="74">
        <f>SUM(0.666*(R614-L614),L614)</f>
        <v>12.86675</v>
      </c>
      <c r="Q614" s="74">
        <f>SUM(0.832*(R614-L614),L614)</f>
        <v>14.920999999999999</v>
      </c>
      <c r="R614" s="114">
        <v>17</v>
      </c>
      <c r="S614" s="129"/>
      <c r="T614" s="117">
        <f>SUM((CZ20+CY19+CY18+CX17+CX16+CW15+CW14+CV13+CV12+CU11+CU10)*-0.132,(CT9+CS9+CR9+CQ9+CP9)*-0.132/5,(CO8+CN8+CM8+CL8+CK7+CJ7+CI7+CH7+CG6+CF6+CE6+CD6+CC5+CB5+CA5+BZ5+BY4+BX4+BW4+BV4)*-0.132/4,17)</f>
        <v>17.648661538461539</v>
      </c>
      <c r="U614" s="117">
        <f>Lefty!T614</f>
        <v>16.905738461538462</v>
      </c>
    </row>
    <row r="615" spans="2:21">
      <c r="B615" s="114">
        <v>3</v>
      </c>
      <c r="C615" s="74">
        <f t="shared" si="335"/>
        <v>3</v>
      </c>
      <c r="D615" s="74">
        <f t="shared" si="336"/>
        <v>3</v>
      </c>
      <c r="E615" s="74">
        <f t="shared" si="337"/>
        <v>3</v>
      </c>
      <c r="F615" s="114">
        <v>3</v>
      </c>
      <c r="G615" s="74">
        <f t="shared" si="338"/>
        <v>3</v>
      </c>
      <c r="H615" s="74">
        <f t="shared" si="339"/>
        <v>3</v>
      </c>
      <c r="I615" s="74">
        <f t="shared" si="340"/>
        <v>3</v>
      </c>
      <c r="J615" s="114">
        <f t="shared" si="341"/>
        <v>3</v>
      </c>
      <c r="K615" s="74">
        <f t="shared" si="345"/>
        <v>3.7</v>
      </c>
      <c r="L615" s="114">
        <f>SUM(J615,J615,-H615,0.25*ABS(J615-H615),0.1*(17-F615))</f>
        <v>4.4000000000000004</v>
      </c>
      <c r="M615" s="115">
        <f>SUM(0.166*(R615-L615),L615)</f>
        <v>6.4916</v>
      </c>
      <c r="N615" s="115">
        <f>SUM(0.333*(R615-L615),L615)</f>
        <v>8.5958000000000006</v>
      </c>
      <c r="O615" s="74">
        <f>SUM(0.5*(R615-L615),L615)</f>
        <v>10.7</v>
      </c>
      <c r="P615" s="74">
        <f>SUM(0.666*(R615-L615),L615)</f>
        <v>12.791600000000001</v>
      </c>
      <c r="Q615" s="74">
        <f>SUM(0.832*(R615-L615),L615)</f>
        <v>14.8832</v>
      </c>
      <c r="R615" s="114">
        <v>17</v>
      </c>
      <c r="S615" s="129"/>
      <c r="T615" s="117">
        <f>SUM((CX20+CX19+CX18+CX17+CX16+CX15+CX14+CX13+CX12+CW11)*-0.132,(CV10+CU10)*-0.132/2,(CT9+CS9+CR9+CQ9+CP9)*-0.132/5,(CO8+CN8+CM8+CL8+CK7+CJ7+CI7+CH7+CG6+CF6+CE6+CD6+CC5+CB5+CA5+BZ5+BY4+BX4+BW4+BV4)*-0.132/4,17)</f>
        <v>17.978661538461537</v>
      </c>
      <c r="U615" s="117">
        <f>Lefty!T615</f>
        <v>17.301738461538463</v>
      </c>
    </row>
    <row r="616" spans="2:21">
      <c r="B616" s="114">
        <v>4</v>
      </c>
      <c r="C616" s="74">
        <f t="shared" si="335"/>
        <v>3.75</v>
      </c>
      <c r="D616" s="74">
        <f t="shared" si="336"/>
        <v>3.5</v>
      </c>
      <c r="E616" s="74">
        <f t="shared" si="337"/>
        <v>3.25</v>
      </c>
      <c r="F616" s="114">
        <v>3</v>
      </c>
      <c r="G616" s="74">
        <f t="shared" si="338"/>
        <v>2.75</v>
      </c>
      <c r="H616" s="74">
        <f t="shared" si="339"/>
        <v>2.5</v>
      </c>
      <c r="I616" s="74">
        <f t="shared" si="340"/>
        <v>2.25</v>
      </c>
      <c r="J616" s="114">
        <f t="shared" si="341"/>
        <v>2</v>
      </c>
      <c r="K616" s="74">
        <f t="shared" si="345"/>
        <v>1.8125</v>
      </c>
      <c r="L616" s="114">
        <f>SUM(J616,J616,-H616,0.25*ABS(J616-H616))</f>
        <v>1.625</v>
      </c>
      <c r="M616" s="115">
        <f>SUM(0.166*(R616-L616),L616)</f>
        <v>4.1772500000000008</v>
      </c>
      <c r="N616" s="115">
        <f>SUM(0.333*(R616-L616),L616)</f>
        <v>6.7448750000000004</v>
      </c>
      <c r="O616" s="74">
        <f>SUM(0.5*(R616-L616),L616)</f>
        <v>9.3125</v>
      </c>
      <c r="P616" s="74">
        <f>SUM(0.666*(R616-L616),L616)</f>
        <v>11.864750000000001</v>
      </c>
      <c r="Q616" s="74">
        <f>SUM(0.832*(R616-L616),L616)</f>
        <v>14.417</v>
      </c>
      <c r="R616" s="114">
        <v>17</v>
      </c>
      <c r="S616" s="129"/>
      <c r="T616" s="117">
        <f>SUM((CV20+CW19+CW18+CX17+CX16+CY15+CY14+CZ13+CZ12+DA11+DA10)*-0.132,(CZ9+CY9+CX9+CW9+CV9+CU9)*-0.132/6,(CT8+CS8+CR8+CQ8+CP8+CO7+CN7+CM7+CL7+CK7+CJ6+CI6+CH6+CG6+CF6+CE5+CD5+CC5+CB5+CA5+BZ4+BY4+BX4+BW4+BV4)*-0.132/5,17)</f>
        <v>18.095261538461539</v>
      </c>
      <c r="U616" s="117">
        <f>Lefty!T616</f>
        <v>16.753938461538461</v>
      </c>
    </row>
    <row r="617" spans="2:21">
      <c r="B617" s="114"/>
      <c r="C617" s="74"/>
      <c r="D617" s="74"/>
      <c r="E617" s="74"/>
      <c r="F617" s="114"/>
      <c r="G617" s="74"/>
      <c r="H617" s="74"/>
      <c r="I617" s="74"/>
      <c r="J617" s="114"/>
      <c r="K617" s="74"/>
      <c r="L617" s="114"/>
      <c r="M617" s="115"/>
      <c r="N617" s="115"/>
      <c r="O617" s="74"/>
      <c r="P617" s="74"/>
      <c r="Q617" s="74"/>
      <c r="R617" s="114"/>
      <c r="S617" s="129"/>
    </row>
    <row r="618" spans="2:21">
      <c r="B618" s="114">
        <v>1</v>
      </c>
      <c r="C618" s="74">
        <f t="shared" si="335"/>
        <v>1.75</v>
      </c>
      <c r="D618" s="74">
        <f t="shared" si="336"/>
        <v>2.5</v>
      </c>
      <c r="E618" s="74">
        <f t="shared" si="337"/>
        <v>3.25</v>
      </c>
      <c r="F618" s="114">
        <v>4</v>
      </c>
      <c r="G618" s="74">
        <f t="shared" si="338"/>
        <v>4.75</v>
      </c>
      <c r="H618" s="74">
        <f t="shared" si="339"/>
        <v>5.5</v>
      </c>
      <c r="I618" s="74">
        <f t="shared" si="340"/>
        <v>6.25</v>
      </c>
      <c r="J618" s="114">
        <f t="shared" si="341"/>
        <v>7</v>
      </c>
      <c r="K618" s="74">
        <f t="shared" ref="K618:K623" si="346">SUM(0.5*(L618-J618),J618)</f>
        <v>7.9375</v>
      </c>
      <c r="L618" s="114">
        <f t="shared" ref="L618:L677" si="347">SUM(J618,J618,-H618,0.25*ABS(J618-H618))</f>
        <v>8.875</v>
      </c>
      <c r="M618" s="115">
        <f t="shared" ref="M618:M623" si="348">SUM(0.166*(R618-L618),L618)</f>
        <v>10.223750000000001</v>
      </c>
      <c r="N618" s="115">
        <f t="shared" ref="N618:N623" si="349">SUM(0.333*(R618-L618),L618)</f>
        <v>11.580625</v>
      </c>
      <c r="O618" s="74">
        <f t="shared" ref="O618:O623" si="350">SUM(0.5*(R618-L618),L618)</f>
        <v>12.9375</v>
      </c>
      <c r="P618" s="74">
        <f t="shared" ref="P618:P623" si="351">SUM(0.666*(R618-L618),L618)</f>
        <v>14.286249999999999</v>
      </c>
      <c r="Q618" s="74">
        <f t="shared" ref="Q618:Q623" si="352">SUM(0.832*(R618-L618),L618)</f>
        <v>15.635</v>
      </c>
      <c r="R618" s="114">
        <v>17</v>
      </c>
      <c r="S618" s="129"/>
      <c r="T618" s="117">
        <f>SUM((DB20+CY18+CV16+CS14+CP12)*-0.132,(DA19+CZ19+CX17+CW17+CU15+CT15+CR13+CQ13+CO11+CN11+CM10+CL10)*-0.132/2,(CK9+CJ9+CI9+CH8+CG8+CF8+CE7+CD7+CC7+CB6+CA6+BZ6)*-0.132/3,(BY5+BX5+BW4+BV4)*-0.132/2,17)</f>
        <v>18.306461538461537</v>
      </c>
      <c r="U618" s="117">
        <f>Lefty!T618</f>
        <v>17.56353846153846</v>
      </c>
    </row>
    <row r="619" spans="2:21">
      <c r="B619" s="114">
        <v>2</v>
      </c>
      <c r="C619" s="74">
        <f t="shared" si="335"/>
        <v>2.5</v>
      </c>
      <c r="D619" s="74">
        <f t="shared" si="336"/>
        <v>3</v>
      </c>
      <c r="E619" s="74">
        <f t="shared" si="337"/>
        <v>3.5</v>
      </c>
      <c r="F619" s="114">
        <v>4</v>
      </c>
      <c r="G619" s="74">
        <f t="shared" si="338"/>
        <v>4.5</v>
      </c>
      <c r="H619" s="74">
        <f t="shared" si="339"/>
        <v>5</v>
      </c>
      <c r="I619" s="74">
        <f t="shared" si="340"/>
        <v>5.5</v>
      </c>
      <c r="J619" s="114">
        <f t="shared" si="341"/>
        <v>6</v>
      </c>
      <c r="K619" s="74">
        <f t="shared" si="346"/>
        <v>6.625</v>
      </c>
      <c r="L619" s="114">
        <f t="shared" si="347"/>
        <v>7.25</v>
      </c>
      <c r="M619" s="115">
        <f t="shared" si="348"/>
        <v>8.8685000000000009</v>
      </c>
      <c r="N619" s="115">
        <f t="shared" si="349"/>
        <v>10.49675</v>
      </c>
      <c r="O619" s="74">
        <f t="shared" si="350"/>
        <v>12.125</v>
      </c>
      <c r="P619" s="74">
        <f t="shared" si="351"/>
        <v>13.743500000000001</v>
      </c>
      <c r="Q619" s="74">
        <f t="shared" si="352"/>
        <v>15.362</v>
      </c>
      <c r="R619" s="114">
        <v>17</v>
      </c>
      <c r="S619" s="129"/>
      <c r="T619" s="117">
        <f>SUM((CZ20+CY19+CX18+CW17+CV16+CU15+CT14+CS13+CR12+CQ11)*-0.132,(CP10+CO10)*-0.132/2,(CN9+CM9+CL9+CK9)*-0.132/4,(CJ8+CI8+CH8+CG7+CF7+CE7+CD6+CC6+CB6+CA5+BZ5+BY5+BX4+BW4+BV4)*-0.132/3,17)</f>
        <v>18.603461538461538</v>
      </c>
      <c r="U619" s="117">
        <f>Lefty!T619</f>
        <v>17.728538461538463</v>
      </c>
    </row>
    <row r="620" spans="2:21">
      <c r="B620" s="114">
        <v>3</v>
      </c>
      <c r="C620" s="74">
        <f t="shared" si="335"/>
        <v>3.25</v>
      </c>
      <c r="D620" s="74">
        <f t="shared" si="336"/>
        <v>3.5</v>
      </c>
      <c r="E620" s="74">
        <f t="shared" si="337"/>
        <v>3.75</v>
      </c>
      <c r="F620" s="114">
        <v>4</v>
      </c>
      <c r="G620" s="74">
        <f t="shared" si="338"/>
        <v>4.25</v>
      </c>
      <c r="H620" s="74">
        <f t="shared" si="339"/>
        <v>4.5</v>
      </c>
      <c r="I620" s="74">
        <f t="shared" si="340"/>
        <v>4.75</v>
      </c>
      <c r="J620" s="114">
        <f t="shared" si="341"/>
        <v>5</v>
      </c>
      <c r="K620" s="74">
        <f t="shared" si="346"/>
        <v>5.3125</v>
      </c>
      <c r="L620" s="114">
        <f t="shared" si="347"/>
        <v>5.625</v>
      </c>
      <c r="M620" s="115">
        <f t="shared" si="348"/>
        <v>7.5132500000000002</v>
      </c>
      <c r="N620" s="115">
        <f t="shared" si="349"/>
        <v>9.4128749999999997</v>
      </c>
      <c r="O620" s="74">
        <f t="shared" si="350"/>
        <v>11.3125</v>
      </c>
      <c r="P620" s="74">
        <f t="shared" si="351"/>
        <v>13.200749999999999</v>
      </c>
      <c r="Q620" s="74">
        <f t="shared" si="352"/>
        <v>15.089</v>
      </c>
      <c r="R620" s="114">
        <v>17</v>
      </c>
      <c r="S620" s="129"/>
      <c r="T620" s="117">
        <f>SUM((CX20+CW19+CW18+CV17+CV16+CU15+CU14+CT13+CT12+CS11+CS10)*-0.132,(CR9+CQ9+CP9+CO9+CN8+CM8+CL8+CK8+CJ7+CI7+CH7+CG7+CF6+CE6+CD6+CC6+CB5+CA5+BZ5+BY5)*-0.132/4,(BX4+BW4+BV4)*-0.132/3,17)</f>
        <v>17.60246153846154</v>
      </c>
      <c r="U620" s="117">
        <f>Lefty!T620</f>
        <v>16.815538461538463</v>
      </c>
    </row>
    <row r="621" spans="2:21">
      <c r="B621" s="114">
        <v>4</v>
      </c>
      <c r="C621" s="74">
        <f t="shared" si="335"/>
        <v>4</v>
      </c>
      <c r="D621" s="74">
        <f t="shared" si="336"/>
        <v>4</v>
      </c>
      <c r="E621" s="74">
        <f t="shared" si="337"/>
        <v>4</v>
      </c>
      <c r="F621" s="114">
        <v>4</v>
      </c>
      <c r="G621" s="74">
        <f t="shared" si="338"/>
        <v>4</v>
      </c>
      <c r="H621" s="74">
        <f t="shared" si="339"/>
        <v>4</v>
      </c>
      <c r="I621" s="74">
        <f t="shared" si="340"/>
        <v>4</v>
      </c>
      <c r="J621" s="114">
        <f t="shared" si="341"/>
        <v>4</v>
      </c>
      <c r="K621" s="74">
        <f t="shared" si="346"/>
        <v>4.6500000000000004</v>
      </c>
      <c r="L621" s="114">
        <f>SUM(J621,J621,-H621,0.25*ABS(J621-H621),0.1*(17-F621))</f>
        <v>5.3</v>
      </c>
      <c r="M621" s="115">
        <f t="shared" si="348"/>
        <v>7.2421999999999995</v>
      </c>
      <c r="N621" s="115">
        <f t="shared" si="349"/>
        <v>9.1960999999999995</v>
      </c>
      <c r="O621" s="74">
        <f t="shared" si="350"/>
        <v>11.149999999999999</v>
      </c>
      <c r="P621" s="74">
        <f t="shared" si="351"/>
        <v>13.0922</v>
      </c>
      <c r="Q621" s="74">
        <f t="shared" si="352"/>
        <v>15.034399999999998</v>
      </c>
      <c r="R621" s="114">
        <v>17</v>
      </c>
      <c r="S621" s="129"/>
      <c r="T621" s="117">
        <f>SUM((CV20+CV19+CV18+CV17+CV16+CV15+CV14+CV13+CV12+CU11)*-0.132,(CT10+CS10)*-0.132/2,(CR9+CQ9+CP9+CO9+CN8+CM8+CL8+CK8+CJ7+CI7+CH7+CG7+CF6+CE6+CD6+CC6+CB5+CA5+BZ5+BY5)*-0.132/4,(BX4+BW4+BV4)*-0.132/3,17)</f>
        <v>18.394461538461538</v>
      </c>
      <c r="U621" s="117">
        <f>Lefty!T621</f>
        <v>17.277538461538462</v>
      </c>
    </row>
    <row r="622" spans="2:21">
      <c r="B622" s="114">
        <v>5</v>
      </c>
      <c r="C622" s="74">
        <f t="shared" si="335"/>
        <v>4.75</v>
      </c>
      <c r="D622" s="74">
        <f t="shared" si="336"/>
        <v>4.5</v>
      </c>
      <c r="E622" s="74">
        <f t="shared" si="337"/>
        <v>4.25</v>
      </c>
      <c r="F622" s="114">
        <v>4</v>
      </c>
      <c r="G622" s="74">
        <f t="shared" si="338"/>
        <v>3.75</v>
      </c>
      <c r="H622" s="74">
        <f t="shared" si="339"/>
        <v>3.5</v>
      </c>
      <c r="I622" s="74">
        <f t="shared" si="340"/>
        <v>3.25</v>
      </c>
      <c r="J622" s="114">
        <f t="shared" si="341"/>
        <v>3</v>
      </c>
      <c r="K622" s="74">
        <f t="shared" si="346"/>
        <v>2.8125</v>
      </c>
      <c r="L622" s="114">
        <f t="shared" si="347"/>
        <v>2.625</v>
      </c>
      <c r="M622" s="115">
        <f t="shared" si="348"/>
        <v>5.0112500000000004</v>
      </c>
      <c r="N622" s="115">
        <f t="shared" si="349"/>
        <v>7.4118750000000002</v>
      </c>
      <c r="O622" s="74">
        <f t="shared" si="350"/>
        <v>9.8125</v>
      </c>
      <c r="P622" s="74">
        <f t="shared" si="351"/>
        <v>12.19875</v>
      </c>
      <c r="Q622" s="74">
        <f t="shared" si="352"/>
        <v>14.584999999999999</v>
      </c>
      <c r="R622" s="114">
        <v>17</v>
      </c>
      <c r="S622" s="129"/>
      <c r="T622" s="117">
        <f>SUM((CT20+CU19+CU18+CV17+CV16+CW15+CW14+CX13+CX12+CY11+CY10)*-0.132,(CX9+CW9+CV9+CU9+CT9+CS8+CR8+CQ8+CP8+CO8+CN7+CM7+CL7++CK7+CJ7+CI6+CH6+CG6+CF6+CE6+CD5+CC5+CB5+CA5+BZ5)*-0.132/5,(BY4+BX4+BW4+BV4)*-0.132/4,17)</f>
        <v>18.354861538461538</v>
      </c>
      <c r="U622" s="117">
        <f>Lefty!T622</f>
        <v>16.951938461538461</v>
      </c>
    </row>
    <row r="623" spans="2:21">
      <c r="B623" s="114">
        <v>6</v>
      </c>
      <c r="C623" s="74">
        <f t="shared" si="335"/>
        <v>5.5</v>
      </c>
      <c r="D623" s="74">
        <f t="shared" si="336"/>
        <v>5</v>
      </c>
      <c r="E623" s="74">
        <f t="shared" si="337"/>
        <v>4.5</v>
      </c>
      <c r="F623" s="114">
        <v>4</v>
      </c>
      <c r="G623" s="74">
        <f t="shared" si="338"/>
        <v>3.5</v>
      </c>
      <c r="H623" s="74">
        <f t="shared" si="339"/>
        <v>3</v>
      </c>
      <c r="I623" s="74">
        <f t="shared" si="340"/>
        <v>2.5</v>
      </c>
      <c r="J623" s="114">
        <f t="shared" si="341"/>
        <v>2</v>
      </c>
      <c r="K623" s="74">
        <f t="shared" si="346"/>
        <v>1.625</v>
      </c>
      <c r="L623" s="114">
        <f t="shared" si="347"/>
        <v>1.25</v>
      </c>
      <c r="M623" s="115">
        <f t="shared" si="348"/>
        <v>3.8645</v>
      </c>
      <c r="N623" s="115">
        <f t="shared" si="349"/>
        <v>6.4947500000000007</v>
      </c>
      <c r="O623" s="74">
        <f t="shared" si="350"/>
        <v>9.125</v>
      </c>
      <c r="P623" s="74">
        <f t="shared" si="351"/>
        <v>11.739500000000001</v>
      </c>
      <c r="Q623" s="74">
        <f t="shared" si="352"/>
        <v>14.353999999999999</v>
      </c>
      <c r="R623" s="114">
        <v>17</v>
      </c>
      <c r="S623" s="129"/>
      <c r="T623" s="117">
        <f>SUM((CR20+CS19+CT18+CU17+CV16+CW15+CX14+CY13+CZ12+DA11+DB10)*-0.132,(DA9+CZ9+CY9+CX9+CW9+CV9+CU8+CT8+CS8+CR8+CQ8+CP8)*-0.132/6,(CO7+CN7+CM7+CL7+CK7+CJ6+CI6+CH6+CG6+CF6+CE5+CD5+CC5+CB5+CA5+BZ4+BY4+BX4+BW4+BV4)*-0.132/5,17)</f>
        <v>18.25806153846154</v>
      </c>
      <c r="U623" s="117">
        <f>Lefty!T623</f>
        <v>16.921138461538462</v>
      </c>
    </row>
    <row r="624" spans="2:21">
      <c r="B624" s="114"/>
      <c r="C624" s="74"/>
      <c r="D624" s="74"/>
      <c r="E624" s="74"/>
      <c r="F624" s="114"/>
      <c r="G624" s="74"/>
      <c r="H624" s="74"/>
      <c r="I624" s="74"/>
      <c r="J624" s="114"/>
      <c r="K624" s="74"/>
      <c r="L624" s="114"/>
      <c r="M624" s="115"/>
      <c r="N624" s="115"/>
      <c r="O624" s="74"/>
      <c r="P624" s="74"/>
      <c r="Q624" s="74"/>
      <c r="R624" s="114"/>
      <c r="S624" s="129"/>
    </row>
    <row r="625" spans="2:21">
      <c r="B625" s="114">
        <v>1</v>
      </c>
      <c r="C625" s="74">
        <f t="shared" si="335"/>
        <v>2</v>
      </c>
      <c r="D625" s="74">
        <f t="shared" si="336"/>
        <v>3</v>
      </c>
      <c r="E625" s="74">
        <f t="shared" si="337"/>
        <v>4</v>
      </c>
      <c r="F625" s="114">
        <v>5</v>
      </c>
      <c r="G625" s="74">
        <f t="shared" si="338"/>
        <v>6</v>
      </c>
      <c r="H625" s="74">
        <f t="shared" si="339"/>
        <v>7</v>
      </c>
      <c r="I625" s="74">
        <f t="shared" si="340"/>
        <v>8</v>
      </c>
      <c r="J625" s="114">
        <f t="shared" si="341"/>
        <v>9</v>
      </c>
      <c r="K625" s="74">
        <f t="shared" ref="K625:K631" si="353">SUM(0.5*(L625-J625),J625)</f>
        <v>10</v>
      </c>
      <c r="L625" s="114">
        <f>SUM(J625,J625,-H625)</f>
        <v>11</v>
      </c>
      <c r="M625" s="115">
        <f t="shared" ref="M625:M631" si="354">SUM(0.166*(R625-L625),L625)</f>
        <v>11.996</v>
      </c>
      <c r="N625" s="115">
        <f t="shared" ref="N625:N631" si="355">SUM(0.333*(R625-L625),L625)</f>
        <v>12.998000000000001</v>
      </c>
      <c r="O625" s="74">
        <f t="shared" ref="O625:O631" si="356">SUM(0.5*(R625-L625),L625)</f>
        <v>14</v>
      </c>
      <c r="P625" s="74">
        <f t="shared" ref="P625:P631" si="357">SUM(0.666*(R625-L625),L625)</f>
        <v>14.996</v>
      </c>
      <c r="Q625" s="74">
        <f t="shared" ref="Q625:Q631" si="358">SUM(0.832*(R625-L625),L625)</f>
        <v>15.992000000000001</v>
      </c>
      <c r="R625" s="114">
        <v>17</v>
      </c>
      <c r="S625" s="129"/>
      <c r="T625" s="117">
        <f>SUM((DA19+CZ19+CY18+CX18+CW17+CV17+CU16+CT16+CS15+CR15+CQ14+CP14+CO13+CN13+CM12+CL12+CK11+CJ11+CI10+CH10+CG9+CF9+CE8+CD8+CC7+CB7+CA6+BZ6+BY5+BX5+BW4+BV4)*-0.132/2,DB20*-0.132,17)</f>
        <v>18.856461538461538</v>
      </c>
      <c r="U625" s="117">
        <f>Lefty!T625</f>
        <v>17.651538461538461</v>
      </c>
    </row>
    <row r="626" spans="2:21">
      <c r="B626" s="114">
        <v>2</v>
      </c>
      <c r="C626" s="74">
        <f t="shared" si="335"/>
        <v>2.75</v>
      </c>
      <c r="D626" s="74">
        <f t="shared" si="336"/>
        <v>3.5</v>
      </c>
      <c r="E626" s="74">
        <f t="shared" si="337"/>
        <v>4.25</v>
      </c>
      <c r="F626" s="114">
        <v>5</v>
      </c>
      <c r="G626" s="74">
        <f t="shared" si="338"/>
        <v>5.75</v>
      </c>
      <c r="H626" s="74">
        <f t="shared" si="339"/>
        <v>6.5</v>
      </c>
      <c r="I626" s="74">
        <f t="shared" si="340"/>
        <v>7.25</v>
      </c>
      <c r="J626" s="114">
        <f t="shared" si="341"/>
        <v>8</v>
      </c>
      <c r="K626" s="74">
        <f t="shared" si="353"/>
        <v>8.9375</v>
      </c>
      <c r="L626" s="114">
        <f t="shared" si="347"/>
        <v>9.875</v>
      </c>
      <c r="M626" s="115">
        <f t="shared" si="354"/>
        <v>11.05775</v>
      </c>
      <c r="N626" s="115">
        <f t="shared" si="355"/>
        <v>12.247624999999999</v>
      </c>
      <c r="O626" s="74">
        <f t="shared" si="356"/>
        <v>13.4375</v>
      </c>
      <c r="P626" s="74">
        <f t="shared" si="357"/>
        <v>14.62025</v>
      </c>
      <c r="Q626" s="74">
        <f t="shared" si="358"/>
        <v>15.803000000000001</v>
      </c>
      <c r="R626" s="114">
        <v>17</v>
      </c>
      <c r="S626" s="129"/>
      <c r="T626" s="117">
        <f>SUM((CZ20+CW18+CT16+CQ14+CN12)*-0.132,(CY19+CX19+CV17+CU17+CS15+CR15+CP13+CO13+CM11+CL11+CK10+CJ10+CC7+CB7+CA6+BZ6+BY5+BX5+BW4+BV4)*-0.132/2,(CI9+CH9+CG9+CF8+CE8+CD8)*-0.132/3,17)</f>
        <v>18.328461538461539</v>
      </c>
      <c r="U626" s="117">
        <f>Lefty!T626</f>
        <v>17.607538461538461</v>
      </c>
    </row>
    <row r="627" spans="2:21">
      <c r="B627" s="114">
        <v>3</v>
      </c>
      <c r="C627" s="74">
        <f t="shared" si="335"/>
        <v>3.5</v>
      </c>
      <c r="D627" s="74">
        <f t="shared" si="336"/>
        <v>4</v>
      </c>
      <c r="E627" s="74">
        <f t="shared" si="337"/>
        <v>4.5</v>
      </c>
      <c r="F627" s="114">
        <v>5</v>
      </c>
      <c r="G627" s="74">
        <f t="shared" si="338"/>
        <v>5.5</v>
      </c>
      <c r="H627" s="74">
        <f t="shared" si="339"/>
        <v>6</v>
      </c>
      <c r="I627" s="74">
        <f t="shared" si="340"/>
        <v>6.5</v>
      </c>
      <c r="J627" s="114">
        <f t="shared" si="341"/>
        <v>7</v>
      </c>
      <c r="K627" s="74">
        <f t="shared" si="353"/>
        <v>7.625</v>
      </c>
      <c r="L627" s="114">
        <f t="shared" si="347"/>
        <v>8.25</v>
      </c>
      <c r="M627" s="115">
        <f t="shared" si="354"/>
        <v>9.7025000000000006</v>
      </c>
      <c r="N627" s="115">
        <f t="shared" si="355"/>
        <v>11.16375</v>
      </c>
      <c r="O627" s="74">
        <f t="shared" si="356"/>
        <v>12.625</v>
      </c>
      <c r="P627" s="74">
        <f t="shared" si="357"/>
        <v>14.077500000000001</v>
      </c>
      <c r="Q627" s="74">
        <f t="shared" si="358"/>
        <v>15.53</v>
      </c>
      <c r="R627" s="114">
        <v>17</v>
      </c>
      <c r="S627" s="129"/>
      <c r="T627" s="117">
        <f>SUM((CX20+CW19+CV18+CU17+CT16+CS15+CR14+CQ13+CP12+CO11)*-0.132,(CN10+CM10)*-0.132/2,(CL9+CK9+CJ9+CI8+CH8+CG8+CF7+CE7+CD7+CC6+CB6+CA6+BZ5+BY5+BX5)*-0.132/3,(BW4+BV4)*-0.132/2,17)</f>
        <v>18.790461538461539</v>
      </c>
      <c r="U627" s="117">
        <f>Lefty!T627</f>
        <v>17.36553846153846</v>
      </c>
    </row>
    <row r="628" spans="2:21">
      <c r="B628" s="114">
        <v>4</v>
      </c>
      <c r="C628" s="74">
        <f t="shared" si="335"/>
        <v>4.25</v>
      </c>
      <c r="D628" s="74">
        <f t="shared" si="336"/>
        <v>4.5</v>
      </c>
      <c r="E628" s="74">
        <f t="shared" si="337"/>
        <v>4.75</v>
      </c>
      <c r="F628" s="114">
        <v>5</v>
      </c>
      <c r="G628" s="74">
        <f t="shared" si="338"/>
        <v>5.25</v>
      </c>
      <c r="H628" s="74">
        <f t="shared" si="339"/>
        <v>5.5</v>
      </c>
      <c r="I628" s="74">
        <f t="shared" si="340"/>
        <v>5.75</v>
      </c>
      <c r="J628" s="114">
        <f t="shared" si="341"/>
        <v>6</v>
      </c>
      <c r="K628" s="74">
        <f t="shared" si="353"/>
        <v>6.3125</v>
      </c>
      <c r="L628" s="114">
        <f t="shared" si="347"/>
        <v>6.625</v>
      </c>
      <c r="M628" s="115">
        <f t="shared" si="354"/>
        <v>8.3472500000000007</v>
      </c>
      <c r="N628" s="115">
        <f t="shared" si="355"/>
        <v>10.079875000000001</v>
      </c>
      <c r="O628" s="74">
        <f t="shared" si="356"/>
        <v>11.8125</v>
      </c>
      <c r="P628" s="74">
        <f t="shared" si="357"/>
        <v>13.534750000000001</v>
      </c>
      <c r="Q628" s="74">
        <f t="shared" si="358"/>
        <v>15.257</v>
      </c>
      <c r="R628" s="114">
        <v>17</v>
      </c>
      <c r="S628" s="129"/>
      <c r="T628" s="117">
        <f>SUM((CV20+CU19+CU18+CT17+CT16+CS15+CS14+CR13+CR12+CQ11+CQ10)*-0.132,(CP9+CO9+CN9+CM9+CL8+CK8+CJ8+CI8+CH7+CG7+CF7+CE7)*-0.132/4,(CD6+CC6+CB6+CA5+BZ5+BY5+BX4+BW4+BV4)*-0.132/3,17)</f>
        <v>19.428461538461537</v>
      </c>
      <c r="U628" s="117">
        <f>Lefty!T628</f>
        <v>17.959538461538461</v>
      </c>
    </row>
    <row r="629" spans="2:21">
      <c r="B629" s="114">
        <v>5</v>
      </c>
      <c r="C629" s="74">
        <f t="shared" si="335"/>
        <v>5</v>
      </c>
      <c r="D629" s="74">
        <f t="shared" si="336"/>
        <v>5</v>
      </c>
      <c r="E629" s="74">
        <f t="shared" si="337"/>
        <v>5</v>
      </c>
      <c r="F629" s="114">
        <v>5</v>
      </c>
      <c r="G629" s="74">
        <f t="shared" si="338"/>
        <v>5</v>
      </c>
      <c r="H629" s="74">
        <f t="shared" si="339"/>
        <v>5</v>
      </c>
      <c r="I629" s="74">
        <f t="shared" si="340"/>
        <v>5</v>
      </c>
      <c r="J629" s="114">
        <f t="shared" si="341"/>
        <v>5</v>
      </c>
      <c r="K629" s="74">
        <f t="shared" si="353"/>
        <v>5.6</v>
      </c>
      <c r="L629" s="114">
        <f>SUM(J629,J629,-H629,0.25*ABS(J629-H629),0.1*(17-F629))</f>
        <v>6.2</v>
      </c>
      <c r="M629" s="115">
        <f t="shared" si="354"/>
        <v>7.9928000000000008</v>
      </c>
      <c r="N629" s="115">
        <f t="shared" si="355"/>
        <v>9.7964000000000002</v>
      </c>
      <c r="O629" s="74">
        <f t="shared" si="356"/>
        <v>11.600000000000001</v>
      </c>
      <c r="P629" s="74">
        <f t="shared" si="357"/>
        <v>13.392800000000001</v>
      </c>
      <c r="Q629" s="74">
        <f t="shared" si="358"/>
        <v>15.185600000000001</v>
      </c>
      <c r="R629" s="114">
        <v>17</v>
      </c>
      <c r="S629" s="129"/>
      <c r="T629" s="117">
        <f>SUM((CT20+CT19+CT18+CT17+CT16+CT15+CT14+CT13+CT12+CS11+CR10)*-0.132,(CQ9+CP9+CO9+CN9+CM8+CL8+CK8+CJ8+CI7+CH7+CG7+CF7+CE6+CD6+CC6+CB6)*-0.132/4,(CA5+BZ5+BY5+BX4+BW4+BV4)*-0.132/3,17)</f>
        <v>18.042461538461538</v>
      </c>
      <c r="U629" s="117">
        <f>Lefty!T629</f>
        <v>17.66253846153846</v>
      </c>
    </row>
    <row r="630" spans="2:21">
      <c r="B630" s="114">
        <v>6</v>
      </c>
      <c r="C630" s="74">
        <f t="shared" si="335"/>
        <v>5.75</v>
      </c>
      <c r="D630" s="74">
        <f t="shared" si="336"/>
        <v>5.5</v>
      </c>
      <c r="E630" s="74">
        <f t="shared" si="337"/>
        <v>5.25</v>
      </c>
      <c r="F630" s="114">
        <v>5</v>
      </c>
      <c r="G630" s="74">
        <f t="shared" si="338"/>
        <v>4.75</v>
      </c>
      <c r="H630" s="74">
        <f t="shared" si="339"/>
        <v>4.5</v>
      </c>
      <c r="I630" s="74">
        <f t="shared" si="340"/>
        <v>4.25</v>
      </c>
      <c r="J630" s="114">
        <f t="shared" si="341"/>
        <v>4</v>
      </c>
      <c r="K630" s="74">
        <f t="shared" si="353"/>
        <v>3.8125</v>
      </c>
      <c r="L630" s="114">
        <f t="shared" si="347"/>
        <v>3.625</v>
      </c>
      <c r="M630" s="115">
        <f t="shared" si="354"/>
        <v>5.8452500000000001</v>
      </c>
      <c r="N630" s="115">
        <f t="shared" si="355"/>
        <v>8.078875</v>
      </c>
      <c r="O630" s="74">
        <f t="shared" si="356"/>
        <v>10.3125</v>
      </c>
      <c r="P630" s="74">
        <f t="shared" si="357"/>
        <v>12.53275</v>
      </c>
      <c r="Q630" s="74">
        <f t="shared" si="358"/>
        <v>14.753</v>
      </c>
      <c r="R630" s="114">
        <v>17</v>
      </c>
      <c r="S630" s="129"/>
      <c r="T630" s="117">
        <f>SUM((CR20+CS19+CS18+CT17+CT16+CU15+CU14+CV13+CV12+CW11+CW10)*-0.132,(CV9+CU9+CT9+CS9+CR9+CQ8+CP8+CO8+CN8+CM8+CL7+CK7+CJ7+CI7+CH7)*-0.132/5,(CG6+CF6+CE6+CD6+CC5+CB5+CA5+BZ5+BY4+BX4+BW4+BV4)*-0.132/4,17)</f>
        <v>17.892861538461538</v>
      </c>
      <c r="U630" s="117">
        <f>Lefty!T630</f>
        <v>17.499738461538463</v>
      </c>
    </row>
    <row r="631" spans="2:21">
      <c r="B631" s="114">
        <v>7</v>
      </c>
      <c r="C631" s="74">
        <f t="shared" si="335"/>
        <v>6.5</v>
      </c>
      <c r="D631" s="74">
        <f t="shared" si="336"/>
        <v>6</v>
      </c>
      <c r="E631" s="74">
        <f t="shared" si="337"/>
        <v>5.5</v>
      </c>
      <c r="F631" s="114">
        <v>5</v>
      </c>
      <c r="G631" s="74">
        <f t="shared" si="338"/>
        <v>4.5</v>
      </c>
      <c r="H631" s="74">
        <f t="shared" si="339"/>
        <v>4</v>
      </c>
      <c r="I631" s="74">
        <f t="shared" si="340"/>
        <v>3.5</v>
      </c>
      <c r="J631" s="114">
        <f t="shared" si="341"/>
        <v>3</v>
      </c>
      <c r="K631" s="74">
        <f t="shared" si="353"/>
        <v>2.625</v>
      </c>
      <c r="L631" s="114">
        <f t="shared" si="347"/>
        <v>2.25</v>
      </c>
      <c r="M631" s="115">
        <f t="shared" si="354"/>
        <v>4.6985000000000001</v>
      </c>
      <c r="N631" s="115">
        <f t="shared" si="355"/>
        <v>7.1617500000000005</v>
      </c>
      <c r="O631" s="74">
        <f t="shared" si="356"/>
        <v>9.625</v>
      </c>
      <c r="P631" s="74">
        <f t="shared" si="357"/>
        <v>12.073500000000001</v>
      </c>
      <c r="Q631" s="74">
        <f t="shared" si="358"/>
        <v>14.522</v>
      </c>
      <c r="R631" s="114">
        <v>17</v>
      </c>
      <c r="S631" s="129"/>
      <c r="T631" s="117">
        <f>SUM((CP20+CQ19+CR18+CS17+CT16+CU15+CV14+CW13+CX12+CY11+CZ10)*-0.132,(CY9+CX9+CW9+CV9+CU9+CT8+CS8+CR8+CQ8+CP8+CO7+CN7+CM7+CL7+CK7+CJ6+CI6+CH6+CG6+CF6+CE5+CD5+CC5+CB5+CA5+BZ4+BY4+BX4+BW4+BV4)*-0.132/5,17)</f>
        <v>18.381261538461537</v>
      </c>
      <c r="U631" s="117">
        <f>Lefty!T631</f>
        <v>17.466738461538462</v>
      </c>
    </row>
    <row r="632" spans="2:21">
      <c r="B632" s="114"/>
      <c r="C632" s="74"/>
      <c r="D632" s="74"/>
      <c r="E632" s="74"/>
      <c r="F632" s="114"/>
      <c r="G632" s="74"/>
      <c r="H632" s="74"/>
      <c r="I632" s="74"/>
      <c r="J632" s="114"/>
      <c r="K632" s="74"/>
      <c r="L632" s="114"/>
      <c r="M632" s="115"/>
      <c r="N632" s="115"/>
      <c r="O632" s="74"/>
      <c r="P632" s="74"/>
      <c r="Q632" s="74"/>
      <c r="R632" s="114"/>
      <c r="S632" s="129"/>
    </row>
    <row r="633" spans="2:21">
      <c r="B633" s="114">
        <v>3</v>
      </c>
      <c r="C633" s="74">
        <f t="shared" si="335"/>
        <v>3.75</v>
      </c>
      <c r="D633" s="74">
        <f t="shared" si="336"/>
        <v>4.5</v>
      </c>
      <c r="E633" s="74">
        <f t="shared" si="337"/>
        <v>5.25</v>
      </c>
      <c r="F633" s="114">
        <v>6</v>
      </c>
      <c r="G633" s="74">
        <f t="shared" si="338"/>
        <v>6.75</v>
      </c>
      <c r="H633" s="74">
        <f t="shared" si="339"/>
        <v>7.5</v>
      </c>
      <c r="I633" s="74">
        <f t="shared" si="340"/>
        <v>8.25</v>
      </c>
      <c r="J633" s="114">
        <f t="shared" si="341"/>
        <v>9</v>
      </c>
      <c r="K633" s="74">
        <f t="shared" ref="K633:K639" si="359">SUM(0.5*(L633-J633),J633)</f>
        <v>9.9375</v>
      </c>
      <c r="L633" s="114">
        <f t="shared" si="347"/>
        <v>10.875</v>
      </c>
      <c r="M633" s="115">
        <f t="shared" ref="M633:M639" si="360">SUM(0.166*(R633-L633),L633)</f>
        <v>11.89175</v>
      </c>
      <c r="N633" s="115">
        <f t="shared" ref="N633:N639" si="361">SUM(0.333*(R633-L633),L633)</f>
        <v>12.914625000000001</v>
      </c>
      <c r="O633" s="74">
        <f t="shared" ref="O633:O639" si="362">SUM(0.5*(R633-L633),L633)</f>
        <v>13.9375</v>
      </c>
      <c r="P633" s="74">
        <f t="shared" ref="P633:P639" si="363">SUM(0.666*(R633-L633),L633)</f>
        <v>14.95425</v>
      </c>
      <c r="Q633" s="74">
        <f t="shared" ref="Q633:Q639" si="364">SUM(0.832*(R633-L633),L633)</f>
        <v>15.971</v>
      </c>
      <c r="R633" s="114">
        <v>17</v>
      </c>
      <c r="S633" s="129"/>
      <c r="T633" s="117">
        <f>SUM((CX20+CU18+CR16+CO14+CL12)*-0.132,(CW19+CV19+CT17+CS17+CQ15+CP15+CN13+CM13+CK11+CJ11+CI10+CH10)*-0.132/2,(CG9+CF9+CE8+CD8+CC7+CB7+CA6+BZ6+BY5+BX5+BW4+BV4)*-0.132/2,17)</f>
        <v>19.252461538461539</v>
      </c>
      <c r="U633" s="117">
        <f>Lefty!T633</f>
        <v>18.113538461538461</v>
      </c>
    </row>
    <row r="634" spans="2:21">
      <c r="B634" s="114">
        <v>4</v>
      </c>
      <c r="C634" s="74">
        <f t="shared" si="335"/>
        <v>4.5</v>
      </c>
      <c r="D634" s="74">
        <f t="shared" si="336"/>
        <v>5</v>
      </c>
      <c r="E634" s="74">
        <f t="shared" si="337"/>
        <v>5.5</v>
      </c>
      <c r="F634" s="114">
        <v>6</v>
      </c>
      <c r="G634" s="74">
        <f t="shared" si="338"/>
        <v>6.5</v>
      </c>
      <c r="H634" s="74">
        <f t="shared" si="339"/>
        <v>7</v>
      </c>
      <c r="I634" s="74">
        <f t="shared" si="340"/>
        <v>7.5</v>
      </c>
      <c r="J634" s="114">
        <f t="shared" si="341"/>
        <v>8</v>
      </c>
      <c r="K634" s="74">
        <f t="shared" si="359"/>
        <v>8.625</v>
      </c>
      <c r="L634" s="114">
        <f t="shared" si="347"/>
        <v>9.25</v>
      </c>
      <c r="M634" s="115">
        <f t="shared" si="360"/>
        <v>10.5365</v>
      </c>
      <c r="N634" s="115">
        <f t="shared" si="361"/>
        <v>11.83075</v>
      </c>
      <c r="O634" s="74">
        <f t="shared" si="362"/>
        <v>13.125</v>
      </c>
      <c r="P634" s="74">
        <f t="shared" si="363"/>
        <v>14.4115</v>
      </c>
      <c r="Q634" s="74">
        <f t="shared" si="364"/>
        <v>15.698</v>
      </c>
      <c r="R634" s="114">
        <v>17</v>
      </c>
      <c r="S634" s="129"/>
      <c r="T634" s="117">
        <f>SUM((CV20+CU19+CT18+CS17+CR16+CQ15+CP14+CO13+CN12+CM11)*-0.132,(CL10+CK10)*-0.132/2,(CJ9+CI9+CH9+CG8+CF8+CE8+CD7+CC7+CB7)*-0.132/3,(CA6+BZ6+BY5+BX5+BW4+BV4)*-0.132/2,17)</f>
        <v>19.406461538461539</v>
      </c>
      <c r="U634" s="117">
        <f>Lefty!T634</f>
        <v>18.113538461538461</v>
      </c>
    </row>
    <row r="635" spans="2:21">
      <c r="B635" s="114">
        <v>5</v>
      </c>
      <c r="C635" s="74">
        <f t="shared" si="335"/>
        <v>5.25</v>
      </c>
      <c r="D635" s="74">
        <f t="shared" si="336"/>
        <v>5.5</v>
      </c>
      <c r="E635" s="74">
        <f t="shared" si="337"/>
        <v>5.75</v>
      </c>
      <c r="F635" s="114">
        <v>6</v>
      </c>
      <c r="G635" s="74">
        <f t="shared" si="338"/>
        <v>6.25</v>
      </c>
      <c r="H635" s="74">
        <f t="shared" si="339"/>
        <v>6.5</v>
      </c>
      <c r="I635" s="74">
        <f t="shared" si="340"/>
        <v>6.75</v>
      </c>
      <c r="J635" s="114">
        <f t="shared" si="341"/>
        <v>7</v>
      </c>
      <c r="K635" s="74">
        <f t="shared" si="359"/>
        <v>7.3125</v>
      </c>
      <c r="L635" s="114">
        <f t="shared" si="347"/>
        <v>7.625</v>
      </c>
      <c r="M635" s="115">
        <f t="shared" si="360"/>
        <v>9.1812500000000004</v>
      </c>
      <c r="N635" s="115">
        <f t="shared" si="361"/>
        <v>10.746874999999999</v>
      </c>
      <c r="O635" s="74">
        <f t="shared" si="362"/>
        <v>12.3125</v>
      </c>
      <c r="P635" s="74">
        <f t="shared" si="363"/>
        <v>13.86875</v>
      </c>
      <c r="Q635" s="74">
        <f t="shared" si="364"/>
        <v>15.425000000000001</v>
      </c>
      <c r="R635" s="114">
        <v>17</v>
      </c>
      <c r="S635" s="129"/>
      <c r="T635" s="117">
        <f>SUM((CT20+CS19+CS18+CR17+CR16+CQ15+CQ14+CP13+CP12+CO11+CO10)*-0.132,(CN9+CM9+CL9+CK9)*-0.132/4,(CJ8+CI8+CH8+CG7+CF7+CE7+CD6+CC6+CB6+CA5+BZ5+BY5+BX4+BW4+BV4)*-0.132/3,17)</f>
        <v>18.801461538461538</v>
      </c>
      <c r="U635" s="117">
        <f>Lefty!T635</f>
        <v>18.12453846153846</v>
      </c>
    </row>
    <row r="636" spans="2:21">
      <c r="B636" s="114">
        <v>6</v>
      </c>
      <c r="C636" s="74">
        <f t="shared" si="335"/>
        <v>6</v>
      </c>
      <c r="D636" s="74">
        <f t="shared" si="336"/>
        <v>6</v>
      </c>
      <c r="E636" s="74">
        <f t="shared" si="337"/>
        <v>6</v>
      </c>
      <c r="F636" s="114">
        <v>6</v>
      </c>
      <c r="G636" s="74">
        <f t="shared" si="338"/>
        <v>6</v>
      </c>
      <c r="H636" s="74">
        <f t="shared" si="339"/>
        <v>6</v>
      </c>
      <c r="I636" s="74">
        <f t="shared" si="340"/>
        <v>6</v>
      </c>
      <c r="J636" s="114">
        <f t="shared" si="341"/>
        <v>6</v>
      </c>
      <c r="K636" s="74">
        <f t="shared" si="359"/>
        <v>6.55</v>
      </c>
      <c r="L636" s="114">
        <f>SUM(J636,J636,-H636,0.25*ABS(J636-H636),0.1*(17-F636))</f>
        <v>7.1</v>
      </c>
      <c r="M636" s="115">
        <f t="shared" si="360"/>
        <v>8.7433999999999994</v>
      </c>
      <c r="N636" s="115">
        <f t="shared" si="361"/>
        <v>10.396699999999999</v>
      </c>
      <c r="O636" s="74">
        <f t="shared" si="362"/>
        <v>12.05</v>
      </c>
      <c r="P636" s="74">
        <f t="shared" si="363"/>
        <v>13.6934</v>
      </c>
      <c r="Q636" s="74">
        <f t="shared" si="364"/>
        <v>15.3368</v>
      </c>
      <c r="R636" s="114">
        <v>17</v>
      </c>
      <c r="S636" s="129"/>
      <c r="T636" s="117">
        <f>SUM((CR20+CR19+CR18+CR17+CR16+CR15+CR14+CR13+CR12+CQ11+CP10)*-0.132,(CO9+CN9+CM9+CL9+CK8+CJ8+CI8+CH8)*-0.132/4,(CG7+CF7+CE7+CD6+CC6+CB6+CA5+BZ5+BY5+BX4+BW4+BV4)*-0.132/3,17)</f>
        <v>19.307461538461538</v>
      </c>
      <c r="U636" s="117">
        <f>Lefty!T636</f>
        <v>17.695538461538462</v>
      </c>
    </row>
    <row r="637" spans="2:21">
      <c r="B637" s="114">
        <v>7</v>
      </c>
      <c r="C637" s="74">
        <f t="shared" si="335"/>
        <v>6.75</v>
      </c>
      <c r="D637" s="74">
        <f t="shared" si="336"/>
        <v>6.5</v>
      </c>
      <c r="E637" s="74">
        <f t="shared" si="337"/>
        <v>6.25</v>
      </c>
      <c r="F637" s="114">
        <v>6</v>
      </c>
      <c r="G637" s="74">
        <f t="shared" si="338"/>
        <v>5.75</v>
      </c>
      <c r="H637" s="74">
        <f t="shared" si="339"/>
        <v>5.5</v>
      </c>
      <c r="I637" s="74">
        <f t="shared" si="340"/>
        <v>5.25</v>
      </c>
      <c r="J637" s="114">
        <f t="shared" si="341"/>
        <v>5</v>
      </c>
      <c r="K637" s="74">
        <f t="shared" si="359"/>
        <v>4.8125</v>
      </c>
      <c r="L637" s="114">
        <f t="shared" si="347"/>
        <v>4.625</v>
      </c>
      <c r="M637" s="115">
        <f t="shared" si="360"/>
        <v>6.6792499999999997</v>
      </c>
      <c r="N637" s="115">
        <f t="shared" si="361"/>
        <v>8.7458749999999998</v>
      </c>
      <c r="O637" s="74">
        <f t="shared" si="362"/>
        <v>10.8125</v>
      </c>
      <c r="P637" s="74">
        <f t="shared" si="363"/>
        <v>12.86675</v>
      </c>
      <c r="Q637" s="74">
        <f t="shared" si="364"/>
        <v>14.920999999999999</v>
      </c>
      <c r="R637" s="114">
        <v>17</v>
      </c>
      <c r="S637" s="129"/>
      <c r="T637" s="117">
        <f>SUM((CP20+CQ19+CQ18+CR17+CR16+CS15+CS14+CT13+CT12+CU11+CV10)*-0.132,(CU9+CT9+CS9+CR9+CQ9+CP8+CO8+CN8+CM8+CL8)*-0.132/5,(CK7+CJ7+CI7+CH7+CG6+CF6+CE6+CD6+CC5+CB5+CA5+BZ5+BY4+BX4+BW4+BV4)*-0.132/4,17)</f>
        <v>18.176661538461538</v>
      </c>
      <c r="U637" s="117">
        <f>Lefty!T637</f>
        <v>18.186138461538462</v>
      </c>
    </row>
    <row r="638" spans="2:21">
      <c r="B638" s="114">
        <v>8</v>
      </c>
      <c r="C638" s="74">
        <f t="shared" si="335"/>
        <v>7.5</v>
      </c>
      <c r="D638" s="74">
        <f t="shared" si="336"/>
        <v>7</v>
      </c>
      <c r="E638" s="74">
        <f t="shared" si="337"/>
        <v>6.5</v>
      </c>
      <c r="F638" s="114">
        <v>6</v>
      </c>
      <c r="G638" s="74">
        <f t="shared" si="338"/>
        <v>5.5</v>
      </c>
      <c r="H638" s="74">
        <f t="shared" si="339"/>
        <v>5</v>
      </c>
      <c r="I638" s="74">
        <f t="shared" si="340"/>
        <v>4.5</v>
      </c>
      <c r="J638" s="114">
        <f t="shared" si="341"/>
        <v>4</v>
      </c>
      <c r="K638" s="74">
        <f t="shared" si="359"/>
        <v>3.625</v>
      </c>
      <c r="L638" s="114">
        <f t="shared" si="347"/>
        <v>3.25</v>
      </c>
      <c r="M638" s="115">
        <f t="shared" si="360"/>
        <v>5.5325000000000006</v>
      </c>
      <c r="N638" s="115">
        <f t="shared" si="361"/>
        <v>7.8287500000000003</v>
      </c>
      <c r="O638" s="74">
        <f t="shared" si="362"/>
        <v>10.125</v>
      </c>
      <c r="P638" s="74">
        <f t="shared" si="363"/>
        <v>12.407500000000001</v>
      </c>
      <c r="Q638" s="74">
        <f t="shared" si="364"/>
        <v>14.69</v>
      </c>
      <c r="R638" s="114">
        <v>17</v>
      </c>
      <c r="S638" s="129"/>
      <c r="T638" s="117">
        <f>SUM((CN20+CO19+CP18+CQ17+CR16+CS15+CT14+CU13+CV12+CW11+CW10)*-0.132,(CV9+CU9+CT9+CS9+CR9+CQ8+CP8+CO8+CN8+CM8+CL7+CK7+CJ7+CI7+CH7)*-0.132/5,(CG6+CF6+CE6+CD6+CC5+CB5+CA5+BZ5+BY4+BX4+BW4+BV4)*-0.132/4,17)</f>
        <v>17.892861538461538</v>
      </c>
      <c r="U638" s="117">
        <f>Lefty!T638</f>
        <v>18.027738461538462</v>
      </c>
    </row>
    <row r="639" spans="2:21">
      <c r="B639" s="114">
        <v>9</v>
      </c>
      <c r="C639" s="74">
        <f t="shared" si="335"/>
        <v>8.25</v>
      </c>
      <c r="D639" s="74">
        <f t="shared" si="336"/>
        <v>7.5</v>
      </c>
      <c r="E639" s="74">
        <f t="shared" si="337"/>
        <v>6.75</v>
      </c>
      <c r="F639" s="114">
        <v>6</v>
      </c>
      <c r="G639" s="74">
        <f t="shared" si="338"/>
        <v>5.25</v>
      </c>
      <c r="H639" s="74">
        <f t="shared" si="339"/>
        <v>4.5</v>
      </c>
      <c r="I639" s="74">
        <f t="shared" si="340"/>
        <v>3.75</v>
      </c>
      <c r="J639" s="114">
        <f t="shared" si="341"/>
        <v>3</v>
      </c>
      <c r="K639" s="74">
        <f t="shared" si="359"/>
        <v>2.4375</v>
      </c>
      <c r="L639" s="114">
        <f t="shared" si="347"/>
        <v>1.875</v>
      </c>
      <c r="M639" s="115">
        <f t="shared" si="360"/>
        <v>4.3857499999999998</v>
      </c>
      <c r="N639" s="115">
        <f t="shared" si="361"/>
        <v>6.9116249999999999</v>
      </c>
      <c r="O639" s="74">
        <f t="shared" si="362"/>
        <v>9.4375</v>
      </c>
      <c r="P639" s="74">
        <f t="shared" si="363"/>
        <v>11.94825</v>
      </c>
      <c r="Q639" s="74">
        <f t="shared" si="364"/>
        <v>14.459</v>
      </c>
      <c r="R639" s="114">
        <v>17</v>
      </c>
      <c r="S639" s="129"/>
      <c r="T639" s="117">
        <f>SUM((CL20+CO18+CR16+CU14+CX12+CY11+CZ10)*-0.132,(CM19+CN19+CP17+CQ17+CS15+CT15+CV13+CW13)*-0.132/2,(CY9+CX9+CW9+CV9+CU9+CT8+CS8+CR8+CQ8+CP8+CO7+CN7+CM7+CL7+CK7+CJ6+CI6+CH6+CG6+CF6+CE5+CD5+CC5+CB5+CA5+BZ4+BY4+BX4+BW4+BV4)*-0.132/5,17)</f>
        <v>18.051261538461539</v>
      </c>
      <c r="U639" s="117">
        <f>Lefty!T639</f>
        <v>17.862738461538463</v>
      </c>
    </row>
    <row r="640" spans="2:21">
      <c r="B640" s="114"/>
      <c r="C640" s="74"/>
      <c r="D640" s="74"/>
      <c r="E640" s="74"/>
      <c r="F640" s="114"/>
      <c r="G640" s="74"/>
      <c r="H640" s="74"/>
      <c r="I640" s="74"/>
      <c r="J640" s="114"/>
      <c r="K640" s="74"/>
      <c r="L640" s="114"/>
      <c r="M640" s="115"/>
      <c r="N640" s="115"/>
      <c r="O640" s="74"/>
      <c r="P640" s="74"/>
      <c r="Q640" s="74"/>
      <c r="R640" s="114"/>
      <c r="S640" s="129"/>
    </row>
    <row r="641" spans="2:21">
      <c r="B641" s="114">
        <v>4</v>
      </c>
      <c r="C641" s="74">
        <f t="shared" si="335"/>
        <v>4.75</v>
      </c>
      <c r="D641" s="74">
        <f t="shared" si="336"/>
        <v>5.5</v>
      </c>
      <c r="E641" s="74">
        <f t="shared" si="337"/>
        <v>6.25</v>
      </c>
      <c r="F641" s="114">
        <v>7</v>
      </c>
      <c r="G641" s="74">
        <f t="shared" si="338"/>
        <v>7.75</v>
      </c>
      <c r="H641" s="74">
        <f t="shared" si="339"/>
        <v>8.5</v>
      </c>
      <c r="I641" s="74">
        <f t="shared" si="340"/>
        <v>9.25</v>
      </c>
      <c r="J641" s="114">
        <f t="shared" si="341"/>
        <v>10</v>
      </c>
      <c r="K641" s="74">
        <f t="shared" ref="K641:K648" si="365">SUM(0.5*(L641-J641),J641)</f>
        <v>10.9375</v>
      </c>
      <c r="L641" s="114">
        <f t="shared" si="347"/>
        <v>11.875</v>
      </c>
      <c r="M641" s="115">
        <f t="shared" ref="M641:M648" si="366">SUM(0.166*(R641-L641),L641)</f>
        <v>12.72575</v>
      </c>
      <c r="N641" s="115">
        <f t="shared" ref="N641:N648" si="367">SUM(0.333*(R641-L641),L641)</f>
        <v>13.581625000000001</v>
      </c>
      <c r="O641" s="74">
        <f t="shared" ref="O641:O648" si="368">SUM(0.5*(R641-L641),L641)</f>
        <v>14.4375</v>
      </c>
      <c r="P641" s="74">
        <f t="shared" ref="P641:P648" si="369">SUM(0.666*(R641-L641),L641)</f>
        <v>15.28825</v>
      </c>
      <c r="Q641" s="74">
        <f t="shared" ref="Q641:Q648" si="370">SUM(0.832*(R641-L641),L641)</f>
        <v>16.138999999999999</v>
      </c>
      <c r="R641" s="114">
        <v>17</v>
      </c>
      <c r="S641" s="129"/>
      <c r="T641" s="117">
        <f>SUM((CV20+CS18+CP16+CM14+CJ12)*-0.132,(CU19+CT19+CR17+CQ17+CO15+CN15+CL13+CK13+CI11+CH11+CG10+CF10+CE9+CD9+CC8+CB8+CA7+BZ7+BY6+BX6)*-0.132/2,(BW5+BV4)*-0.132,17)</f>
        <v>19.714461538461538</v>
      </c>
      <c r="U641" s="117">
        <f>Lefty!T641</f>
        <v>18.37753846153846</v>
      </c>
    </row>
    <row r="642" spans="2:21">
      <c r="B642" s="114">
        <v>5</v>
      </c>
      <c r="C642" s="74">
        <f t="shared" si="335"/>
        <v>5.5</v>
      </c>
      <c r="D642" s="74">
        <f t="shared" si="336"/>
        <v>6</v>
      </c>
      <c r="E642" s="74">
        <f t="shared" si="337"/>
        <v>6.5</v>
      </c>
      <c r="F642" s="114">
        <v>7</v>
      </c>
      <c r="G642" s="74">
        <f t="shared" si="338"/>
        <v>7.5</v>
      </c>
      <c r="H642" s="74">
        <f t="shared" si="339"/>
        <v>8</v>
      </c>
      <c r="I642" s="74">
        <f t="shared" si="340"/>
        <v>8.5</v>
      </c>
      <c r="J642" s="114">
        <f t="shared" si="341"/>
        <v>9</v>
      </c>
      <c r="K642" s="74">
        <f t="shared" si="365"/>
        <v>9.625</v>
      </c>
      <c r="L642" s="114">
        <f t="shared" si="347"/>
        <v>10.25</v>
      </c>
      <c r="M642" s="115">
        <f t="shared" si="366"/>
        <v>11.3705</v>
      </c>
      <c r="N642" s="115">
        <f t="shared" si="367"/>
        <v>12.49775</v>
      </c>
      <c r="O642" s="74">
        <f t="shared" si="368"/>
        <v>13.625</v>
      </c>
      <c r="P642" s="74">
        <f t="shared" si="369"/>
        <v>14.7455</v>
      </c>
      <c r="Q642" s="74">
        <f t="shared" si="370"/>
        <v>15.866</v>
      </c>
      <c r="R642" s="114">
        <v>17</v>
      </c>
      <c r="S642" s="129"/>
      <c r="T642" s="117">
        <f>SUM((CT20+CS19+CR18+CQ17+CP16+CO15+CN14+CM13+CL12+CK11)*-0.132,(CJ10+CI10)*-0.132/2,(CH9+CG9+CF9)*-0.132/3,(CE8+CD8+CC7+CB7+CA6+BZ6+BY5+BX5+BW4+BV4)*-0.132/2,17)</f>
        <v>19.318461538461538</v>
      </c>
      <c r="U642" s="117">
        <f>Lefty!T642</f>
        <v>18.22353846153846</v>
      </c>
    </row>
    <row r="643" spans="2:21">
      <c r="B643" s="114">
        <v>6</v>
      </c>
      <c r="C643" s="74">
        <f t="shared" si="335"/>
        <v>6.25</v>
      </c>
      <c r="D643" s="74">
        <f t="shared" si="336"/>
        <v>6.5</v>
      </c>
      <c r="E643" s="74">
        <f t="shared" si="337"/>
        <v>6.75</v>
      </c>
      <c r="F643" s="114">
        <v>7</v>
      </c>
      <c r="G643" s="74">
        <f t="shared" si="338"/>
        <v>7.25</v>
      </c>
      <c r="H643" s="74">
        <f t="shared" si="339"/>
        <v>7.5</v>
      </c>
      <c r="I643" s="74">
        <f t="shared" si="340"/>
        <v>7.75</v>
      </c>
      <c r="J643" s="114">
        <f t="shared" si="341"/>
        <v>8</v>
      </c>
      <c r="K643" s="74">
        <f t="shared" si="365"/>
        <v>8.3125</v>
      </c>
      <c r="L643" s="114">
        <f t="shared" si="347"/>
        <v>8.625</v>
      </c>
      <c r="M643" s="115">
        <f t="shared" si="366"/>
        <v>10.01525</v>
      </c>
      <c r="N643" s="115">
        <f t="shared" si="367"/>
        <v>11.413875000000001</v>
      </c>
      <c r="O643" s="74">
        <f t="shared" si="368"/>
        <v>12.8125</v>
      </c>
      <c r="P643" s="74">
        <f t="shared" si="369"/>
        <v>14.20275</v>
      </c>
      <c r="Q643" s="74">
        <f t="shared" si="370"/>
        <v>15.593</v>
      </c>
      <c r="R643" s="114">
        <v>17</v>
      </c>
      <c r="S643" s="129"/>
      <c r="T643" s="117">
        <f>SUM((CR20+CQ19+CQ18+CP17+CP16+CO15+CO14+CN13+CN12+CM11+CM10)*-0.132,(CL9+CK9+CJ9+CI8+CH8+CG8+CF7+CE7+CD7+CC6+CB6+CA6+BZ5+BY5+BX5)*-0.132/3,(BW4+BV4)*-0.132/2,17)</f>
        <v>18.988461538461539</v>
      </c>
      <c r="U643" s="117">
        <f>Lefty!T643</f>
        <v>18.157538461538461</v>
      </c>
    </row>
    <row r="644" spans="2:21">
      <c r="B644" s="114">
        <v>7</v>
      </c>
      <c r="C644" s="74">
        <f t="shared" si="335"/>
        <v>7</v>
      </c>
      <c r="D644" s="74">
        <f t="shared" si="336"/>
        <v>7</v>
      </c>
      <c r="E644" s="74">
        <f t="shared" si="337"/>
        <v>7</v>
      </c>
      <c r="F644" s="114">
        <v>7</v>
      </c>
      <c r="G644" s="74">
        <f t="shared" si="338"/>
        <v>7</v>
      </c>
      <c r="H644" s="74">
        <f t="shared" si="339"/>
        <v>7</v>
      </c>
      <c r="I644" s="74">
        <f t="shared" si="340"/>
        <v>7</v>
      </c>
      <c r="J644" s="114">
        <f t="shared" si="341"/>
        <v>7</v>
      </c>
      <c r="K644" s="74">
        <f t="shared" si="365"/>
        <v>7.5</v>
      </c>
      <c r="L644" s="114">
        <f>SUM(J644,J644,-H644,0.25*ABS(J644-H644),0.1*(17-F644))</f>
        <v>8</v>
      </c>
      <c r="M644" s="115">
        <f t="shared" si="366"/>
        <v>9.4939999999999998</v>
      </c>
      <c r="N644" s="115">
        <f t="shared" si="367"/>
        <v>10.997</v>
      </c>
      <c r="O644" s="74">
        <f t="shared" si="368"/>
        <v>12.5</v>
      </c>
      <c r="P644" s="74">
        <f t="shared" si="369"/>
        <v>13.994</v>
      </c>
      <c r="Q644" s="74">
        <f t="shared" si="370"/>
        <v>15.488</v>
      </c>
      <c r="R644" s="114">
        <v>17</v>
      </c>
      <c r="S644" s="129"/>
      <c r="T644" s="117">
        <f>SUM((CP20+CP19+CP18+CP17+CP16+CP15+CP14+CP13+CP12+CO11+CN10)*-0.132,(CM9+CL9+CK9+CJ8+CI8+CH8+CG7+CF7+CE7+CD6+CC6+CB6+CA5+BZ5+BY5+BX4+BW4+BV4)*-0.132/3,17)</f>
        <v>18.41646153846154</v>
      </c>
      <c r="U644" s="117">
        <f>Lefty!T644</f>
        <v>18.663538461538462</v>
      </c>
    </row>
    <row r="645" spans="2:21">
      <c r="B645" s="114">
        <v>8</v>
      </c>
      <c r="C645" s="74">
        <f t="shared" si="335"/>
        <v>7.75</v>
      </c>
      <c r="D645" s="74">
        <f t="shared" si="336"/>
        <v>7.5</v>
      </c>
      <c r="E645" s="74">
        <f t="shared" si="337"/>
        <v>7.25</v>
      </c>
      <c r="F645" s="114">
        <v>7</v>
      </c>
      <c r="G645" s="74">
        <f t="shared" si="338"/>
        <v>6.75</v>
      </c>
      <c r="H645" s="74">
        <f t="shared" si="339"/>
        <v>6.5</v>
      </c>
      <c r="I645" s="74">
        <f t="shared" si="340"/>
        <v>6.25</v>
      </c>
      <c r="J645" s="114">
        <f t="shared" si="341"/>
        <v>6</v>
      </c>
      <c r="K645" s="74">
        <f t="shared" si="365"/>
        <v>5.8125</v>
      </c>
      <c r="L645" s="114">
        <f t="shared" si="347"/>
        <v>5.625</v>
      </c>
      <c r="M645" s="115">
        <f t="shared" si="366"/>
        <v>7.5132500000000002</v>
      </c>
      <c r="N645" s="115">
        <f t="shared" si="367"/>
        <v>9.4128749999999997</v>
      </c>
      <c r="O645" s="74">
        <f t="shared" si="368"/>
        <v>11.3125</v>
      </c>
      <c r="P645" s="74">
        <f t="shared" si="369"/>
        <v>13.200749999999999</v>
      </c>
      <c r="Q645" s="74">
        <f t="shared" si="370"/>
        <v>15.089</v>
      </c>
      <c r="R645" s="114">
        <v>17</v>
      </c>
      <c r="S645" s="129"/>
      <c r="T645" s="117">
        <f>SUM((CN20+CO19+CO18+CP17+CP16+CQ15+CQ14+CR13+CR12+CS11+CS10)*-0.132,(CR9+CQ9+CP9+CO9+CN8+CM8+CL8+CK8+CJ7+CI7+CH7+CG7+CF6+CE6+CD6+CC6+CB5+CA5+BZ5+BY5)*-0.132/4,(BX4+BW4+BV4)*-0.132/3,17)</f>
        <v>18.394461538461538</v>
      </c>
      <c r="U645" s="117">
        <f>Lefty!T645</f>
        <v>17.739538461538462</v>
      </c>
    </row>
    <row r="646" spans="2:21">
      <c r="B646" s="114">
        <v>9</v>
      </c>
      <c r="C646" s="74">
        <f t="shared" si="335"/>
        <v>8.5</v>
      </c>
      <c r="D646" s="74">
        <f t="shared" si="336"/>
        <v>8</v>
      </c>
      <c r="E646" s="74">
        <f t="shared" si="337"/>
        <v>7.5</v>
      </c>
      <c r="F646" s="114">
        <v>7</v>
      </c>
      <c r="G646" s="74">
        <f t="shared" si="338"/>
        <v>6.5</v>
      </c>
      <c r="H646" s="74">
        <f t="shared" si="339"/>
        <v>6</v>
      </c>
      <c r="I646" s="74">
        <f t="shared" si="340"/>
        <v>5.5</v>
      </c>
      <c r="J646" s="114">
        <f t="shared" si="341"/>
        <v>5</v>
      </c>
      <c r="K646" s="74">
        <f t="shared" si="365"/>
        <v>4.625</v>
      </c>
      <c r="L646" s="114">
        <f t="shared" si="347"/>
        <v>4.25</v>
      </c>
      <c r="M646" s="115">
        <f t="shared" si="366"/>
        <v>6.3665000000000003</v>
      </c>
      <c r="N646" s="115">
        <f t="shared" si="367"/>
        <v>8.495750000000001</v>
      </c>
      <c r="O646" s="74">
        <f t="shared" si="368"/>
        <v>10.625</v>
      </c>
      <c r="P646" s="74">
        <f t="shared" si="369"/>
        <v>12.7415</v>
      </c>
      <c r="Q646" s="74">
        <f t="shared" si="370"/>
        <v>14.857999999999999</v>
      </c>
      <c r="R646" s="114">
        <v>17</v>
      </c>
      <c r="S646" s="129"/>
      <c r="T646" s="117">
        <f>SUM((CL20+CM19+CN18+CO17+CP16+CQ15+CR14+CS13+CT12+CU11+CU10)*-0.132,(CT9+CS9+CR9+CQ9+CP9)*-0.132/5,(CO8+CN8+CM8+CL8+CK7+CJ7+CI7+CH7+CG6+CF6+CE6+CD6+CC5+CB5+CA5+BZ5+BY4+BX4+BW4+BV4)*-0.132/4,17)</f>
        <v>18.176661538461538</v>
      </c>
      <c r="U646" s="117">
        <f>Lefty!T646</f>
        <v>18.093738461538461</v>
      </c>
    </row>
    <row r="647" spans="2:21">
      <c r="B647" s="114">
        <v>10</v>
      </c>
      <c r="C647" s="74">
        <f t="shared" si="335"/>
        <v>9.25</v>
      </c>
      <c r="D647" s="74">
        <f t="shared" si="336"/>
        <v>8.5</v>
      </c>
      <c r="E647" s="74">
        <f t="shared" si="337"/>
        <v>7.75</v>
      </c>
      <c r="F647" s="114">
        <v>7</v>
      </c>
      <c r="G647" s="74">
        <f t="shared" si="338"/>
        <v>6.25</v>
      </c>
      <c r="H647" s="74">
        <f t="shared" si="339"/>
        <v>5.5</v>
      </c>
      <c r="I647" s="74">
        <f t="shared" si="340"/>
        <v>4.75</v>
      </c>
      <c r="J647" s="114">
        <f t="shared" si="341"/>
        <v>4</v>
      </c>
      <c r="K647" s="74">
        <f t="shared" si="365"/>
        <v>3.4375</v>
      </c>
      <c r="L647" s="114">
        <f t="shared" si="347"/>
        <v>2.875</v>
      </c>
      <c r="M647" s="115">
        <f t="shared" si="366"/>
        <v>5.2197500000000003</v>
      </c>
      <c r="N647" s="115">
        <f t="shared" si="367"/>
        <v>7.5786250000000006</v>
      </c>
      <c r="O647" s="74">
        <f t="shared" si="368"/>
        <v>9.9375</v>
      </c>
      <c r="P647" s="74">
        <f t="shared" si="369"/>
        <v>12.282250000000001</v>
      </c>
      <c r="Q647" s="74">
        <f t="shared" si="370"/>
        <v>14.626999999999999</v>
      </c>
      <c r="R647" s="114">
        <v>17</v>
      </c>
      <c r="S647" s="129"/>
      <c r="T647" s="117">
        <f>SUM((CJ20+CM18+CP16+CS14+CV12+CW11+CX10)*-0.132,(CK19+CL19+CN17+CO17+CQ15+CR15+CT13+CU13)*-0.132/2,(CW9+CV9+CU9+CT9+CS9+CR8+CQ8+CP8+CO8+CN8+CM7+CL7+CK7+CJ7+CI7+CH6+CG6+CF6+CE6+CD6)*-0.132/5,(CC5+CB5+CA5+BZ5+BY4+BX4+BW4+BV4)*-0.132/4,17)</f>
        <v>17.747661538461539</v>
      </c>
      <c r="U647" s="117">
        <f>Lefty!T647</f>
        <v>18.225738461538462</v>
      </c>
    </row>
    <row r="648" spans="2:21">
      <c r="B648" s="114">
        <v>11</v>
      </c>
      <c r="C648" s="74">
        <f t="shared" si="335"/>
        <v>10</v>
      </c>
      <c r="D648" s="74">
        <f t="shared" si="336"/>
        <v>9</v>
      </c>
      <c r="E648" s="74">
        <f t="shared" si="337"/>
        <v>8</v>
      </c>
      <c r="F648" s="114">
        <v>7</v>
      </c>
      <c r="G648" s="74">
        <f t="shared" si="338"/>
        <v>6</v>
      </c>
      <c r="H648" s="74">
        <f t="shared" si="339"/>
        <v>5</v>
      </c>
      <c r="I648" s="74">
        <f t="shared" si="340"/>
        <v>4</v>
      </c>
      <c r="J648" s="114">
        <f t="shared" si="341"/>
        <v>3</v>
      </c>
      <c r="K648" s="74">
        <f t="shared" si="365"/>
        <v>2.25</v>
      </c>
      <c r="L648" s="114">
        <f t="shared" si="347"/>
        <v>1.5</v>
      </c>
      <c r="M648" s="115">
        <f t="shared" si="366"/>
        <v>4.0730000000000004</v>
      </c>
      <c r="N648" s="115">
        <f t="shared" si="367"/>
        <v>6.6615000000000002</v>
      </c>
      <c r="O648" s="74">
        <f t="shared" si="368"/>
        <v>9.25</v>
      </c>
      <c r="P648" s="74">
        <f t="shared" si="369"/>
        <v>11.823</v>
      </c>
      <c r="Q648" s="74">
        <f t="shared" si="370"/>
        <v>14.395999999999999</v>
      </c>
      <c r="R648" s="114">
        <v>17</v>
      </c>
      <c r="S648" s="129"/>
      <c r="T648" s="117">
        <f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17.83126153846154</v>
      </c>
      <c r="U648" s="117">
        <f>Lefty!T648</f>
        <v>18.205938461538462</v>
      </c>
    </row>
    <row r="649" spans="2:21">
      <c r="B649" s="114"/>
      <c r="C649" s="74"/>
      <c r="D649" s="74"/>
      <c r="E649" s="74"/>
      <c r="F649" s="114"/>
      <c r="G649" s="74"/>
      <c r="H649" s="74"/>
      <c r="I649" s="74"/>
      <c r="J649" s="114"/>
      <c r="K649" s="74"/>
      <c r="L649" s="114"/>
      <c r="M649" s="115"/>
      <c r="N649" s="115"/>
      <c r="O649" s="74"/>
      <c r="P649" s="74"/>
      <c r="Q649" s="74"/>
      <c r="R649" s="114"/>
      <c r="S649" s="129"/>
    </row>
    <row r="650" spans="2:21">
      <c r="B650" s="114">
        <v>5</v>
      </c>
      <c r="C650" s="74">
        <f t="shared" si="335"/>
        <v>5.75</v>
      </c>
      <c r="D650" s="74">
        <f t="shared" si="336"/>
        <v>6.5</v>
      </c>
      <c r="E650" s="74">
        <f t="shared" si="337"/>
        <v>7.25</v>
      </c>
      <c r="F650" s="114">
        <v>8</v>
      </c>
      <c r="G650" s="74">
        <f t="shared" si="338"/>
        <v>8.75</v>
      </c>
      <c r="H650" s="74">
        <f t="shared" si="339"/>
        <v>9.5</v>
      </c>
      <c r="I650" s="74">
        <f t="shared" si="340"/>
        <v>10.25</v>
      </c>
      <c r="J650" s="114">
        <f t="shared" si="341"/>
        <v>11</v>
      </c>
      <c r="K650" s="74">
        <f t="shared" ref="K650:K658" si="371">SUM(0.5*(L650-J650),J650)</f>
        <v>11.75</v>
      </c>
      <c r="L650" s="114">
        <f>SUM(J650,J650,-H650)</f>
        <v>12.5</v>
      </c>
      <c r="M650" s="115">
        <f t="shared" ref="M650:M658" si="372">SUM(0.166*(R650-L650),L650)</f>
        <v>13.247</v>
      </c>
      <c r="N650" s="115">
        <f t="shared" ref="N650:N658" si="373">SUM(0.333*(R650-L650),L650)</f>
        <v>13.9985</v>
      </c>
      <c r="O650" s="74">
        <f t="shared" ref="O650:O658" si="374">SUM(0.5*(R650-L650),L650)</f>
        <v>14.75</v>
      </c>
      <c r="P650" s="74">
        <f t="shared" ref="P650:P658" si="375">SUM(0.666*(R650-L650),L650)</f>
        <v>15.497</v>
      </c>
      <c r="Q650" s="74">
        <f t="shared" ref="Q650:Q658" si="376">SUM(0.832*(R650-L650),L650)</f>
        <v>16.244</v>
      </c>
      <c r="R650" s="114">
        <v>17</v>
      </c>
      <c r="S650" s="129"/>
      <c r="T650" s="117">
        <f>SUM((CT20+CQ18+CN16+CK14+CH12+CE10)*-0.132,(CS19+CR19+CP17+CO17+CM15+CL15+CJ13+CI13+CG11+CF11+CD9+CC9+CB8+CA8+BZ7+BY7)*-0.132/2,(BX6+BW5+BV4)*-0.132,17)</f>
        <v>19.18646153846154</v>
      </c>
      <c r="U650" s="117">
        <f>Lefty!T650</f>
        <v>19.03753846153846</v>
      </c>
    </row>
    <row r="651" spans="2:21">
      <c r="B651" s="114">
        <v>6</v>
      </c>
      <c r="C651" s="74">
        <f t="shared" si="335"/>
        <v>6.5</v>
      </c>
      <c r="D651" s="74">
        <f t="shared" si="336"/>
        <v>7</v>
      </c>
      <c r="E651" s="74">
        <f t="shared" si="337"/>
        <v>7.5</v>
      </c>
      <c r="F651" s="114">
        <v>8</v>
      </c>
      <c r="G651" s="74">
        <f t="shared" si="338"/>
        <v>8.5</v>
      </c>
      <c r="H651" s="74">
        <f t="shared" si="339"/>
        <v>9</v>
      </c>
      <c r="I651" s="74">
        <f t="shared" si="340"/>
        <v>9.5</v>
      </c>
      <c r="J651" s="114">
        <f t="shared" si="341"/>
        <v>10</v>
      </c>
      <c r="K651" s="74">
        <f t="shared" si="371"/>
        <v>10.625</v>
      </c>
      <c r="L651" s="114">
        <f t="shared" si="347"/>
        <v>11.25</v>
      </c>
      <c r="M651" s="115">
        <f t="shared" si="372"/>
        <v>12.204499999999999</v>
      </c>
      <c r="N651" s="115">
        <f t="shared" si="373"/>
        <v>13.16475</v>
      </c>
      <c r="O651" s="74">
        <f t="shared" si="374"/>
        <v>14.125</v>
      </c>
      <c r="P651" s="74">
        <f t="shared" si="375"/>
        <v>15.079499999999999</v>
      </c>
      <c r="Q651" s="74">
        <f t="shared" si="376"/>
        <v>16.033999999999999</v>
      </c>
      <c r="R651" s="114">
        <v>17</v>
      </c>
      <c r="S651" s="129"/>
      <c r="T651" s="117">
        <f>SUM((CR20+CQ19+CP18+CO17+CN16+CM15+CL14+CK13+CJ12+CI11+BV4)*-0.132,(CH10+CG10+CF9+CE9+CD8+CC8+CB7+CA7+BZ6+BY6+BX5+BW5)*-0.132/2,17)</f>
        <v>19.64846153846154</v>
      </c>
      <c r="U651" s="117">
        <f>Lefty!T651</f>
        <v>18.575538461538461</v>
      </c>
    </row>
    <row r="652" spans="2:21">
      <c r="B652" s="114">
        <v>7</v>
      </c>
      <c r="C652" s="74">
        <f t="shared" si="335"/>
        <v>7.25</v>
      </c>
      <c r="D652" s="74">
        <f t="shared" si="336"/>
        <v>7.5</v>
      </c>
      <c r="E652" s="74">
        <f t="shared" si="337"/>
        <v>7.75</v>
      </c>
      <c r="F652" s="114">
        <v>8</v>
      </c>
      <c r="G652" s="74">
        <f t="shared" si="338"/>
        <v>8.25</v>
      </c>
      <c r="H652" s="74">
        <f t="shared" si="339"/>
        <v>8.5</v>
      </c>
      <c r="I652" s="74">
        <f t="shared" si="340"/>
        <v>8.75</v>
      </c>
      <c r="J652" s="114">
        <f t="shared" si="341"/>
        <v>9</v>
      </c>
      <c r="K652" s="74">
        <f t="shared" si="371"/>
        <v>9.3125</v>
      </c>
      <c r="L652" s="114">
        <f t="shared" si="347"/>
        <v>9.625</v>
      </c>
      <c r="M652" s="115">
        <f t="shared" si="372"/>
        <v>10.84925</v>
      </c>
      <c r="N652" s="115">
        <f t="shared" si="373"/>
        <v>12.080875000000001</v>
      </c>
      <c r="O652" s="74">
        <f t="shared" si="374"/>
        <v>13.3125</v>
      </c>
      <c r="P652" s="74">
        <f t="shared" si="375"/>
        <v>14.536750000000001</v>
      </c>
      <c r="Q652" s="74">
        <f t="shared" si="376"/>
        <v>15.760999999999999</v>
      </c>
      <c r="R652" s="114">
        <v>17</v>
      </c>
      <c r="S652" s="129"/>
      <c r="T652" s="117">
        <f>SUM((CP20+CO19+CO18+CN17+CN16+CM15+CM14+CL13+CL12+CK11+CK10)*-0.132,(CJ9+CI9+CH9+CG8+CF8+CE8+CD7+CC7+CB7)*-0.132/3,(CA6+BZ6+BY5+BX5+BW4+BV4)*-0.132/2,17)</f>
        <v>19.472461538461538</v>
      </c>
      <c r="U652" s="117">
        <f>Lefty!T652</f>
        <v>19.103538461538463</v>
      </c>
    </row>
    <row r="653" spans="2:21">
      <c r="B653" s="114">
        <v>8</v>
      </c>
      <c r="C653" s="74">
        <f t="shared" si="335"/>
        <v>8</v>
      </c>
      <c r="D653" s="74">
        <f t="shared" si="336"/>
        <v>8</v>
      </c>
      <c r="E653" s="74">
        <f t="shared" si="337"/>
        <v>8</v>
      </c>
      <c r="F653" s="114">
        <v>8</v>
      </c>
      <c r="G653" s="74">
        <f t="shared" si="338"/>
        <v>8</v>
      </c>
      <c r="H653" s="74">
        <f t="shared" si="339"/>
        <v>8</v>
      </c>
      <c r="I653" s="74">
        <f t="shared" si="340"/>
        <v>8</v>
      </c>
      <c r="J653" s="114">
        <f t="shared" si="341"/>
        <v>8</v>
      </c>
      <c r="K653" s="74">
        <f t="shared" si="371"/>
        <v>8.4499999999999993</v>
      </c>
      <c r="L653" s="114">
        <f>SUM(J653,J653,-H653,0.25*ABS(J653-H653),0.1*(17-F653))</f>
        <v>8.9</v>
      </c>
      <c r="M653" s="115">
        <f t="shared" si="372"/>
        <v>10.2446</v>
      </c>
      <c r="N653" s="115">
        <f t="shared" si="373"/>
        <v>11.597300000000001</v>
      </c>
      <c r="O653" s="74">
        <f t="shared" si="374"/>
        <v>12.95</v>
      </c>
      <c r="P653" s="74">
        <f t="shared" si="375"/>
        <v>14.294599999999999</v>
      </c>
      <c r="Q653" s="74">
        <f t="shared" si="376"/>
        <v>15.639199999999999</v>
      </c>
      <c r="R653" s="114">
        <v>17</v>
      </c>
      <c r="S653" s="129"/>
      <c r="T653" s="117">
        <f>SUM((CN20+CN19+CN18+CN17+CN16+CN15+CN14+CN13+CN12+CM11+CL10)*-0.132,(CK9+CJ9+CI9+CH8+CG8+CF8+CE7+CD7+CC7+CB6+CA6+BZ6)*-0.132/3,(BY5+BX5+BW4+BV4)*-0.132/2,17)</f>
        <v>19.626461538461538</v>
      </c>
      <c r="U653" s="117">
        <f>Lefty!T653</f>
        <v>17.82753846153846</v>
      </c>
    </row>
    <row r="654" spans="2:21">
      <c r="B654" s="114">
        <v>9</v>
      </c>
      <c r="C654" s="74">
        <f t="shared" si="335"/>
        <v>8.75</v>
      </c>
      <c r="D654" s="74">
        <f t="shared" si="336"/>
        <v>8.5</v>
      </c>
      <c r="E654" s="74">
        <f t="shared" si="337"/>
        <v>8.25</v>
      </c>
      <c r="F654" s="114">
        <v>8</v>
      </c>
      <c r="G654" s="74">
        <f t="shared" si="338"/>
        <v>7.75</v>
      </c>
      <c r="H654" s="74">
        <f t="shared" si="339"/>
        <v>7.5</v>
      </c>
      <c r="I654" s="74">
        <f t="shared" si="340"/>
        <v>7.25</v>
      </c>
      <c r="J654" s="114">
        <f t="shared" si="341"/>
        <v>7</v>
      </c>
      <c r="K654" s="74">
        <f t="shared" si="371"/>
        <v>6.8125</v>
      </c>
      <c r="L654" s="114">
        <f t="shared" si="347"/>
        <v>6.625</v>
      </c>
      <c r="M654" s="115">
        <f t="shared" si="372"/>
        <v>8.3472500000000007</v>
      </c>
      <c r="N654" s="115">
        <f t="shared" si="373"/>
        <v>10.079875000000001</v>
      </c>
      <c r="O654" s="74">
        <f t="shared" si="374"/>
        <v>11.8125</v>
      </c>
      <c r="P654" s="74">
        <f t="shared" si="375"/>
        <v>13.534750000000001</v>
      </c>
      <c r="Q654" s="74">
        <f t="shared" si="376"/>
        <v>15.257</v>
      </c>
      <c r="R654" s="114">
        <v>17</v>
      </c>
      <c r="S654" s="129"/>
      <c r="T654" s="117">
        <f>SUM((CL20+CM19+CM18+CN17+CN16+CO15+CO14+CP13+CP12+CQ11+CQ10)*-0.132,(CP9+CO9+CN9+CM9+CL8+CK8+CJ8+CI8+CH7+CG7+CF7+CE7)*-0.132/4,(CD6+CC6+CB6+CA5+BZ5+BY5+BX4+BW4+BV4)*-0.132/3,17)</f>
        <v>18.900461538461538</v>
      </c>
      <c r="U654" s="117">
        <f>Lefty!T654</f>
        <v>18.619538461538461</v>
      </c>
    </row>
    <row r="655" spans="2:21">
      <c r="B655" s="114">
        <v>10</v>
      </c>
      <c r="C655" s="74">
        <f t="shared" si="335"/>
        <v>9.5</v>
      </c>
      <c r="D655" s="74">
        <f t="shared" si="336"/>
        <v>9</v>
      </c>
      <c r="E655" s="74">
        <f t="shared" si="337"/>
        <v>8.5</v>
      </c>
      <c r="F655" s="114">
        <v>8</v>
      </c>
      <c r="G655" s="74">
        <f t="shared" si="338"/>
        <v>7.5</v>
      </c>
      <c r="H655" s="74">
        <f t="shared" si="339"/>
        <v>7</v>
      </c>
      <c r="I655" s="74">
        <f t="shared" si="340"/>
        <v>6.5</v>
      </c>
      <c r="J655" s="114">
        <f t="shared" si="341"/>
        <v>6</v>
      </c>
      <c r="K655" s="74">
        <f t="shared" si="371"/>
        <v>5.625</v>
      </c>
      <c r="L655" s="114">
        <f t="shared" si="347"/>
        <v>5.25</v>
      </c>
      <c r="M655" s="115">
        <f t="shared" si="372"/>
        <v>7.2004999999999999</v>
      </c>
      <c r="N655" s="115">
        <f t="shared" si="373"/>
        <v>9.1627500000000008</v>
      </c>
      <c r="O655" s="74">
        <f t="shared" si="374"/>
        <v>11.125</v>
      </c>
      <c r="P655" s="74">
        <f t="shared" si="375"/>
        <v>13.075500000000002</v>
      </c>
      <c r="Q655" s="74">
        <f t="shared" si="376"/>
        <v>15.026</v>
      </c>
      <c r="R655" s="114">
        <v>17</v>
      </c>
      <c r="S655" s="129"/>
      <c r="T655" s="117">
        <f>SUM((CJ20+CK19+CL18+CM17+CN16+CO15+CP14+CQ13+CR12+CS11+CS10)*-0.132,(CR9+CQ9+CP9+CO9+CN8+CM8+CL8+CK8+CJ7+CI7+CH7+CG7+CF6+CE6+CD6+CC6+CB5+CA5+BZ5+BY5)*-0.132/4,(BX4+BW4+BV4)*-0.132/3,17)</f>
        <v>18.52646153846154</v>
      </c>
      <c r="U655" s="117">
        <f>Lefty!T655</f>
        <v>18.135538461538463</v>
      </c>
    </row>
    <row r="656" spans="2:21">
      <c r="B656" s="114">
        <v>11</v>
      </c>
      <c r="C656" s="74">
        <f t="shared" si="335"/>
        <v>10.25</v>
      </c>
      <c r="D656" s="74">
        <f t="shared" si="336"/>
        <v>9.5</v>
      </c>
      <c r="E656" s="74">
        <f t="shared" si="337"/>
        <v>8.75</v>
      </c>
      <c r="F656" s="114">
        <v>8</v>
      </c>
      <c r="G656" s="74">
        <f t="shared" si="338"/>
        <v>7.25</v>
      </c>
      <c r="H656" s="74">
        <f t="shared" si="339"/>
        <v>6.5</v>
      </c>
      <c r="I656" s="74">
        <f t="shared" si="340"/>
        <v>5.75</v>
      </c>
      <c r="J656" s="114">
        <f t="shared" si="341"/>
        <v>5</v>
      </c>
      <c r="K656" s="74">
        <f t="shared" si="371"/>
        <v>4.4375</v>
      </c>
      <c r="L656" s="114">
        <f t="shared" si="347"/>
        <v>3.875</v>
      </c>
      <c r="M656" s="115">
        <f t="shared" si="372"/>
        <v>6.05375</v>
      </c>
      <c r="N656" s="115">
        <f t="shared" si="373"/>
        <v>8.2456250000000004</v>
      </c>
      <c r="O656" s="74">
        <f t="shared" si="374"/>
        <v>10.4375</v>
      </c>
      <c r="P656" s="74">
        <f t="shared" si="375"/>
        <v>12.616250000000001</v>
      </c>
      <c r="Q656" s="74">
        <f t="shared" si="376"/>
        <v>14.795</v>
      </c>
      <c r="R656" s="114">
        <v>17</v>
      </c>
      <c r="S656" s="129"/>
      <c r="T656" s="117">
        <f>SUM((CH20+CK18+CN16+CQ14+CT12+CU11+CV10)*-0.132,(CI19+CJ19+CL17+CM17+CO15+CP15+CR13+CS13)*-0.132/2,(CU9+CT9+CS9+CR9+CQ9+CP8+CO8+CN8+CM8+CL8)*-0.132/5,(CK7+CJ7+CI7+CH7+CG6+CF6+CE6+CD6+CC5+CB5+CA5+BZ5+BY4+BX4+BW4+BV4)*-0.132/4,17)</f>
        <v>18.110661538461539</v>
      </c>
      <c r="U656" s="117">
        <f>Lefty!T656</f>
        <v>18.516138461538461</v>
      </c>
    </row>
    <row r="657" spans="2:21">
      <c r="B657" s="114">
        <v>12</v>
      </c>
      <c r="C657" s="74">
        <f t="shared" si="335"/>
        <v>11</v>
      </c>
      <c r="D657" s="74">
        <f t="shared" si="336"/>
        <v>10</v>
      </c>
      <c r="E657" s="74">
        <f t="shared" si="337"/>
        <v>9</v>
      </c>
      <c r="F657" s="114">
        <v>8</v>
      </c>
      <c r="G657" s="74">
        <f t="shared" si="338"/>
        <v>7</v>
      </c>
      <c r="H657" s="74">
        <f t="shared" si="339"/>
        <v>6</v>
      </c>
      <c r="I657" s="74">
        <f t="shared" si="340"/>
        <v>5</v>
      </c>
      <c r="J657" s="114">
        <f t="shared" si="341"/>
        <v>4</v>
      </c>
      <c r="K657" s="74">
        <f t="shared" si="371"/>
        <v>3.25</v>
      </c>
      <c r="L657" s="114">
        <f t="shared" si="347"/>
        <v>2.5</v>
      </c>
      <c r="M657" s="115">
        <f t="shared" si="372"/>
        <v>4.907</v>
      </c>
      <c r="N657" s="115">
        <f t="shared" si="373"/>
        <v>7.3285</v>
      </c>
      <c r="O657" s="74">
        <f t="shared" si="374"/>
        <v>9.75</v>
      </c>
      <c r="P657" s="74">
        <f t="shared" si="375"/>
        <v>12.157</v>
      </c>
      <c r="Q657" s="74">
        <f t="shared" si="376"/>
        <v>14.564</v>
      </c>
      <c r="R657" s="114">
        <v>17</v>
      </c>
      <c r="S657" s="129"/>
      <c r="T657" s="117">
        <f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17.496861538461538</v>
      </c>
      <c r="U657" s="117">
        <f>Lefty!T657</f>
        <v>18.601938461538463</v>
      </c>
    </row>
    <row r="658" spans="2:21">
      <c r="B658" s="114">
        <v>13</v>
      </c>
      <c r="C658" s="74">
        <f t="shared" si="335"/>
        <v>11.75</v>
      </c>
      <c r="D658" s="74">
        <f t="shared" si="336"/>
        <v>10.5</v>
      </c>
      <c r="E658" s="74">
        <f t="shared" si="337"/>
        <v>9.25</v>
      </c>
      <c r="F658" s="114">
        <v>8</v>
      </c>
      <c r="G658" s="74">
        <f t="shared" si="338"/>
        <v>6.75</v>
      </c>
      <c r="H658" s="74">
        <f t="shared" si="339"/>
        <v>5.5</v>
      </c>
      <c r="I658" s="74">
        <f t="shared" si="340"/>
        <v>4.25</v>
      </c>
      <c r="J658" s="114">
        <f t="shared" si="341"/>
        <v>3</v>
      </c>
      <c r="K658" s="74">
        <f t="shared" si="371"/>
        <v>2.0625</v>
      </c>
      <c r="L658" s="114">
        <f t="shared" si="347"/>
        <v>1.125</v>
      </c>
      <c r="M658" s="115">
        <f t="shared" si="372"/>
        <v>3.7602500000000001</v>
      </c>
      <c r="N658" s="115">
        <f t="shared" si="373"/>
        <v>6.4113750000000005</v>
      </c>
      <c r="O658" s="74">
        <f t="shared" si="374"/>
        <v>9.0625</v>
      </c>
      <c r="P658" s="74">
        <f t="shared" si="375"/>
        <v>11.697750000000001</v>
      </c>
      <c r="Q658" s="74">
        <f t="shared" si="376"/>
        <v>14.333</v>
      </c>
      <c r="R658" s="114">
        <v>17</v>
      </c>
      <c r="S658" s="129"/>
      <c r="T658" s="117">
        <f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17.79606153846154</v>
      </c>
      <c r="U658" s="117">
        <f>Lefty!T658</f>
        <v>18.637138461538463</v>
      </c>
    </row>
    <row r="659" spans="2:21">
      <c r="B659" s="114"/>
      <c r="C659" s="74"/>
      <c r="D659" s="74"/>
      <c r="E659" s="74"/>
      <c r="F659" s="114"/>
      <c r="G659" s="74"/>
      <c r="H659" s="74"/>
      <c r="I659" s="74"/>
      <c r="J659" s="114"/>
      <c r="K659" s="74"/>
      <c r="L659" s="114"/>
      <c r="M659" s="115"/>
      <c r="N659" s="115"/>
      <c r="O659" s="74"/>
      <c r="P659" s="74"/>
      <c r="Q659" s="74"/>
      <c r="R659" s="114"/>
      <c r="S659" s="129"/>
    </row>
    <row r="660" spans="2:21">
      <c r="B660" s="114">
        <v>7</v>
      </c>
      <c r="C660" s="74">
        <f t="shared" si="335"/>
        <v>7.5</v>
      </c>
      <c r="D660" s="74">
        <f t="shared" si="336"/>
        <v>8</v>
      </c>
      <c r="E660" s="74">
        <f t="shared" si="337"/>
        <v>8.5</v>
      </c>
      <c r="F660" s="114">
        <v>9</v>
      </c>
      <c r="G660" s="74">
        <f t="shared" si="338"/>
        <v>9.5</v>
      </c>
      <c r="H660" s="74">
        <f t="shared" si="339"/>
        <v>10</v>
      </c>
      <c r="I660" s="74">
        <f t="shared" si="340"/>
        <v>10.5</v>
      </c>
      <c r="J660" s="114">
        <f t="shared" si="341"/>
        <v>11</v>
      </c>
      <c r="K660" s="74">
        <f t="shared" ref="K660:K667" si="377">SUM(0.5*(L660-J660),J660)</f>
        <v>11.625</v>
      </c>
      <c r="L660" s="114">
        <f t="shared" si="347"/>
        <v>12.25</v>
      </c>
      <c r="M660" s="115">
        <f t="shared" ref="M660:M667" si="378">SUM(0.166*(R660-L660),L660)</f>
        <v>13.038500000000001</v>
      </c>
      <c r="N660" s="115">
        <f t="shared" ref="N660:N667" si="379">SUM(0.333*(R660-L660),L660)</f>
        <v>13.83175</v>
      </c>
      <c r="O660" s="74">
        <f t="shared" ref="O660:O667" si="380">SUM(0.5*(R660-L660),L660)</f>
        <v>14.625</v>
      </c>
      <c r="P660" s="74">
        <f t="shared" ref="P660:P667" si="381">SUM(0.666*(R660-L660),L660)</f>
        <v>15.413499999999999</v>
      </c>
      <c r="Q660" s="74">
        <f t="shared" ref="Q660:Q667" si="382">SUM(0.832*(R660-L660),L660)</f>
        <v>16.201999999999998</v>
      </c>
      <c r="R660" s="114">
        <v>17</v>
      </c>
      <c r="S660" s="129"/>
      <c r="T660" s="117">
        <f>SUM((CP20+CO19+CN18+CM17+CL16+CK15+CJ14+CI13+CH12+CG11)*-0.132,(CF10+CE10)*-0.132/2,(CD9+CC9+CB8+CA8+BZ7+BY7)*-0.132/2,(BX6+BW5+BV4)*-0.132,17)</f>
        <v>19.054461538461538</v>
      </c>
      <c r="U660" s="117">
        <f>Lefty!T660</f>
        <v>19.235538461538461</v>
      </c>
    </row>
    <row r="661" spans="2:21">
      <c r="B661" s="114">
        <v>8</v>
      </c>
      <c r="C661" s="74">
        <f t="shared" si="335"/>
        <v>8.25</v>
      </c>
      <c r="D661" s="74">
        <f t="shared" si="336"/>
        <v>8.5</v>
      </c>
      <c r="E661" s="74">
        <f t="shared" si="337"/>
        <v>8.75</v>
      </c>
      <c r="F661" s="114">
        <v>9</v>
      </c>
      <c r="G661" s="74">
        <f t="shared" si="338"/>
        <v>9.25</v>
      </c>
      <c r="H661" s="74">
        <f t="shared" si="339"/>
        <v>9.5</v>
      </c>
      <c r="I661" s="74">
        <f t="shared" si="340"/>
        <v>9.75</v>
      </c>
      <c r="J661" s="114">
        <f t="shared" si="341"/>
        <v>10</v>
      </c>
      <c r="K661" s="74">
        <f t="shared" si="377"/>
        <v>10.3125</v>
      </c>
      <c r="L661" s="114">
        <f t="shared" si="347"/>
        <v>10.625</v>
      </c>
      <c r="M661" s="115">
        <f t="shared" si="378"/>
        <v>11.683250000000001</v>
      </c>
      <c r="N661" s="115">
        <f t="shared" si="379"/>
        <v>12.747875000000001</v>
      </c>
      <c r="O661" s="74">
        <f t="shared" si="380"/>
        <v>13.8125</v>
      </c>
      <c r="P661" s="74">
        <f t="shared" si="381"/>
        <v>14.870750000000001</v>
      </c>
      <c r="Q661" s="74">
        <f t="shared" si="382"/>
        <v>15.928999999999998</v>
      </c>
      <c r="R661" s="114">
        <v>17</v>
      </c>
      <c r="S661" s="129"/>
      <c r="T661" s="117">
        <f>SUM((CN20+CM19+CM18+CL17+CL16+CK15+CK14+CJ13+CJ12+CI11+CH10)*-0.132,(CG9+CF9+CE8+CD8+CC7+CB7+CA6+BZ6+BY5+BX5+BW4+BV4)*-0.132/2,17)</f>
        <v>18.72446153846154</v>
      </c>
      <c r="U661" s="117">
        <f>Lefty!T661</f>
        <v>19.03753846153846</v>
      </c>
    </row>
    <row r="662" spans="2:21">
      <c r="B662" s="114">
        <v>9</v>
      </c>
      <c r="C662" s="74">
        <f t="shared" si="335"/>
        <v>9</v>
      </c>
      <c r="D662" s="74">
        <f t="shared" si="336"/>
        <v>9</v>
      </c>
      <c r="E662" s="74">
        <f t="shared" si="337"/>
        <v>9</v>
      </c>
      <c r="F662" s="114">
        <v>9</v>
      </c>
      <c r="G662" s="74">
        <f t="shared" si="338"/>
        <v>9</v>
      </c>
      <c r="H662" s="74">
        <f t="shared" si="339"/>
        <v>9</v>
      </c>
      <c r="I662" s="74">
        <f t="shared" si="340"/>
        <v>9</v>
      </c>
      <c r="J662" s="114">
        <f t="shared" si="341"/>
        <v>9</v>
      </c>
      <c r="K662" s="74">
        <f t="shared" si="377"/>
        <v>9.4</v>
      </c>
      <c r="L662" s="114">
        <f>SUM(J662,J662,-H662,0.25*ABS(J662-H662),0.1*(17-F662))</f>
        <v>9.8000000000000007</v>
      </c>
      <c r="M662" s="115">
        <f t="shared" si="378"/>
        <v>10.995200000000001</v>
      </c>
      <c r="N662" s="115">
        <f t="shared" si="379"/>
        <v>12.197600000000001</v>
      </c>
      <c r="O662" s="74">
        <f t="shared" si="380"/>
        <v>13.4</v>
      </c>
      <c r="P662" s="74">
        <f t="shared" si="381"/>
        <v>14.5952</v>
      </c>
      <c r="Q662" s="74">
        <f t="shared" si="382"/>
        <v>15.7904</v>
      </c>
      <c r="R662" s="114">
        <v>17</v>
      </c>
      <c r="S662" s="129"/>
      <c r="T662" s="117">
        <f>SUM((CL20+CL19+CL18+CL17+CL16+CL15+CL14+CL13+CL12+CK11+CJ10)*-0.132,(CI9+CH9+CG9+CF8+CE8+CD8)*-0.132/3,(CC7+CB7+CA6+BZ6+BY5+BX5+BW4+BV4)*-0.132/2,17)</f>
        <v>18.06446153846154</v>
      </c>
      <c r="U662" s="117">
        <f>Lefty!T662</f>
        <v>18.927538461538461</v>
      </c>
    </row>
    <row r="663" spans="2:21">
      <c r="B663" s="114">
        <v>10</v>
      </c>
      <c r="C663" s="74">
        <f t="shared" si="335"/>
        <v>9.75</v>
      </c>
      <c r="D663" s="74">
        <f t="shared" si="336"/>
        <v>9.5</v>
      </c>
      <c r="E663" s="74">
        <f t="shared" si="337"/>
        <v>9.25</v>
      </c>
      <c r="F663" s="114">
        <v>9</v>
      </c>
      <c r="G663" s="74">
        <f t="shared" si="338"/>
        <v>8.75</v>
      </c>
      <c r="H663" s="74">
        <f t="shared" si="339"/>
        <v>8.5</v>
      </c>
      <c r="I663" s="74">
        <f t="shared" si="340"/>
        <v>8.25</v>
      </c>
      <c r="J663" s="114">
        <f t="shared" si="341"/>
        <v>8</v>
      </c>
      <c r="K663" s="74">
        <f t="shared" si="377"/>
        <v>7.8125</v>
      </c>
      <c r="L663" s="114">
        <f t="shared" si="347"/>
        <v>7.625</v>
      </c>
      <c r="M663" s="115">
        <f t="shared" si="378"/>
        <v>9.1812500000000004</v>
      </c>
      <c r="N663" s="115">
        <f t="shared" si="379"/>
        <v>10.746874999999999</v>
      </c>
      <c r="O663" s="74">
        <f t="shared" si="380"/>
        <v>12.3125</v>
      </c>
      <c r="P663" s="74">
        <f t="shared" si="381"/>
        <v>13.86875</v>
      </c>
      <c r="Q663" s="74">
        <f t="shared" si="382"/>
        <v>15.425000000000001</v>
      </c>
      <c r="R663" s="114">
        <v>17</v>
      </c>
      <c r="S663" s="129"/>
      <c r="T663" s="117">
        <f>SUM((CJ20+CK19+CK18+CL17+CL16+CM15+CM14+CN13+CN12+CO11+CO10)*-0.132,(CN9+CM9+CL9+CK9)*-0.132/4,(CJ8+CI8+CH8+CG7+CF7+CE7+CD6+CC6+CB6+CA5+BZ5+BY5+BX4+BW4+BV4)*-0.132/3,17)</f>
        <v>18.66946153846154</v>
      </c>
      <c r="U663" s="117">
        <f>Lefty!T663</f>
        <v>18.78453846153846</v>
      </c>
    </row>
    <row r="664" spans="2:21">
      <c r="B664" s="114">
        <v>11</v>
      </c>
      <c r="C664" s="74">
        <f t="shared" si="335"/>
        <v>10.5</v>
      </c>
      <c r="D664" s="74">
        <f t="shared" si="336"/>
        <v>10</v>
      </c>
      <c r="E664" s="74">
        <f t="shared" si="337"/>
        <v>9.5</v>
      </c>
      <c r="F664" s="114">
        <v>9</v>
      </c>
      <c r="G664" s="74">
        <f t="shared" si="338"/>
        <v>8.5</v>
      </c>
      <c r="H664" s="74">
        <f t="shared" si="339"/>
        <v>8</v>
      </c>
      <c r="I664" s="74">
        <f t="shared" si="340"/>
        <v>7.5</v>
      </c>
      <c r="J664" s="114">
        <f t="shared" si="341"/>
        <v>7</v>
      </c>
      <c r="K664" s="74">
        <f t="shared" si="377"/>
        <v>6.625</v>
      </c>
      <c r="L664" s="114">
        <f t="shared" si="347"/>
        <v>6.25</v>
      </c>
      <c r="M664" s="115">
        <f t="shared" si="378"/>
        <v>8.0344999999999995</v>
      </c>
      <c r="N664" s="115">
        <f t="shared" si="379"/>
        <v>9.8297500000000007</v>
      </c>
      <c r="O664" s="74">
        <f t="shared" si="380"/>
        <v>11.625</v>
      </c>
      <c r="P664" s="74">
        <f t="shared" si="381"/>
        <v>13.409500000000001</v>
      </c>
      <c r="Q664" s="74">
        <f t="shared" si="382"/>
        <v>15.193999999999999</v>
      </c>
      <c r="R664" s="114">
        <v>17</v>
      </c>
      <c r="S664" s="129"/>
      <c r="T664" s="117">
        <f>SUM((CH20+CI19+CJ18+CK17+CL16+CM15+CN14+CO13+CP12+CQ11+CQ10)*-0.132,(CP9+CO9+CN9+CM9+CL8+CK8+CJ8+CI8+CH7+CG7+CF7+CE7)*-0.132/4,(CD6+CC6+CB6+CA5+BZ5+BY5+BX4+BW4+BV4)*-0.132/3,17)</f>
        <v>18.240461538461538</v>
      </c>
      <c r="U664" s="117">
        <f>Lefty!T664</f>
        <v>19.279538461538461</v>
      </c>
    </row>
    <row r="665" spans="2:21">
      <c r="B665" s="114">
        <v>12</v>
      </c>
      <c r="C665" s="74">
        <f t="shared" si="335"/>
        <v>11.25</v>
      </c>
      <c r="D665" s="74">
        <f t="shared" si="336"/>
        <v>10.5</v>
      </c>
      <c r="E665" s="74">
        <f t="shared" si="337"/>
        <v>9.75</v>
      </c>
      <c r="F665" s="114">
        <v>9</v>
      </c>
      <c r="G665" s="74">
        <f t="shared" si="338"/>
        <v>8.25</v>
      </c>
      <c r="H665" s="74">
        <f t="shared" si="339"/>
        <v>7.5</v>
      </c>
      <c r="I665" s="74">
        <f t="shared" si="340"/>
        <v>6.75</v>
      </c>
      <c r="J665" s="114">
        <f t="shared" si="341"/>
        <v>6</v>
      </c>
      <c r="K665" s="74">
        <f t="shared" si="377"/>
        <v>5.4375</v>
      </c>
      <c r="L665" s="114">
        <f t="shared" si="347"/>
        <v>4.875</v>
      </c>
      <c r="M665" s="115">
        <f t="shared" si="378"/>
        <v>6.8877500000000005</v>
      </c>
      <c r="N665" s="115">
        <f t="shared" si="379"/>
        <v>8.9126250000000002</v>
      </c>
      <c r="O665" s="74">
        <f t="shared" si="380"/>
        <v>10.9375</v>
      </c>
      <c r="P665" s="74">
        <f t="shared" si="381"/>
        <v>12.95025</v>
      </c>
      <c r="Q665" s="74">
        <f t="shared" si="382"/>
        <v>14.962999999999999</v>
      </c>
      <c r="R665" s="114">
        <v>17</v>
      </c>
      <c r="S665" s="129"/>
      <c r="T665" s="117">
        <f>SUM((CF20+CI18+CL16+CO14+CR12+CS11+CT10)*-0.132,(CG19+CH19+CJ17+CK17+CM15+CN15+CP13+CQ13)*-0.132/2,(CS9+CR9+CQ9+CP9+CO8+CN8+CM8+CL8+CK7+CJ7+CI7+CH7+CG6+CF6+CE6+CD6+CC5+CB5+CA5+BZ5+BY4+BX4+BW4+BV4)*-0.132/4,17)</f>
        <v>17.668461538461539</v>
      </c>
      <c r="U665" s="117">
        <f>Lefty!T665</f>
        <v>18.773538461538461</v>
      </c>
    </row>
    <row r="666" spans="2:21">
      <c r="B666" s="114">
        <v>13</v>
      </c>
      <c r="C666" s="74">
        <f t="shared" si="335"/>
        <v>12</v>
      </c>
      <c r="D666" s="74">
        <f t="shared" si="336"/>
        <v>11</v>
      </c>
      <c r="E666" s="74">
        <f t="shared" si="337"/>
        <v>10</v>
      </c>
      <c r="F666" s="114">
        <v>9</v>
      </c>
      <c r="G666" s="74">
        <f t="shared" si="338"/>
        <v>8</v>
      </c>
      <c r="H666" s="74">
        <f t="shared" si="339"/>
        <v>7</v>
      </c>
      <c r="I666" s="74">
        <f t="shared" si="340"/>
        <v>6</v>
      </c>
      <c r="J666" s="114">
        <f t="shared" si="341"/>
        <v>5</v>
      </c>
      <c r="K666" s="74">
        <f t="shared" si="377"/>
        <v>4.25</v>
      </c>
      <c r="L666" s="114">
        <f t="shared" si="347"/>
        <v>3.5</v>
      </c>
      <c r="M666" s="115">
        <f t="shared" si="378"/>
        <v>5.7409999999999997</v>
      </c>
      <c r="N666" s="115">
        <f t="shared" si="379"/>
        <v>7.9954999999999998</v>
      </c>
      <c r="O666" s="74">
        <f t="shared" si="380"/>
        <v>10.25</v>
      </c>
      <c r="P666" s="74">
        <f t="shared" si="381"/>
        <v>12.491</v>
      </c>
      <c r="Q666" s="74">
        <f t="shared" si="382"/>
        <v>14.731999999999999</v>
      </c>
      <c r="R666" s="114">
        <v>17</v>
      </c>
      <c r="S666" s="129"/>
      <c r="T666" s="117">
        <f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17.56286153846154</v>
      </c>
      <c r="U666" s="117">
        <f>Lefty!T666</f>
        <v>18.885738461538462</v>
      </c>
    </row>
    <row r="667" spans="2:21">
      <c r="B667" s="114">
        <v>14</v>
      </c>
      <c r="C667" s="74">
        <f t="shared" si="335"/>
        <v>12.75</v>
      </c>
      <c r="D667" s="74">
        <f t="shared" si="336"/>
        <v>11.5</v>
      </c>
      <c r="E667" s="74">
        <f t="shared" si="337"/>
        <v>10.25</v>
      </c>
      <c r="F667" s="114">
        <v>9</v>
      </c>
      <c r="G667" s="74">
        <f t="shared" si="338"/>
        <v>7.75</v>
      </c>
      <c r="H667" s="74">
        <f t="shared" si="339"/>
        <v>6.5</v>
      </c>
      <c r="I667" s="74">
        <f t="shared" si="340"/>
        <v>5.25</v>
      </c>
      <c r="J667" s="114">
        <f t="shared" si="341"/>
        <v>4</v>
      </c>
      <c r="K667" s="74">
        <f t="shared" si="377"/>
        <v>3.0625</v>
      </c>
      <c r="L667" s="114">
        <f t="shared" si="347"/>
        <v>2.125</v>
      </c>
      <c r="M667" s="115">
        <f t="shared" si="378"/>
        <v>4.5942500000000006</v>
      </c>
      <c r="N667" s="115">
        <f t="shared" si="379"/>
        <v>7.0783750000000003</v>
      </c>
      <c r="O667" s="74">
        <f t="shared" si="380"/>
        <v>9.5625</v>
      </c>
      <c r="P667" s="74">
        <f t="shared" si="381"/>
        <v>12.031750000000001</v>
      </c>
      <c r="Q667" s="74">
        <f t="shared" si="382"/>
        <v>14.500999999999999</v>
      </c>
      <c r="R667" s="114">
        <v>17</v>
      </c>
      <c r="S667" s="129"/>
      <c r="T667" s="117">
        <f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17.633261538461539</v>
      </c>
      <c r="U667" s="117">
        <f>Lefty!T667</f>
        <v>18.61073846153846</v>
      </c>
    </row>
    <row r="668" spans="2:21">
      <c r="B668" s="114"/>
      <c r="C668" s="74"/>
      <c r="D668" s="74"/>
      <c r="E668" s="74"/>
      <c r="F668" s="114"/>
      <c r="G668" s="74"/>
      <c r="H668" s="74"/>
      <c r="I668" s="74"/>
      <c r="J668" s="114"/>
      <c r="K668" s="74"/>
      <c r="L668" s="114"/>
      <c r="M668" s="115"/>
      <c r="N668" s="115"/>
      <c r="O668" s="74"/>
      <c r="P668" s="74"/>
      <c r="Q668" s="74"/>
      <c r="R668" s="114"/>
      <c r="S668" s="129"/>
    </row>
    <row r="669" spans="2:21">
      <c r="B669" s="114">
        <v>8</v>
      </c>
      <c r="C669" s="74">
        <f>SUM(0.25*(F669-B669),B669)</f>
        <v>8.5</v>
      </c>
      <c r="D669" s="74">
        <f>SUM(0.5*(F669-B669)+B669)</f>
        <v>9</v>
      </c>
      <c r="E669" s="74">
        <f>SUM(0.75*(F669-B669),B669)</f>
        <v>9.5</v>
      </c>
      <c r="F669" s="114">
        <v>10</v>
      </c>
      <c r="G669" s="74">
        <f>SUM(0.25*(J669-F669),F669)</f>
        <v>10.5</v>
      </c>
      <c r="H669" s="74">
        <f>SUM(0.5*(J669-F669),F669)</f>
        <v>11</v>
      </c>
      <c r="I669" s="74">
        <f>SUM(0.75*(J669-F669),F669)</f>
        <v>11.5</v>
      </c>
      <c r="J669" s="114">
        <f>SUM(F669,-B669,F669)</f>
        <v>12</v>
      </c>
      <c r="K669" s="74">
        <f t="shared" ref="K669:K688" si="383">SUM(0.5*(L669-J669),J669)</f>
        <v>12.625</v>
      </c>
      <c r="L669" s="114">
        <f t="shared" si="347"/>
        <v>13.25</v>
      </c>
      <c r="M669" s="115">
        <f t="shared" ref="M669:M677" si="384">SUM(0.166*(R669-L669),L669)</f>
        <v>13.8725</v>
      </c>
      <c r="N669" s="115">
        <f t="shared" ref="N669:N677" si="385">SUM(0.333*(R669-L669),L669)</f>
        <v>14.498749999999999</v>
      </c>
      <c r="O669" s="74">
        <f t="shared" ref="O669:O677" si="386">SUM(0.5*(R669-L669),L669)</f>
        <v>15.125</v>
      </c>
      <c r="P669" s="74">
        <f t="shared" ref="P669:P677" si="387">SUM(0.666*(R669-L669),L669)</f>
        <v>15.7475</v>
      </c>
      <c r="Q669" s="74">
        <f t="shared" ref="Q669:Q677" si="388">SUM(0.832*(R669-L669),L669)</f>
        <v>16.37</v>
      </c>
      <c r="R669" s="114">
        <v>17</v>
      </c>
      <c r="S669" s="129"/>
      <c r="T669" s="117">
        <f>SUM((CN20+CM19+CL18+CK17+CJ16+CI15+CH14+CG13+CF12+CE11)*-0.132,(CD10+CC10+CB9+CA9)*-0.132/2,(BZ8+BY7+BX6+BW5+BV4)*-0.132,17)</f>
        <v>18.196461538461538</v>
      </c>
      <c r="U669" s="117">
        <f>Lefty!T669</f>
        <v>19.103538461538463</v>
      </c>
    </row>
    <row r="670" spans="2:21">
      <c r="B670" s="114">
        <v>9</v>
      </c>
      <c r="C670" s="74">
        <f t="shared" ref="C670:C734" si="389">SUM(0.25*(F670-B670),B670)</f>
        <v>9.25</v>
      </c>
      <c r="D670" s="74">
        <f t="shared" ref="D670:D734" si="390">SUM(0.5*(F670-B670)+B670)</f>
        <v>9.5</v>
      </c>
      <c r="E670" s="74">
        <f t="shared" ref="E670:E734" si="391">SUM(0.75*(F670-B670),B670)</f>
        <v>9.75</v>
      </c>
      <c r="F670" s="114">
        <v>10</v>
      </c>
      <c r="G670" s="74">
        <f t="shared" ref="G670:G734" si="392">SUM(0.25*(J670-F670),F670)</f>
        <v>10.25</v>
      </c>
      <c r="H670" s="74">
        <f t="shared" ref="H670:H734" si="393">SUM(0.5*(J670-F670),F670)</f>
        <v>10.5</v>
      </c>
      <c r="I670" s="74">
        <f t="shared" ref="I670:I734" si="394">SUM(0.75*(J670-F670),F670)</f>
        <v>10.75</v>
      </c>
      <c r="J670" s="114">
        <f t="shared" ref="J670:J734" si="395">SUM(F670,-B670,F670)</f>
        <v>11</v>
      </c>
      <c r="K670" s="74">
        <f t="shared" si="383"/>
        <v>11.3125</v>
      </c>
      <c r="L670" s="114">
        <f t="shared" si="347"/>
        <v>11.625</v>
      </c>
      <c r="M670" s="115">
        <f t="shared" si="384"/>
        <v>12.517250000000001</v>
      </c>
      <c r="N670" s="115">
        <f t="shared" si="385"/>
        <v>13.414875</v>
      </c>
      <c r="O670" s="74">
        <f t="shared" si="386"/>
        <v>14.3125</v>
      </c>
      <c r="P670" s="74">
        <f t="shared" si="387"/>
        <v>15.204750000000001</v>
      </c>
      <c r="Q670" s="74">
        <f t="shared" si="388"/>
        <v>16.097000000000001</v>
      </c>
      <c r="R670" s="114">
        <v>17</v>
      </c>
      <c r="S670" s="129"/>
      <c r="T670" s="117">
        <f>SUM((CL20+CK19+CK18+CJ17+CJ16+CI15+CI14+CH13+CH12+CG11+CG10+BV4)*-0.132,(CF9+CE9+CD8+CC8+CB7+CA7+BZ6+BY6+BX5+BW5)*-0.132/2,17)</f>
        <v>18.06446153846154</v>
      </c>
      <c r="U670" s="117">
        <f>Lefty!T670</f>
        <v>19.565538461538463</v>
      </c>
    </row>
    <row r="671" spans="2:21">
      <c r="B671" s="114">
        <v>10</v>
      </c>
      <c r="C671" s="74">
        <f t="shared" si="389"/>
        <v>10</v>
      </c>
      <c r="D671" s="74">
        <f t="shared" si="390"/>
        <v>10</v>
      </c>
      <c r="E671" s="74">
        <f t="shared" si="391"/>
        <v>10</v>
      </c>
      <c r="F671" s="114">
        <v>10</v>
      </c>
      <c r="G671" s="74">
        <f t="shared" si="392"/>
        <v>10</v>
      </c>
      <c r="H671" s="74">
        <f t="shared" si="393"/>
        <v>10</v>
      </c>
      <c r="I671" s="74">
        <f t="shared" si="394"/>
        <v>10</v>
      </c>
      <c r="J671" s="114">
        <f t="shared" si="395"/>
        <v>10</v>
      </c>
      <c r="K671" s="74">
        <f t="shared" si="383"/>
        <v>10.35</v>
      </c>
      <c r="L671" s="114">
        <f>SUM(J671,J671,-H671,0.25*ABS(J671-H671),0.1*(17-F671))</f>
        <v>10.7</v>
      </c>
      <c r="M671" s="115">
        <f t="shared" si="384"/>
        <v>11.745799999999999</v>
      </c>
      <c r="N671" s="115">
        <f t="shared" si="385"/>
        <v>12.7979</v>
      </c>
      <c r="O671" s="74">
        <f t="shared" si="386"/>
        <v>13.85</v>
      </c>
      <c r="P671" s="74">
        <f t="shared" si="387"/>
        <v>14.895800000000001</v>
      </c>
      <c r="Q671" s="74">
        <f t="shared" si="388"/>
        <v>15.941599999999999</v>
      </c>
      <c r="R671" s="114">
        <v>17</v>
      </c>
      <c r="S671" s="129"/>
      <c r="T671" s="117">
        <f>SUM((CJ20+CJ19+CJ18+CJ17+CJ16+CJ15+CJ14+CJ13+CJ12+CI11+CI10)*-0.132,(CH9+CG9+CF9)*-0.132/3,(CE8+CD8+CC7+CB7+CA6+BZ6+BY5+BX5+BW4+BV4)*-0.132/2,17)</f>
        <v>17.14046153846154</v>
      </c>
      <c r="U671" s="117">
        <f>Lefty!T671</f>
        <v>20.335538461538462</v>
      </c>
    </row>
    <row r="672" spans="2:21">
      <c r="B672" s="114">
        <v>11</v>
      </c>
      <c r="C672" s="74">
        <f t="shared" si="389"/>
        <v>10.75</v>
      </c>
      <c r="D672" s="74">
        <f t="shared" si="390"/>
        <v>10.5</v>
      </c>
      <c r="E672" s="74">
        <f t="shared" si="391"/>
        <v>10.25</v>
      </c>
      <c r="F672" s="114">
        <v>10</v>
      </c>
      <c r="G672" s="74">
        <f t="shared" si="392"/>
        <v>9.75</v>
      </c>
      <c r="H672" s="74">
        <f t="shared" si="393"/>
        <v>9.5</v>
      </c>
      <c r="I672" s="74">
        <f t="shared" si="394"/>
        <v>9.25</v>
      </c>
      <c r="J672" s="114">
        <f t="shared" si="395"/>
        <v>9</v>
      </c>
      <c r="K672" s="74">
        <f t="shared" si="383"/>
        <v>8.8125</v>
      </c>
      <c r="L672" s="114">
        <f t="shared" si="347"/>
        <v>8.625</v>
      </c>
      <c r="M672" s="115">
        <f t="shared" si="384"/>
        <v>10.01525</v>
      </c>
      <c r="N672" s="115">
        <f t="shared" si="385"/>
        <v>11.413875000000001</v>
      </c>
      <c r="O672" s="74">
        <f t="shared" si="386"/>
        <v>12.8125</v>
      </c>
      <c r="P672" s="74">
        <f t="shared" si="387"/>
        <v>14.20275</v>
      </c>
      <c r="Q672" s="74">
        <f t="shared" si="388"/>
        <v>15.593</v>
      </c>
      <c r="R672" s="114">
        <v>17</v>
      </c>
      <c r="S672" s="129"/>
      <c r="T672" s="117">
        <f>SUM((CH20+CI19+CI18+CJ17+CJ16+CK15+CK14+CL13+CL12+CM11+CM10)*-0.132,(CL9+CK9+CJ9+CI8+CH8+CG8+CF7+CE7+CD7+CC6+CB6+CA6+BZ5+BY5+BX5)*-0.132/3,(BW4+BV4)*-0.132/2,17)</f>
        <v>18.460461538461541</v>
      </c>
      <c r="U672" s="117">
        <f>Lefty!T672</f>
        <v>19.477538461538462</v>
      </c>
    </row>
    <row r="673" spans="2:21">
      <c r="B673" s="114">
        <v>12</v>
      </c>
      <c r="C673" s="74">
        <f t="shared" si="389"/>
        <v>11.5</v>
      </c>
      <c r="D673" s="74">
        <f t="shared" si="390"/>
        <v>11</v>
      </c>
      <c r="E673" s="74">
        <f t="shared" si="391"/>
        <v>10.5</v>
      </c>
      <c r="F673" s="114">
        <v>10</v>
      </c>
      <c r="G673" s="74">
        <f t="shared" si="392"/>
        <v>9.5</v>
      </c>
      <c r="H673" s="74">
        <f t="shared" si="393"/>
        <v>9</v>
      </c>
      <c r="I673" s="74">
        <f t="shared" si="394"/>
        <v>8.5</v>
      </c>
      <c r="J673" s="114">
        <f t="shared" si="395"/>
        <v>8</v>
      </c>
      <c r="K673" s="74">
        <f t="shared" si="383"/>
        <v>7.625</v>
      </c>
      <c r="L673" s="114">
        <f t="shared" si="347"/>
        <v>7.25</v>
      </c>
      <c r="M673" s="115">
        <f t="shared" si="384"/>
        <v>8.8685000000000009</v>
      </c>
      <c r="N673" s="115">
        <f t="shared" si="385"/>
        <v>10.49675</v>
      </c>
      <c r="O673" s="74">
        <f t="shared" si="386"/>
        <v>12.125</v>
      </c>
      <c r="P673" s="74">
        <f t="shared" si="387"/>
        <v>13.743500000000001</v>
      </c>
      <c r="Q673" s="74">
        <f t="shared" si="388"/>
        <v>15.362</v>
      </c>
      <c r="R673" s="114">
        <v>17</v>
      </c>
      <c r="S673" s="129"/>
      <c r="T673" s="117">
        <f>SUM((CF20+CG19+CH18+CI17+CJ16+CK15+CL14+CM13+CN12+CO11+CO10)*-0.132,(CN9+CM9+CL9+CK9)*-0.132/4,(CJ8+CI8+CH8+CG7+CF7+CE7+CD6+CC6+CB6+CA5+BZ5+BY5+BX4+BW4+BV4)*-0.132/3,17)</f>
        <v>18.27346153846154</v>
      </c>
      <c r="U673" s="117">
        <f>Lefty!T673</f>
        <v>19.44453846153846</v>
      </c>
    </row>
    <row r="674" spans="2:21">
      <c r="B674" s="114">
        <v>13</v>
      </c>
      <c r="C674" s="74">
        <f t="shared" si="389"/>
        <v>12.25</v>
      </c>
      <c r="D674" s="74">
        <f t="shared" si="390"/>
        <v>11.5</v>
      </c>
      <c r="E674" s="74">
        <f t="shared" si="391"/>
        <v>10.75</v>
      </c>
      <c r="F674" s="114">
        <v>10</v>
      </c>
      <c r="G674" s="74">
        <f t="shared" si="392"/>
        <v>9.25</v>
      </c>
      <c r="H674" s="74">
        <f t="shared" si="393"/>
        <v>8.5</v>
      </c>
      <c r="I674" s="74">
        <f t="shared" si="394"/>
        <v>7.75</v>
      </c>
      <c r="J674" s="114">
        <f t="shared" si="395"/>
        <v>7</v>
      </c>
      <c r="K674" s="74">
        <f t="shared" si="383"/>
        <v>6.4375</v>
      </c>
      <c r="L674" s="114">
        <f t="shared" si="347"/>
        <v>5.875</v>
      </c>
      <c r="M674" s="115">
        <f t="shared" si="384"/>
        <v>7.7217500000000001</v>
      </c>
      <c r="N674" s="115">
        <f t="shared" si="385"/>
        <v>9.5796250000000001</v>
      </c>
      <c r="O674" s="74">
        <f t="shared" si="386"/>
        <v>11.4375</v>
      </c>
      <c r="P674" s="74">
        <f t="shared" si="387"/>
        <v>13.28425</v>
      </c>
      <c r="Q674" s="74">
        <f t="shared" si="388"/>
        <v>15.131</v>
      </c>
      <c r="R674" s="114">
        <v>17</v>
      </c>
      <c r="S674" s="129"/>
      <c r="T674" s="117">
        <f>SUM((CD20+CG18+CJ16+CM14+CP12+CQ11+CR10)*-0.132,(CE19+CF19+CH17+CI17+CK15+CL15+CN13+CO13)*-0.132/2,(CQ9+CP9+CO9+CN9+CM8+CL8+CK8+CJ8+CI7+CH7+CG7+CF7+CE6+CD6+CC6+CB6)*-0.132/4,(CA5+BZ5+BY5+BX4+BW4+BV4)*-0.132/3,17)</f>
        <v>17.976461538461539</v>
      </c>
      <c r="U674" s="117">
        <f>Lefty!T674</f>
        <v>19.378538461538461</v>
      </c>
    </row>
    <row r="675" spans="2:21">
      <c r="B675" s="114">
        <v>14</v>
      </c>
      <c r="C675" s="74">
        <f t="shared" si="389"/>
        <v>13</v>
      </c>
      <c r="D675" s="74">
        <f t="shared" si="390"/>
        <v>12</v>
      </c>
      <c r="E675" s="74">
        <f t="shared" si="391"/>
        <v>11</v>
      </c>
      <c r="F675" s="114">
        <v>10</v>
      </c>
      <c r="G675" s="74">
        <f t="shared" si="392"/>
        <v>9</v>
      </c>
      <c r="H675" s="74">
        <f t="shared" si="393"/>
        <v>8</v>
      </c>
      <c r="I675" s="74">
        <f t="shared" si="394"/>
        <v>7</v>
      </c>
      <c r="J675" s="114">
        <f t="shared" si="395"/>
        <v>6</v>
      </c>
      <c r="K675" s="74">
        <f t="shared" si="383"/>
        <v>5.25</v>
      </c>
      <c r="L675" s="114">
        <f t="shared" si="347"/>
        <v>4.5</v>
      </c>
      <c r="M675" s="115">
        <f t="shared" si="384"/>
        <v>6.5750000000000002</v>
      </c>
      <c r="N675" s="115">
        <f t="shared" si="385"/>
        <v>8.6625000000000014</v>
      </c>
      <c r="O675" s="74">
        <f t="shared" si="386"/>
        <v>10.75</v>
      </c>
      <c r="P675" s="74">
        <f t="shared" si="387"/>
        <v>12.825000000000001</v>
      </c>
      <c r="Q675" s="74">
        <f t="shared" si="388"/>
        <v>14.9</v>
      </c>
      <c r="R675" s="114">
        <v>17</v>
      </c>
      <c r="S675" s="129"/>
      <c r="T675" s="117">
        <f>SUM((CC19+CD19+CE18+CF18+CG17+CH17+CI16+CJ16+CK15+CL15+CM14+CN14+CO13+CP13+CQ12+CR12+CS11+CT11)*-0.132/2,(CB20+CU10)*-0.132,(CT9+CS9+CR9+CQ9+CP9)*-0.132/5,(CO8+CN8+CM8+CL8+CK7+CJ7+CI7+CH7+CG6+CF6+CE6+CD6+CC5+CB5+CA5+BZ5+BY4+BX4+BW4+BV4)*-0.132/4,17)</f>
        <v>17.912661538461538</v>
      </c>
      <c r="U675" s="117">
        <f>Lefty!T675</f>
        <v>18.885738461538462</v>
      </c>
    </row>
    <row r="676" spans="2:21">
      <c r="B676" s="114">
        <v>15</v>
      </c>
      <c r="C676" s="74">
        <f t="shared" si="389"/>
        <v>13.75</v>
      </c>
      <c r="D676" s="74">
        <f t="shared" si="390"/>
        <v>12.5</v>
      </c>
      <c r="E676" s="74">
        <f t="shared" si="391"/>
        <v>11.25</v>
      </c>
      <c r="F676" s="114">
        <v>10</v>
      </c>
      <c r="G676" s="74">
        <f t="shared" si="392"/>
        <v>8.75</v>
      </c>
      <c r="H676" s="74">
        <f t="shared" si="393"/>
        <v>7.5</v>
      </c>
      <c r="I676" s="74">
        <f t="shared" si="394"/>
        <v>6.25</v>
      </c>
      <c r="J676" s="114">
        <f t="shared" si="395"/>
        <v>5</v>
      </c>
      <c r="K676" s="74">
        <f t="shared" si="383"/>
        <v>4.0625</v>
      </c>
      <c r="L676" s="114">
        <f t="shared" si="347"/>
        <v>3.125</v>
      </c>
      <c r="M676" s="115">
        <f t="shared" si="384"/>
        <v>5.4282500000000002</v>
      </c>
      <c r="N676" s="115">
        <f t="shared" si="385"/>
        <v>7.7453750000000001</v>
      </c>
      <c r="O676" s="74">
        <f t="shared" si="386"/>
        <v>10.0625</v>
      </c>
      <c r="P676" s="74">
        <f t="shared" si="387"/>
        <v>12.36575</v>
      </c>
      <c r="Q676" s="74">
        <f t="shared" si="388"/>
        <v>14.668999999999999</v>
      </c>
      <c r="R676" s="114">
        <v>17</v>
      </c>
      <c r="S676" s="129"/>
      <c r="T676" s="117">
        <f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17.83566153846154</v>
      </c>
      <c r="U676" s="117">
        <f>Lefty!T676</f>
        <v>18.907738461538461</v>
      </c>
    </row>
    <row r="677" spans="2:21">
      <c r="B677" s="114">
        <v>16</v>
      </c>
      <c r="C677" s="74">
        <f t="shared" si="389"/>
        <v>14.5</v>
      </c>
      <c r="D677" s="74">
        <f t="shared" si="390"/>
        <v>13</v>
      </c>
      <c r="E677" s="74">
        <f t="shared" si="391"/>
        <v>11.5</v>
      </c>
      <c r="F677" s="114">
        <v>10</v>
      </c>
      <c r="G677" s="74">
        <f t="shared" si="392"/>
        <v>8.5</v>
      </c>
      <c r="H677" s="74">
        <f t="shared" si="393"/>
        <v>7</v>
      </c>
      <c r="I677" s="74">
        <f t="shared" si="394"/>
        <v>5.5</v>
      </c>
      <c r="J677" s="114">
        <f t="shared" si="395"/>
        <v>4</v>
      </c>
      <c r="K677" s="74">
        <f t="shared" si="383"/>
        <v>2.875</v>
      </c>
      <c r="L677" s="114">
        <f t="shared" si="347"/>
        <v>1.75</v>
      </c>
      <c r="M677" s="115">
        <f t="shared" si="384"/>
        <v>4.2815000000000003</v>
      </c>
      <c r="N677" s="115">
        <f t="shared" si="385"/>
        <v>6.8282500000000006</v>
      </c>
      <c r="O677" s="74">
        <f t="shared" si="386"/>
        <v>9.375</v>
      </c>
      <c r="P677" s="74">
        <f t="shared" si="387"/>
        <v>11.906500000000001</v>
      </c>
      <c r="Q677" s="74">
        <f t="shared" si="388"/>
        <v>14.437999999999999</v>
      </c>
      <c r="R677" s="114">
        <v>17</v>
      </c>
      <c r="S677" s="129"/>
      <c r="T677" s="117">
        <f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17.765261538461537</v>
      </c>
      <c r="U677" s="117">
        <f>Lefty!T677</f>
        <v>18.623938461538462</v>
      </c>
    </row>
    <row r="678" spans="2:21">
      <c r="B678" s="114"/>
      <c r="C678" s="74"/>
      <c r="D678" s="74"/>
      <c r="E678" s="74"/>
      <c r="F678" s="114"/>
      <c r="G678" s="74"/>
      <c r="H678" s="74"/>
      <c r="I678" s="74"/>
      <c r="J678" s="114"/>
      <c r="K678" s="74"/>
      <c r="L678" s="114"/>
      <c r="M678" s="115"/>
      <c r="N678" s="115"/>
      <c r="O678" s="74"/>
      <c r="P678" s="74"/>
      <c r="Q678" s="74"/>
      <c r="R678" s="114"/>
      <c r="S678" s="129"/>
    </row>
    <row r="679" spans="2:21">
      <c r="B679" s="114">
        <v>9</v>
      </c>
      <c r="C679" s="74">
        <f t="shared" si="389"/>
        <v>9.5</v>
      </c>
      <c r="D679" s="74">
        <f t="shared" si="390"/>
        <v>10</v>
      </c>
      <c r="E679" s="74">
        <f t="shared" si="391"/>
        <v>10.5</v>
      </c>
      <c r="F679" s="114">
        <v>11</v>
      </c>
      <c r="G679" s="74">
        <f t="shared" si="392"/>
        <v>11.5</v>
      </c>
      <c r="H679" s="74">
        <f t="shared" si="393"/>
        <v>12</v>
      </c>
      <c r="I679" s="74">
        <f t="shared" si="394"/>
        <v>12.5</v>
      </c>
      <c r="J679" s="114">
        <f t="shared" si="395"/>
        <v>13</v>
      </c>
      <c r="K679" s="74">
        <f t="shared" si="383"/>
        <v>13.5</v>
      </c>
      <c r="L679" s="114">
        <f>SUM(J679,J679,-H679)</f>
        <v>14</v>
      </c>
      <c r="M679" s="115">
        <f t="shared" ref="M679:M688" si="396">SUM(0.166*(R679-L679),L679)</f>
        <v>14.497999999999999</v>
      </c>
      <c r="N679" s="115">
        <f t="shared" ref="N679:N688" si="397">SUM(0.333*(R679-L679),L679)</f>
        <v>14.999000000000001</v>
      </c>
      <c r="O679" s="74">
        <f t="shared" ref="O679:O688" si="398">SUM(0.5*(R679-L679),L679)</f>
        <v>15.5</v>
      </c>
      <c r="P679" s="74">
        <f t="shared" ref="P679:P688" si="399">SUM(0.666*(R679-L679),L679)</f>
        <v>15.998000000000001</v>
      </c>
      <c r="Q679" s="74">
        <f t="shared" ref="Q679:Q688" si="400">SUM(0.832*(R679-L679),L679)</f>
        <v>16.495999999999999</v>
      </c>
      <c r="R679" s="114">
        <v>17</v>
      </c>
      <c r="S679" s="129"/>
      <c r="T679" s="117">
        <f>SUM((CL20+CK19+CJ18+CI17+CH16+CG15+CF14+CE13+CD12+CC11+CB10+CA9+BZ8+BY7+BX6+BW5+BV4)*-0.132,17)</f>
        <v>17.932461538461538</v>
      </c>
      <c r="U679" s="117">
        <f>Lefty!T679</f>
        <v>18.971538461538461</v>
      </c>
    </row>
    <row r="680" spans="2:21">
      <c r="B680" s="114">
        <v>10</v>
      </c>
      <c r="C680" s="74">
        <f t="shared" si="389"/>
        <v>10.25</v>
      </c>
      <c r="D680" s="74">
        <f t="shared" si="390"/>
        <v>10.5</v>
      </c>
      <c r="E680" s="74">
        <f t="shared" si="391"/>
        <v>10.75</v>
      </c>
      <c r="F680" s="114">
        <v>11</v>
      </c>
      <c r="G680" s="74">
        <f t="shared" si="392"/>
        <v>11.25</v>
      </c>
      <c r="H680" s="74">
        <f t="shared" si="393"/>
        <v>11.5</v>
      </c>
      <c r="I680" s="74">
        <f t="shared" si="394"/>
        <v>11.75</v>
      </c>
      <c r="J680" s="114">
        <f t="shared" si="395"/>
        <v>12</v>
      </c>
      <c r="K680" s="74">
        <f t="shared" si="383"/>
        <v>12.3125</v>
      </c>
      <c r="L680" s="114">
        <f t="shared" ref="L680:L734" si="401">SUM(J680,J680,-H680,0.25*ABS(J680-H680))</f>
        <v>12.625</v>
      </c>
      <c r="M680" s="115">
        <f t="shared" si="396"/>
        <v>13.35125</v>
      </c>
      <c r="N680" s="115">
        <f t="shared" si="397"/>
        <v>14.081875</v>
      </c>
      <c r="O680" s="74">
        <f t="shared" si="398"/>
        <v>14.8125</v>
      </c>
      <c r="P680" s="74">
        <f t="shared" si="399"/>
        <v>15.53875</v>
      </c>
      <c r="Q680" s="74">
        <f t="shared" si="400"/>
        <v>16.265000000000001</v>
      </c>
      <c r="R680" s="114">
        <v>17</v>
      </c>
      <c r="S680" s="129"/>
      <c r="T680" s="117">
        <f>SUM((CJ20+CI19+CI18+CH17+CH16+CG15+CG14+CF13+CF12+CE11+CE10+BX6+BW5+BV4)*-0.132,(CD9+CC9+CB8+CA8+BZ7+BY7)*-0.132/2,17)</f>
        <v>17.668461538461539</v>
      </c>
      <c r="U680" s="117">
        <f>Lefty!T680</f>
        <v>19.367538461538462</v>
      </c>
    </row>
    <row r="681" spans="2:21">
      <c r="B681" s="114">
        <v>11</v>
      </c>
      <c r="C681" s="74">
        <f t="shared" si="389"/>
        <v>11</v>
      </c>
      <c r="D681" s="74">
        <f t="shared" si="390"/>
        <v>11</v>
      </c>
      <c r="E681" s="74">
        <f t="shared" si="391"/>
        <v>11</v>
      </c>
      <c r="F681" s="114">
        <v>11</v>
      </c>
      <c r="G681" s="74">
        <f t="shared" si="392"/>
        <v>11</v>
      </c>
      <c r="H681" s="74">
        <f t="shared" si="393"/>
        <v>11</v>
      </c>
      <c r="I681" s="74">
        <f t="shared" si="394"/>
        <v>11</v>
      </c>
      <c r="J681" s="114">
        <f t="shared" si="395"/>
        <v>11</v>
      </c>
      <c r="K681" s="74">
        <f t="shared" si="383"/>
        <v>11.3</v>
      </c>
      <c r="L681" s="114">
        <f>SUM(J681,J681,-H681,0.25*ABS(J681-H681),0.1*(17-F681))</f>
        <v>11.6</v>
      </c>
      <c r="M681" s="115">
        <f t="shared" si="396"/>
        <v>12.4964</v>
      </c>
      <c r="N681" s="115">
        <f t="shared" si="397"/>
        <v>13.398199999999999</v>
      </c>
      <c r="O681" s="74">
        <f t="shared" si="398"/>
        <v>14.3</v>
      </c>
      <c r="P681" s="74">
        <f t="shared" si="399"/>
        <v>15.196400000000001</v>
      </c>
      <c r="Q681" s="74">
        <f t="shared" si="400"/>
        <v>16.0928</v>
      </c>
      <c r="R681" s="114">
        <v>17</v>
      </c>
      <c r="S681" s="129"/>
      <c r="T681" s="117">
        <f>SUM((CH20+CH19+CH18+CH17+CH16+CH15+CH14+CH13+CH12+CG11+CG10+BV4)*-0.132,(CF9+CE9+CD8+CC8+CB7+CA7+BZ6+BY6+BX5+BW5)*-0.132/2,17)</f>
        <v>17.536461538461538</v>
      </c>
      <c r="U681" s="117">
        <f>Lefty!T681</f>
        <v>19.829538461538462</v>
      </c>
    </row>
    <row r="682" spans="2:21">
      <c r="B682" s="114">
        <v>12</v>
      </c>
      <c r="C682" s="74">
        <f t="shared" si="389"/>
        <v>11.75</v>
      </c>
      <c r="D682" s="74">
        <f t="shared" si="390"/>
        <v>11.5</v>
      </c>
      <c r="E682" s="74">
        <f t="shared" si="391"/>
        <v>11.25</v>
      </c>
      <c r="F682" s="114">
        <v>11</v>
      </c>
      <c r="G682" s="74">
        <f t="shared" si="392"/>
        <v>10.75</v>
      </c>
      <c r="H682" s="74">
        <f t="shared" si="393"/>
        <v>10.5</v>
      </c>
      <c r="I682" s="74">
        <f t="shared" si="394"/>
        <v>10.25</v>
      </c>
      <c r="J682" s="114">
        <f t="shared" si="395"/>
        <v>10</v>
      </c>
      <c r="K682" s="74">
        <f t="shared" si="383"/>
        <v>9.8125</v>
      </c>
      <c r="L682" s="114">
        <f t="shared" si="401"/>
        <v>9.625</v>
      </c>
      <c r="M682" s="115">
        <f t="shared" si="396"/>
        <v>10.84925</v>
      </c>
      <c r="N682" s="115">
        <f t="shared" si="397"/>
        <v>12.080875000000001</v>
      </c>
      <c r="O682" s="74">
        <f t="shared" si="398"/>
        <v>13.3125</v>
      </c>
      <c r="P682" s="74">
        <f t="shared" si="399"/>
        <v>14.536750000000001</v>
      </c>
      <c r="Q682" s="74">
        <f t="shared" si="400"/>
        <v>15.760999999999999</v>
      </c>
      <c r="R682" s="114">
        <v>17</v>
      </c>
      <c r="S682" s="129"/>
      <c r="T682" s="117">
        <f>SUM((CF20+CG19+CG18+CH17+CH16+CI15+CI14+CJ13+CJ12+CK11+CK10)*-0.132,(CJ9+CI9+CH9+CG8+CF8+CE8+CD7+CC7+CB7)*-0.132/3,(CA6+BZ6+BY5+BX5+BW4+BV4)*-0.132/2,17)</f>
        <v>17.492461538461537</v>
      </c>
      <c r="U682" s="117">
        <f>Lefty!T682</f>
        <v>20.027538461538462</v>
      </c>
    </row>
    <row r="683" spans="2:21">
      <c r="B683" s="114">
        <v>13</v>
      </c>
      <c r="C683" s="74">
        <f t="shared" si="389"/>
        <v>12.5</v>
      </c>
      <c r="D683" s="74">
        <f t="shared" si="390"/>
        <v>12</v>
      </c>
      <c r="E683" s="74">
        <f t="shared" si="391"/>
        <v>11.5</v>
      </c>
      <c r="F683" s="114">
        <v>11</v>
      </c>
      <c r="G683" s="74">
        <f t="shared" si="392"/>
        <v>10.5</v>
      </c>
      <c r="H683" s="74">
        <f t="shared" si="393"/>
        <v>10</v>
      </c>
      <c r="I683" s="74">
        <f t="shared" si="394"/>
        <v>9.5</v>
      </c>
      <c r="J683" s="114">
        <f t="shared" si="395"/>
        <v>9</v>
      </c>
      <c r="K683" s="74">
        <f t="shared" si="383"/>
        <v>8.625</v>
      </c>
      <c r="L683" s="114">
        <f t="shared" si="401"/>
        <v>8.25</v>
      </c>
      <c r="M683" s="115">
        <f t="shared" si="396"/>
        <v>9.7025000000000006</v>
      </c>
      <c r="N683" s="115">
        <f t="shared" si="397"/>
        <v>11.16375</v>
      </c>
      <c r="O683" s="74">
        <f t="shared" si="398"/>
        <v>12.625</v>
      </c>
      <c r="P683" s="74">
        <f t="shared" si="399"/>
        <v>14.077500000000001</v>
      </c>
      <c r="Q683" s="74">
        <f t="shared" si="400"/>
        <v>15.53</v>
      </c>
      <c r="R683" s="114">
        <v>17</v>
      </c>
      <c r="S683" s="129"/>
      <c r="T683" s="117">
        <f>SUM((CD20+CE19+CF18+CG17+CH16+CI15+CJ14+CK13+CL12+CM11+CM10)*-0.132,(CL9+CK9+CJ9+CI8+CH8+CG8+CF7+CE7+CD7+CC6+CB6+CA6+BZ5+BY5+BX5)*-0.132/3,(BW4+BV4)*-0.132/2,17)</f>
        <v>18.328461538461539</v>
      </c>
      <c r="U683" s="117">
        <f>Lefty!T683</f>
        <v>19.60953846153846</v>
      </c>
    </row>
    <row r="684" spans="2:21">
      <c r="B684" s="114">
        <v>14</v>
      </c>
      <c r="C684" s="74">
        <f t="shared" si="389"/>
        <v>13.25</v>
      </c>
      <c r="D684" s="74">
        <f t="shared" si="390"/>
        <v>12.5</v>
      </c>
      <c r="E684" s="74">
        <f t="shared" si="391"/>
        <v>11.75</v>
      </c>
      <c r="F684" s="114">
        <v>11</v>
      </c>
      <c r="G684" s="74">
        <f t="shared" si="392"/>
        <v>10.25</v>
      </c>
      <c r="H684" s="74">
        <f t="shared" si="393"/>
        <v>9.5</v>
      </c>
      <c r="I684" s="74">
        <f t="shared" si="394"/>
        <v>8.75</v>
      </c>
      <c r="J684" s="114">
        <f t="shared" si="395"/>
        <v>8</v>
      </c>
      <c r="K684" s="74">
        <f t="shared" si="383"/>
        <v>7.4375</v>
      </c>
      <c r="L684" s="114">
        <f t="shared" si="401"/>
        <v>6.875</v>
      </c>
      <c r="M684" s="115">
        <f t="shared" si="396"/>
        <v>8.5557499999999997</v>
      </c>
      <c r="N684" s="115">
        <f t="shared" si="397"/>
        <v>10.246625</v>
      </c>
      <c r="O684" s="74">
        <f t="shared" si="398"/>
        <v>11.9375</v>
      </c>
      <c r="P684" s="74">
        <f t="shared" si="399"/>
        <v>13.61825</v>
      </c>
      <c r="Q684" s="74">
        <f t="shared" si="400"/>
        <v>15.298999999999999</v>
      </c>
      <c r="R684" s="114">
        <v>17</v>
      </c>
      <c r="S684" s="129"/>
      <c r="T684" s="117">
        <f>SUM((CB20+CE18+CH16+CK14+CN12+CO11+CP10)*-0.132,(CC19+CD19+CF17+CG17+CI15+CJ15+CL13+CM13)*-0.132/2,(CO9+CN9+CM9+CL9+CK8+CJ8+CI8+CH8)*-0.132/4,(CG7+CF7+CE7+CD6+CC6+CB6+CA5+BZ5+BY5+BX4+BW4+BV4)*-0.132/3,17)</f>
        <v>18.053461538461537</v>
      </c>
      <c r="U684" s="117">
        <f>Lefty!T684</f>
        <v>19.081538461538461</v>
      </c>
    </row>
    <row r="685" spans="2:21">
      <c r="B685" s="114">
        <v>15</v>
      </c>
      <c r="C685" s="74">
        <f t="shared" si="389"/>
        <v>14</v>
      </c>
      <c r="D685" s="74">
        <f t="shared" si="390"/>
        <v>13</v>
      </c>
      <c r="E685" s="74">
        <f t="shared" si="391"/>
        <v>12</v>
      </c>
      <c r="F685" s="114">
        <v>11</v>
      </c>
      <c r="G685" s="74">
        <f t="shared" si="392"/>
        <v>10</v>
      </c>
      <c r="H685" s="74">
        <f t="shared" si="393"/>
        <v>9</v>
      </c>
      <c r="I685" s="74">
        <f t="shared" si="394"/>
        <v>8</v>
      </c>
      <c r="J685" s="114">
        <f t="shared" si="395"/>
        <v>7</v>
      </c>
      <c r="K685" s="74">
        <f t="shared" si="383"/>
        <v>6.25</v>
      </c>
      <c r="L685" s="114">
        <f t="shared" si="401"/>
        <v>5.5</v>
      </c>
      <c r="M685" s="115">
        <f t="shared" si="396"/>
        <v>7.4089999999999998</v>
      </c>
      <c r="N685" s="115">
        <f t="shared" si="397"/>
        <v>9.3294999999999995</v>
      </c>
      <c r="O685" s="74">
        <f t="shared" si="398"/>
        <v>11.25</v>
      </c>
      <c r="P685" s="74">
        <f t="shared" si="399"/>
        <v>13.159000000000001</v>
      </c>
      <c r="Q685" s="74">
        <f t="shared" si="400"/>
        <v>15.068</v>
      </c>
      <c r="R685" s="114">
        <v>17</v>
      </c>
      <c r="S685" s="129"/>
      <c r="T685" s="117">
        <f>SUM((CA19+CB19+CC18+CD18+CE17+CF17+CG16+CH16+CI15+CJ15+CK14+CL14+CM13+CN13+CO12+CP12+CQ11+CR11)*-0.132/2,(BZ20+CS10)*-0.132,(CR9+CQ9+CP9+CO9+CN8+CM8+CL8+CK8+CJ7+CI7+CH7+CG7+CF6+CE6+CD6+CC6+CB5+CA5+BZ5+BY5)*-0.132/4,(BX4+BW4+BV4)*-0.132/3,17)</f>
        <v>17.60246153846154</v>
      </c>
      <c r="U685" s="117">
        <f>Lefty!T685</f>
        <v>19.257538461538459</v>
      </c>
    </row>
    <row r="686" spans="2:21">
      <c r="B686" s="114">
        <v>16</v>
      </c>
      <c r="C686" s="74">
        <f t="shared" si="389"/>
        <v>14.75</v>
      </c>
      <c r="D686" s="74">
        <f t="shared" si="390"/>
        <v>13.5</v>
      </c>
      <c r="E686" s="74">
        <f t="shared" si="391"/>
        <v>12.25</v>
      </c>
      <c r="F686" s="114">
        <v>11</v>
      </c>
      <c r="G686" s="74">
        <f t="shared" si="392"/>
        <v>9.75</v>
      </c>
      <c r="H686" s="74">
        <f t="shared" si="393"/>
        <v>8.5</v>
      </c>
      <c r="I686" s="74">
        <f t="shared" si="394"/>
        <v>7.25</v>
      </c>
      <c r="J686" s="114">
        <f t="shared" si="395"/>
        <v>6</v>
      </c>
      <c r="K686" s="74">
        <f t="shared" si="383"/>
        <v>5.0625</v>
      </c>
      <c r="L686" s="114">
        <f t="shared" si="401"/>
        <v>4.125</v>
      </c>
      <c r="M686" s="115">
        <f t="shared" si="396"/>
        <v>6.2622499999999999</v>
      </c>
      <c r="N686" s="115">
        <f t="shared" si="397"/>
        <v>8.4123750000000008</v>
      </c>
      <c r="O686" s="74">
        <f t="shared" si="398"/>
        <v>10.5625</v>
      </c>
      <c r="P686" s="74">
        <f t="shared" si="399"/>
        <v>12.69975</v>
      </c>
      <c r="Q686" s="74">
        <f t="shared" si="400"/>
        <v>14.837</v>
      </c>
      <c r="R686" s="114">
        <v>17</v>
      </c>
      <c r="S686" s="129"/>
      <c r="T686" s="117">
        <f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17.758661538461538</v>
      </c>
      <c r="U686" s="117">
        <f>Lefty!T686</f>
        <v>18.93413846153846</v>
      </c>
    </row>
    <row r="687" spans="2:21">
      <c r="B687" s="114">
        <v>17</v>
      </c>
      <c r="C687" s="74">
        <f t="shared" si="389"/>
        <v>15.5</v>
      </c>
      <c r="D687" s="74">
        <f t="shared" si="390"/>
        <v>14</v>
      </c>
      <c r="E687" s="74">
        <f t="shared" si="391"/>
        <v>12.5</v>
      </c>
      <c r="F687" s="114">
        <v>11</v>
      </c>
      <c r="G687" s="74">
        <f t="shared" si="392"/>
        <v>9.5</v>
      </c>
      <c r="H687" s="74">
        <f t="shared" si="393"/>
        <v>8</v>
      </c>
      <c r="I687" s="74">
        <f t="shared" si="394"/>
        <v>6.5</v>
      </c>
      <c r="J687" s="114">
        <f t="shared" si="395"/>
        <v>5</v>
      </c>
      <c r="K687" s="74">
        <f t="shared" si="383"/>
        <v>3.875</v>
      </c>
      <c r="L687" s="114">
        <f t="shared" si="401"/>
        <v>2.75</v>
      </c>
      <c r="M687" s="115">
        <f t="shared" si="396"/>
        <v>5.1154999999999999</v>
      </c>
      <c r="N687" s="115">
        <f t="shared" si="397"/>
        <v>7.4952500000000004</v>
      </c>
      <c r="O687" s="74">
        <f t="shared" si="398"/>
        <v>9.875</v>
      </c>
      <c r="P687" s="74">
        <f t="shared" si="399"/>
        <v>12.240500000000001</v>
      </c>
      <c r="Q687" s="74">
        <f t="shared" si="400"/>
        <v>14.606</v>
      </c>
      <c r="R687" s="114">
        <v>17</v>
      </c>
      <c r="S687" s="129"/>
      <c r="T687" s="117">
        <f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17.584861538461539</v>
      </c>
      <c r="U687" s="117">
        <f>Lefty!T687</f>
        <v>18.975938461538462</v>
      </c>
    </row>
    <row r="688" spans="2:21">
      <c r="B688" s="114">
        <v>18</v>
      </c>
      <c r="C688" s="74">
        <f t="shared" si="389"/>
        <v>16.25</v>
      </c>
      <c r="D688" s="74">
        <f t="shared" si="390"/>
        <v>14.5</v>
      </c>
      <c r="E688" s="74">
        <f t="shared" si="391"/>
        <v>12.75</v>
      </c>
      <c r="F688" s="114">
        <v>11</v>
      </c>
      <c r="G688" s="74">
        <f t="shared" si="392"/>
        <v>9.25</v>
      </c>
      <c r="H688" s="74">
        <f t="shared" si="393"/>
        <v>7.5</v>
      </c>
      <c r="I688" s="74">
        <f t="shared" si="394"/>
        <v>5.75</v>
      </c>
      <c r="J688" s="114">
        <f t="shared" si="395"/>
        <v>4</v>
      </c>
      <c r="K688" s="74">
        <f t="shared" si="383"/>
        <v>2.6875</v>
      </c>
      <c r="L688" s="114">
        <f t="shared" si="401"/>
        <v>1.375</v>
      </c>
      <c r="M688" s="115">
        <f t="shared" si="396"/>
        <v>3.96875</v>
      </c>
      <c r="N688" s="115">
        <f t="shared" si="397"/>
        <v>6.578125</v>
      </c>
      <c r="O688" s="74">
        <f t="shared" si="398"/>
        <v>9.1875</v>
      </c>
      <c r="P688" s="74">
        <f t="shared" si="399"/>
        <v>11.78125</v>
      </c>
      <c r="Q688" s="74">
        <f t="shared" si="400"/>
        <v>14.375</v>
      </c>
      <c r="R688" s="114">
        <v>17</v>
      </c>
      <c r="S688" s="129"/>
      <c r="T688" s="117">
        <f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17.611261538461537</v>
      </c>
      <c r="U688" s="117">
        <f>Lefty!T688</f>
        <v>18.70093846153846</v>
      </c>
    </row>
    <row r="689" spans="2:21">
      <c r="B689" s="114"/>
      <c r="C689" s="74"/>
      <c r="D689" s="74"/>
      <c r="E689" s="74"/>
      <c r="F689" s="114"/>
      <c r="G689" s="74"/>
      <c r="H689" s="74"/>
      <c r="I689" s="74"/>
      <c r="J689" s="114"/>
      <c r="K689" s="74"/>
      <c r="L689" s="114"/>
      <c r="M689" s="115"/>
      <c r="N689" s="115"/>
      <c r="O689" s="74"/>
      <c r="P689" s="74"/>
      <c r="Q689" s="74"/>
      <c r="R689" s="114"/>
      <c r="S689" s="129"/>
    </row>
    <row r="690" spans="2:21">
      <c r="B690" s="114">
        <v>11</v>
      </c>
      <c r="C690" s="74">
        <f t="shared" si="389"/>
        <v>11.25</v>
      </c>
      <c r="D690" s="74">
        <f t="shared" si="390"/>
        <v>11.5</v>
      </c>
      <c r="E690" s="74">
        <f t="shared" si="391"/>
        <v>11.75</v>
      </c>
      <c r="F690" s="114">
        <v>12</v>
      </c>
      <c r="G690" s="74">
        <f t="shared" si="392"/>
        <v>12.25</v>
      </c>
      <c r="H690" s="74">
        <f t="shared" si="393"/>
        <v>12.5</v>
      </c>
      <c r="I690" s="74">
        <f t="shared" si="394"/>
        <v>12.75</v>
      </c>
      <c r="J690" s="114">
        <f t="shared" si="395"/>
        <v>13</v>
      </c>
      <c r="K690" s="74">
        <f t="shared" ref="K690:K699" si="402">SUM(0.5*(L690-J690),J690)</f>
        <v>13.3125</v>
      </c>
      <c r="L690" s="114">
        <f t="shared" si="401"/>
        <v>13.625</v>
      </c>
      <c r="M690" s="115">
        <f t="shared" ref="M690:M699" si="403">SUM(0.166*(R690-L690),L690)</f>
        <v>14.18525</v>
      </c>
      <c r="N690" s="115">
        <f t="shared" ref="N690:N699" si="404">SUM(0.333*(R690-L690),L690)</f>
        <v>14.748875</v>
      </c>
      <c r="O690" s="74">
        <f t="shared" ref="O690:O699" si="405">SUM(0.5*(R690-L690),L690)</f>
        <v>15.3125</v>
      </c>
      <c r="P690" s="74">
        <f t="shared" ref="P690:P699" si="406">SUM(0.666*(R690-L690),L690)</f>
        <v>15.87275</v>
      </c>
      <c r="Q690" s="74">
        <f t="shared" ref="Q690:Q699" si="407">SUM(0.832*(R690-L690),L690)</f>
        <v>16.433</v>
      </c>
      <c r="R690" s="114">
        <v>17</v>
      </c>
      <c r="S690" s="129"/>
      <c r="T690" s="117">
        <f>SUM((CH20+CG19+CG18+CF17+CF16+CE15+CE14+CD13+CD12+CC11+CC10+BZ8+BY7+BX6+BW5+BV4)*-0.132,(CB9+CA9)*-0.132/2,17)</f>
        <v>17.86646153846154</v>
      </c>
      <c r="U690" s="117">
        <f>Lefty!T690</f>
        <v>18.707538461538462</v>
      </c>
    </row>
    <row r="691" spans="2:21">
      <c r="B691" s="114">
        <v>12</v>
      </c>
      <c r="C691" s="74">
        <f t="shared" si="389"/>
        <v>12</v>
      </c>
      <c r="D691" s="74">
        <f t="shared" si="390"/>
        <v>12</v>
      </c>
      <c r="E691" s="74">
        <f t="shared" si="391"/>
        <v>12</v>
      </c>
      <c r="F691" s="114">
        <v>12</v>
      </c>
      <c r="G691" s="74">
        <f t="shared" si="392"/>
        <v>12</v>
      </c>
      <c r="H691" s="74">
        <f t="shared" si="393"/>
        <v>12</v>
      </c>
      <c r="I691" s="74">
        <f t="shared" si="394"/>
        <v>12</v>
      </c>
      <c r="J691" s="114">
        <f t="shared" si="395"/>
        <v>12</v>
      </c>
      <c r="K691" s="74">
        <f t="shared" si="402"/>
        <v>12.25</v>
      </c>
      <c r="L691" s="114">
        <f>SUM(J691,J691,-H691,0.25*ABS(J691-H691),0.1*(17-F691))</f>
        <v>12.5</v>
      </c>
      <c r="M691" s="115">
        <f t="shared" si="403"/>
        <v>13.247</v>
      </c>
      <c r="N691" s="115">
        <f t="shared" si="404"/>
        <v>13.9985</v>
      </c>
      <c r="O691" s="74">
        <f t="shared" si="405"/>
        <v>14.75</v>
      </c>
      <c r="P691" s="74">
        <f t="shared" si="406"/>
        <v>15.497</v>
      </c>
      <c r="Q691" s="74">
        <f t="shared" si="407"/>
        <v>16.244</v>
      </c>
      <c r="R691" s="114">
        <v>17</v>
      </c>
      <c r="S691" s="129"/>
      <c r="T691" s="117">
        <f>SUM((CF20+CF19+CF18+CF17+CF16+CF15+CF14+CF13+CF12+CE11+CE10+BX6+BW5+BV4)*-0.132,(CD9+CC9+CB8+CA8+BZ7+BY7)*-0.132/2,17)</f>
        <v>17.536461538461538</v>
      </c>
      <c r="U691" s="117">
        <f>Lefty!T691</f>
        <v>19.367538461538459</v>
      </c>
    </row>
    <row r="692" spans="2:21">
      <c r="B692" s="114">
        <v>13</v>
      </c>
      <c r="C692" s="74">
        <f t="shared" si="389"/>
        <v>12.75</v>
      </c>
      <c r="D692" s="74">
        <f t="shared" si="390"/>
        <v>12.5</v>
      </c>
      <c r="E692" s="74">
        <f t="shared" si="391"/>
        <v>12.25</v>
      </c>
      <c r="F692" s="114">
        <v>12</v>
      </c>
      <c r="G692" s="74">
        <f t="shared" si="392"/>
        <v>11.75</v>
      </c>
      <c r="H692" s="74">
        <f t="shared" si="393"/>
        <v>11.5</v>
      </c>
      <c r="I692" s="74">
        <f t="shared" si="394"/>
        <v>11.25</v>
      </c>
      <c r="J692" s="114">
        <f t="shared" si="395"/>
        <v>11</v>
      </c>
      <c r="K692" s="74">
        <f t="shared" si="402"/>
        <v>10.8125</v>
      </c>
      <c r="L692" s="114">
        <f t="shared" si="401"/>
        <v>10.625</v>
      </c>
      <c r="M692" s="115">
        <f t="shared" si="403"/>
        <v>11.683250000000001</v>
      </c>
      <c r="N692" s="115">
        <f t="shared" si="404"/>
        <v>12.747875000000001</v>
      </c>
      <c r="O692" s="74">
        <f t="shared" si="405"/>
        <v>13.8125</v>
      </c>
      <c r="P692" s="74">
        <f t="shared" si="406"/>
        <v>14.870750000000001</v>
      </c>
      <c r="Q692" s="74">
        <f t="shared" si="407"/>
        <v>15.928999999999998</v>
      </c>
      <c r="R692" s="114">
        <v>17</v>
      </c>
      <c r="S692" s="129"/>
      <c r="T692" s="117">
        <f>SUM((CD20+CE19+CE18+CF17+CF16+CG15+CG14+CH13+CH12+CI11+CI10)*-0.132,(CH9+CG9+CF9)*-0.132/3,(CE8+CD8+CC7+CB7+CA6+BZ6+BY5+BX5+BW4+BV4)*-0.132/2,17)</f>
        <v>17.536461538461538</v>
      </c>
      <c r="U692" s="117">
        <f>Lefty!T692</f>
        <v>19.14753846153846</v>
      </c>
    </row>
    <row r="693" spans="2:21">
      <c r="B693" s="114">
        <v>14</v>
      </c>
      <c r="C693" s="74">
        <f t="shared" si="389"/>
        <v>13.5</v>
      </c>
      <c r="D693" s="74">
        <f t="shared" si="390"/>
        <v>13</v>
      </c>
      <c r="E693" s="74">
        <f t="shared" si="391"/>
        <v>12.5</v>
      </c>
      <c r="F693" s="114">
        <v>12</v>
      </c>
      <c r="G693" s="74">
        <f t="shared" si="392"/>
        <v>11.5</v>
      </c>
      <c r="H693" s="74">
        <f t="shared" si="393"/>
        <v>11</v>
      </c>
      <c r="I693" s="74">
        <f t="shared" si="394"/>
        <v>10.5</v>
      </c>
      <c r="J693" s="114">
        <f t="shared" si="395"/>
        <v>10</v>
      </c>
      <c r="K693" s="74">
        <f t="shared" si="402"/>
        <v>9.625</v>
      </c>
      <c r="L693" s="114">
        <f t="shared" si="401"/>
        <v>9.25</v>
      </c>
      <c r="M693" s="115">
        <f t="shared" si="403"/>
        <v>10.5365</v>
      </c>
      <c r="N693" s="115">
        <f t="shared" si="404"/>
        <v>11.83075</v>
      </c>
      <c r="O693" s="74">
        <f t="shared" si="405"/>
        <v>13.125</v>
      </c>
      <c r="P693" s="74">
        <f t="shared" si="406"/>
        <v>14.4115</v>
      </c>
      <c r="Q693" s="74">
        <f t="shared" si="407"/>
        <v>15.698</v>
      </c>
      <c r="R693" s="114">
        <v>17</v>
      </c>
      <c r="S693" s="129"/>
      <c r="T693" s="117">
        <f>SUM((CB20+CC19+CD18+CE17+CF16+CG15+CH14+CI13+CJ12+CK11+CK10)*-0.132,(CJ9+CI9+CH9+CG8+CF8+CE8+CD7+CC7+CB7)*-0.132/3,(CA6+BZ6+BY5+BX5+BW4+BV4)*-0.132/2,17)</f>
        <v>17.492461538461537</v>
      </c>
      <c r="U693" s="117">
        <f>Lefty!T693</f>
        <v>19.76353846153846</v>
      </c>
    </row>
    <row r="694" spans="2:21">
      <c r="B694" s="114">
        <v>15</v>
      </c>
      <c r="C694" s="74">
        <f t="shared" si="389"/>
        <v>14.25</v>
      </c>
      <c r="D694" s="74">
        <f t="shared" si="390"/>
        <v>13.5</v>
      </c>
      <c r="E694" s="74">
        <f t="shared" si="391"/>
        <v>12.75</v>
      </c>
      <c r="F694" s="114">
        <v>12</v>
      </c>
      <c r="G694" s="74">
        <f t="shared" si="392"/>
        <v>11.25</v>
      </c>
      <c r="H694" s="74">
        <f t="shared" si="393"/>
        <v>10.5</v>
      </c>
      <c r="I694" s="74">
        <f t="shared" si="394"/>
        <v>9.75</v>
      </c>
      <c r="J694" s="114">
        <f t="shared" si="395"/>
        <v>9</v>
      </c>
      <c r="K694" s="74">
        <f t="shared" si="402"/>
        <v>8.4375</v>
      </c>
      <c r="L694" s="114">
        <f t="shared" si="401"/>
        <v>7.875</v>
      </c>
      <c r="M694" s="115">
        <f t="shared" si="403"/>
        <v>9.3897499999999994</v>
      </c>
      <c r="N694" s="115">
        <f t="shared" si="404"/>
        <v>10.913625</v>
      </c>
      <c r="O694" s="74">
        <f t="shared" si="405"/>
        <v>12.4375</v>
      </c>
      <c r="P694" s="74">
        <f t="shared" si="406"/>
        <v>13.952249999999999</v>
      </c>
      <c r="Q694" s="74">
        <f t="shared" si="407"/>
        <v>15.466999999999999</v>
      </c>
      <c r="R694" s="114">
        <v>17</v>
      </c>
      <c r="S694" s="129"/>
      <c r="T694" s="117">
        <f>SUM((BZ20+CC18+CF16+CI14+CL12+CM11+CN10)*-0.132,(CA19+CB19+CD17+CE17+CG15+CH15+CJ13+CK13)*-0.132/2,(CM9+CL9+CK9+CJ8+CI8+CH8+CG7+CF7+CE7+CD6+CC6+CB6+CA5+BZ5+BY5+BX4+BW4+BV4)*-0.132/3,17)</f>
        <v>18.020461538461539</v>
      </c>
      <c r="U694" s="117">
        <f>Lefty!T694</f>
        <v>19.719538461538463</v>
      </c>
    </row>
    <row r="695" spans="2:21">
      <c r="B695" s="114">
        <v>16</v>
      </c>
      <c r="C695" s="74">
        <f t="shared" si="389"/>
        <v>15</v>
      </c>
      <c r="D695" s="74">
        <f t="shared" si="390"/>
        <v>14</v>
      </c>
      <c r="E695" s="74">
        <f t="shared" si="391"/>
        <v>13</v>
      </c>
      <c r="F695" s="114">
        <v>12</v>
      </c>
      <c r="G695" s="74">
        <f t="shared" si="392"/>
        <v>11</v>
      </c>
      <c r="H695" s="74">
        <f t="shared" si="393"/>
        <v>10</v>
      </c>
      <c r="I695" s="74">
        <f t="shared" si="394"/>
        <v>9</v>
      </c>
      <c r="J695" s="114">
        <f t="shared" si="395"/>
        <v>8</v>
      </c>
      <c r="K695" s="74">
        <f t="shared" si="402"/>
        <v>7.25</v>
      </c>
      <c r="L695" s="114">
        <f t="shared" si="401"/>
        <v>6.5</v>
      </c>
      <c r="M695" s="115">
        <f t="shared" si="403"/>
        <v>8.2430000000000003</v>
      </c>
      <c r="N695" s="115">
        <f t="shared" si="404"/>
        <v>9.9965000000000011</v>
      </c>
      <c r="O695" s="74">
        <f t="shared" si="405"/>
        <v>11.75</v>
      </c>
      <c r="P695" s="74">
        <f t="shared" si="406"/>
        <v>13.493</v>
      </c>
      <c r="Q695" s="74">
        <f t="shared" si="407"/>
        <v>15.235999999999999</v>
      </c>
      <c r="R695" s="114">
        <v>17</v>
      </c>
      <c r="S695" s="129"/>
      <c r="T695" s="117">
        <f>SUM((BY19+BZ19+CA18+CB18+CC17+CD17+CE16+CF16+CG15+CH15+CI14+CJ14+CK13+CL13+CM12+CN12+CO11+CP11)*-0.132/2,(BX20+CQ10)*-0.132,(CP9+CO9+CN9+CM9+CL8+CK8+CJ8+CI8+CH7+CG7+CF7+CE7)*-0.132/4,(CD6+CC6+CB6+CA5+BZ5+BY5+BX4+BW4+BV4)*-0.132/3,17)</f>
        <v>17.91046153846154</v>
      </c>
      <c r="U695" s="117">
        <f>Lefty!T695</f>
        <v>19.477538461538462</v>
      </c>
    </row>
    <row r="696" spans="2:21">
      <c r="B696" s="114">
        <v>17</v>
      </c>
      <c r="C696" s="74">
        <f t="shared" si="389"/>
        <v>15.75</v>
      </c>
      <c r="D696" s="74">
        <f t="shared" si="390"/>
        <v>14.5</v>
      </c>
      <c r="E696" s="74">
        <f t="shared" si="391"/>
        <v>13.25</v>
      </c>
      <c r="F696" s="114">
        <v>12</v>
      </c>
      <c r="G696" s="74">
        <f t="shared" si="392"/>
        <v>10.75</v>
      </c>
      <c r="H696" s="74">
        <f t="shared" si="393"/>
        <v>9.5</v>
      </c>
      <c r="I696" s="74">
        <f t="shared" si="394"/>
        <v>8.25</v>
      </c>
      <c r="J696" s="114">
        <f t="shared" si="395"/>
        <v>7</v>
      </c>
      <c r="K696" s="74">
        <f t="shared" si="402"/>
        <v>6.0625</v>
      </c>
      <c r="L696" s="114">
        <f t="shared" si="401"/>
        <v>5.125</v>
      </c>
      <c r="M696" s="115">
        <f t="shared" si="403"/>
        <v>7.0962500000000004</v>
      </c>
      <c r="N696" s="115">
        <f t="shared" si="404"/>
        <v>9.0793750000000006</v>
      </c>
      <c r="O696" s="74">
        <f t="shared" si="405"/>
        <v>11.0625</v>
      </c>
      <c r="P696" s="74">
        <f t="shared" si="406"/>
        <v>13.033750000000001</v>
      </c>
      <c r="Q696" s="74">
        <f t="shared" si="407"/>
        <v>15.004999999999999</v>
      </c>
      <c r="R696" s="114">
        <v>17</v>
      </c>
      <c r="S696" s="129"/>
      <c r="T696" s="117">
        <f>SUM((BV20+BW20+BX19+BY19+CC17+CD17+CE16+CF16+CJ14+CK14+CO12+CP12+CQ11+CR11+CS10+CT10)*-0.132/2,(BZ18+CA18+CB18+CG15+CH15+CI15+CL13+CM13+CN13)*-0.132/3,(CS9+CR9+CQ9+CP9+CO8+CN8+CM8+CL8+CK7+CJ7+CI7+CH7+CG6+CF6+CE6+CD6+CC5+CB5+CA5+BZ5+BY4+BX4+BW4+BV4)*-0.132/4,17)</f>
        <v>17.492461538461537</v>
      </c>
      <c r="U696" s="117">
        <f>Lefty!T696</f>
        <v>19.323538461538462</v>
      </c>
    </row>
    <row r="697" spans="2:21">
      <c r="B697" s="114">
        <v>18</v>
      </c>
      <c r="C697" s="74">
        <f t="shared" si="389"/>
        <v>16.5</v>
      </c>
      <c r="D697" s="74">
        <f t="shared" si="390"/>
        <v>15</v>
      </c>
      <c r="E697" s="74">
        <f t="shared" si="391"/>
        <v>13.5</v>
      </c>
      <c r="F697" s="114">
        <v>12</v>
      </c>
      <c r="G697" s="74">
        <f t="shared" si="392"/>
        <v>10.5</v>
      </c>
      <c r="H697" s="74">
        <f t="shared" si="393"/>
        <v>9</v>
      </c>
      <c r="I697" s="74">
        <f t="shared" si="394"/>
        <v>7.5</v>
      </c>
      <c r="J697" s="114">
        <f t="shared" si="395"/>
        <v>6</v>
      </c>
      <c r="K697" s="74">
        <f t="shared" si="402"/>
        <v>4.875</v>
      </c>
      <c r="L697" s="114">
        <f t="shared" si="401"/>
        <v>3.75</v>
      </c>
      <c r="M697" s="115">
        <f t="shared" si="403"/>
        <v>5.9495000000000005</v>
      </c>
      <c r="N697" s="115">
        <f t="shared" si="404"/>
        <v>8.1622500000000002</v>
      </c>
      <c r="O697" s="74">
        <f t="shared" si="405"/>
        <v>10.375</v>
      </c>
      <c r="P697" s="74">
        <f t="shared" si="406"/>
        <v>12.5745</v>
      </c>
      <c r="Q697" s="74">
        <f t="shared" si="407"/>
        <v>14.773999999999999</v>
      </c>
      <c r="R697" s="114">
        <v>17</v>
      </c>
      <c r="S697" s="129"/>
      <c r="T697" s="117">
        <f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17.36486153846154</v>
      </c>
      <c r="U697" s="117">
        <f>Lefty!T697</f>
        <v>18.775738461538459</v>
      </c>
    </row>
    <row r="698" spans="2:21">
      <c r="B698" s="114">
        <v>19</v>
      </c>
      <c r="C698" s="74">
        <f t="shared" si="389"/>
        <v>17.25</v>
      </c>
      <c r="D698" s="74">
        <f t="shared" si="390"/>
        <v>15.5</v>
      </c>
      <c r="E698" s="74">
        <f t="shared" si="391"/>
        <v>13.75</v>
      </c>
      <c r="F698" s="114">
        <v>12</v>
      </c>
      <c r="G698" s="74">
        <f t="shared" si="392"/>
        <v>10.25</v>
      </c>
      <c r="H698" s="74">
        <f t="shared" si="393"/>
        <v>8.5</v>
      </c>
      <c r="I698" s="74">
        <f t="shared" si="394"/>
        <v>6.75</v>
      </c>
      <c r="J698" s="114">
        <f t="shared" si="395"/>
        <v>5</v>
      </c>
      <c r="K698" s="74">
        <f t="shared" si="402"/>
        <v>3.6875</v>
      </c>
      <c r="L698" s="114">
        <f t="shared" si="401"/>
        <v>2.375</v>
      </c>
      <c r="M698" s="115">
        <f t="shared" si="403"/>
        <v>4.8027499999999996</v>
      </c>
      <c r="N698" s="115">
        <f t="shared" si="404"/>
        <v>7.2451250000000007</v>
      </c>
      <c r="O698" s="74">
        <f t="shared" si="405"/>
        <v>9.6875</v>
      </c>
      <c r="P698" s="74">
        <f t="shared" si="406"/>
        <v>12.115250000000001</v>
      </c>
      <c r="Q698" s="74">
        <f t="shared" si="407"/>
        <v>14.542999999999999</v>
      </c>
      <c r="R698" s="114">
        <v>17</v>
      </c>
      <c r="S698" s="129"/>
      <c r="T698" s="117">
        <f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17.331861538461538</v>
      </c>
      <c r="U698" s="117">
        <f>Lefty!T698</f>
        <v>18.612938461538462</v>
      </c>
    </row>
    <row r="699" spans="2:21">
      <c r="B699" s="114">
        <v>20</v>
      </c>
      <c r="C699" s="74">
        <f t="shared" si="389"/>
        <v>18</v>
      </c>
      <c r="D699" s="74">
        <f t="shared" si="390"/>
        <v>16</v>
      </c>
      <c r="E699" s="74">
        <f t="shared" si="391"/>
        <v>14</v>
      </c>
      <c r="F699" s="114">
        <v>12</v>
      </c>
      <c r="G699" s="74">
        <f t="shared" si="392"/>
        <v>10</v>
      </c>
      <c r="H699" s="74">
        <f t="shared" si="393"/>
        <v>8</v>
      </c>
      <c r="I699" s="74">
        <f t="shared" si="394"/>
        <v>6</v>
      </c>
      <c r="J699" s="114">
        <f t="shared" si="395"/>
        <v>4</v>
      </c>
      <c r="K699" s="74">
        <f t="shared" si="402"/>
        <v>2.5</v>
      </c>
      <c r="L699" s="114">
        <f t="shared" si="401"/>
        <v>1</v>
      </c>
      <c r="M699" s="115">
        <f t="shared" si="403"/>
        <v>3.6560000000000001</v>
      </c>
      <c r="N699" s="115">
        <f t="shared" si="404"/>
        <v>6.3280000000000003</v>
      </c>
      <c r="O699" s="74">
        <f t="shared" si="405"/>
        <v>9</v>
      </c>
      <c r="P699" s="74">
        <f t="shared" si="406"/>
        <v>11.656000000000001</v>
      </c>
      <c r="Q699" s="74">
        <f t="shared" si="407"/>
        <v>14.311999999999999</v>
      </c>
      <c r="R699" s="114">
        <v>17</v>
      </c>
      <c r="S699" s="129"/>
      <c r="T699" s="126">
        <f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17.422061538461538</v>
      </c>
      <c r="U699" s="126">
        <f>Lefty!T699</f>
        <v>18.439138461538462</v>
      </c>
    </row>
    <row r="700" spans="2:21">
      <c r="B700" s="114"/>
      <c r="C700" s="74"/>
      <c r="D700" s="74"/>
      <c r="E700" s="74"/>
      <c r="F700" s="114"/>
      <c r="G700" s="74"/>
      <c r="H700" s="74"/>
      <c r="I700" s="74"/>
      <c r="J700" s="114"/>
      <c r="K700" s="74"/>
      <c r="L700" s="114"/>
      <c r="M700" s="115"/>
      <c r="N700" s="115"/>
      <c r="O700" s="74"/>
      <c r="P700" s="74"/>
      <c r="Q700" s="74"/>
      <c r="R700" s="114"/>
      <c r="S700" s="129"/>
    </row>
    <row r="701" spans="2:21">
      <c r="B701" s="114">
        <v>12</v>
      </c>
      <c r="C701" s="74">
        <f t="shared" si="389"/>
        <v>12.25</v>
      </c>
      <c r="D701" s="74">
        <f t="shared" si="390"/>
        <v>12.5</v>
      </c>
      <c r="E701" s="74">
        <f t="shared" si="391"/>
        <v>12.75</v>
      </c>
      <c r="F701" s="114">
        <v>13</v>
      </c>
      <c r="G701" s="74">
        <f t="shared" si="392"/>
        <v>13.25</v>
      </c>
      <c r="H701" s="74">
        <f t="shared" si="393"/>
        <v>13.5</v>
      </c>
      <c r="I701" s="74">
        <f t="shared" si="394"/>
        <v>13.75</v>
      </c>
      <c r="J701" s="114">
        <f t="shared" si="395"/>
        <v>14</v>
      </c>
      <c r="K701" s="74">
        <f t="shared" ref="K701:K710" si="408">SUM(0.5*(L701-J701),J701)</f>
        <v>14.3125</v>
      </c>
      <c r="L701" s="114">
        <f t="shared" si="401"/>
        <v>14.625</v>
      </c>
      <c r="M701" s="115">
        <f t="shared" ref="M701:M710" si="409">SUM(0.166*(R701-L701),L701)</f>
        <v>15.01925</v>
      </c>
      <c r="N701" s="115">
        <f t="shared" ref="N701:N710" si="410">SUM(0.333*(R701-L701),L701)</f>
        <v>15.415875</v>
      </c>
      <c r="O701" s="74">
        <f t="shared" ref="O701:O710" si="411">SUM(0.5*(R701-L701),L701)</f>
        <v>15.8125</v>
      </c>
      <c r="P701" s="74">
        <f t="shared" ref="P701:P710" si="412">SUM(0.666*(R701-L701),L701)</f>
        <v>16.20675</v>
      </c>
      <c r="Q701" s="74">
        <f t="shared" ref="Q701:Q710" si="413">SUM(0.832*(R701-L701),L701)</f>
        <v>16.600999999999999</v>
      </c>
      <c r="R701" s="114">
        <v>17</v>
      </c>
      <c r="S701" s="129"/>
      <c r="T701" s="117">
        <f>SUM((CF20+CE19+CE18+CD17+CD16+CC15+CC14+CB13+CB12+CA11+CA10+BZ9+BY8+BX7+BW6+BV5+BV4)*-0.132,17)</f>
        <v>16.876461538461538</v>
      </c>
      <c r="U701" s="117">
        <f>Lefty!T701</f>
        <v>19.631538461538462</v>
      </c>
    </row>
    <row r="702" spans="2:21">
      <c r="B702" s="114">
        <v>13</v>
      </c>
      <c r="C702" s="74">
        <f t="shared" si="389"/>
        <v>13</v>
      </c>
      <c r="D702" s="74">
        <f t="shared" si="390"/>
        <v>13</v>
      </c>
      <c r="E702" s="74">
        <f t="shared" si="391"/>
        <v>13</v>
      </c>
      <c r="F702" s="114">
        <v>13</v>
      </c>
      <c r="G702" s="74">
        <f t="shared" si="392"/>
        <v>13</v>
      </c>
      <c r="H702" s="74">
        <f t="shared" si="393"/>
        <v>13</v>
      </c>
      <c r="I702" s="74">
        <f t="shared" si="394"/>
        <v>13</v>
      </c>
      <c r="J702" s="114">
        <f t="shared" si="395"/>
        <v>13</v>
      </c>
      <c r="K702" s="74">
        <f t="shared" si="408"/>
        <v>13.2</v>
      </c>
      <c r="L702" s="114">
        <f>SUM(J702,J702,-H702,0.25*ABS(J702-H702),0.1*(17-F702))</f>
        <v>13.4</v>
      </c>
      <c r="M702" s="115">
        <f t="shared" si="409"/>
        <v>13.9976</v>
      </c>
      <c r="N702" s="115">
        <f t="shared" si="410"/>
        <v>14.598800000000001</v>
      </c>
      <c r="O702" s="74">
        <f t="shared" si="411"/>
        <v>15.2</v>
      </c>
      <c r="P702" s="74">
        <f t="shared" si="412"/>
        <v>15.797599999999999</v>
      </c>
      <c r="Q702" s="74">
        <f t="shared" si="413"/>
        <v>16.395199999999999</v>
      </c>
      <c r="R702" s="114">
        <v>17</v>
      </c>
      <c r="S702" s="129"/>
      <c r="T702" s="117">
        <f>SUM((CD20+CD19+CD18+CD17+CD16+CD15+CD14+CD13+CD12+CD11+CC10+BZ8+BY7+BX6+BW5+BV4)*-0.132,(CB9+CA9)*-0.132/2,17)</f>
        <v>17.338461538461537</v>
      </c>
      <c r="U702" s="117">
        <f>Lefty!T702</f>
        <v>19.367538461538459</v>
      </c>
    </row>
    <row r="703" spans="2:21">
      <c r="B703" s="114">
        <v>14</v>
      </c>
      <c r="C703" s="74">
        <f t="shared" si="389"/>
        <v>13.75</v>
      </c>
      <c r="D703" s="74">
        <f t="shared" si="390"/>
        <v>13.5</v>
      </c>
      <c r="E703" s="74">
        <f t="shared" si="391"/>
        <v>13.25</v>
      </c>
      <c r="F703" s="114">
        <v>13</v>
      </c>
      <c r="G703" s="74">
        <f t="shared" si="392"/>
        <v>12.75</v>
      </c>
      <c r="H703" s="74">
        <f t="shared" si="393"/>
        <v>12.5</v>
      </c>
      <c r="I703" s="74">
        <f t="shared" si="394"/>
        <v>12.25</v>
      </c>
      <c r="J703" s="114">
        <f t="shared" si="395"/>
        <v>12</v>
      </c>
      <c r="K703" s="74">
        <f t="shared" si="408"/>
        <v>11.8125</v>
      </c>
      <c r="L703" s="114">
        <f t="shared" si="401"/>
        <v>11.625</v>
      </c>
      <c r="M703" s="115">
        <f t="shared" si="409"/>
        <v>12.517250000000001</v>
      </c>
      <c r="N703" s="115">
        <f t="shared" si="410"/>
        <v>13.414875</v>
      </c>
      <c r="O703" s="74">
        <f t="shared" si="411"/>
        <v>14.3125</v>
      </c>
      <c r="P703" s="74">
        <f t="shared" si="412"/>
        <v>15.204750000000001</v>
      </c>
      <c r="Q703" s="74">
        <f t="shared" si="413"/>
        <v>16.097000000000001</v>
      </c>
      <c r="R703" s="114">
        <v>17</v>
      </c>
      <c r="S703" s="129"/>
      <c r="T703" s="117">
        <f>SUM((CB20+CC19+CC18+CD17+CD16+CE15+CE14+CF13+CF12+CG11+CG10+BV4)*-0.132,(CF9+CE9+CD8+CC8+CB7+CA7+BZ6+BY6+BX5+BW5)*-0.132/2,17)</f>
        <v>17.932461538461538</v>
      </c>
      <c r="U703" s="117">
        <f>Lefty!T703</f>
        <v>19.169538461538462</v>
      </c>
    </row>
    <row r="704" spans="2:21">
      <c r="B704" s="114">
        <v>15</v>
      </c>
      <c r="C704" s="74">
        <f t="shared" si="389"/>
        <v>14.5</v>
      </c>
      <c r="D704" s="74">
        <f t="shared" si="390"/>
        <v>14</v>
      </c>
      <c r="E704" s="74">
        <f t="shared" si="391"/>
        <v>13.5</v>
      </c>
      <c r="F704" s="114">
        <v>13</v>
      </c>
      <c r="G704" s="74">
        <f t="shared" si="392"/>
        <v>12.5</v>
      </c>
      <c r="H704" s="74">
        <f t="shared" si="393"/>
        <v>12</v>
      </c>
      <c r="I704" s="74">
        <f t="shared" si="394"/>
        <v>11.5</v>
      </c>
      <c r="J704" s="114">
        <f t="shared" si="395"/>
        <v>11</v>
      </c>
      <c r="K704" s="74">
        <f t="shared" si="408"/>
        <v>10.625</v>
      </c>
      <c r="L704" s="114">
        <f t="shared" si="401"/>
        <v>10.25</v>
      </c>
      <c r="M704" s="115">
        <f t="shared" si="409"/>
        <v>11.3705</v>
      </c>
      <c r="N704" s="115">
        <f t="shared" si="410"/>
        <v>12.49775</v>
      </c>
      <c r="O704" s="74">
        <f t="shared" si="411"/>
        <v>13.625</v>
      </c>
      <c r="P704" s="74">
        <f t="shared" si="412"/>
        <v>14.7455</v>
      </c>
      <c r="Q704" s="74">
        <f t="shared" si="413"/>
        <v>15.866</v>
      </c>
      <c r="R704" s="114">
        <v>17</v>
      </c>
      <c r="S704" s="129"/>
      <c r="T704" s="117">
        <f>SUM((BZ20+CA19+CB18+CC17+CD16+CE15+CF14+CG13+CH12+CI11+CI10)*-0.132,(CH9+CG9+CF9)*-0.132/3,(CE8+CD8+CC7+CB7+CA6+BZ6+BY5+BX5+BW4+BV4)*-0.132/2,17)</f>
        <v>17.800461538461537</v>
      </c>
      <c r="U704" s="117">
        <f>Lefty!T704</f>
        <v>19.411538461538463</v>
      </c>
    </row>
    <row r="705" spans="2:21">
      <c r="B705" s="114">
        <v>16</v>
      </c>
      <c r="C705" s="74">
        <f t="shared" si="389"/>
        <v>15.25</v>
      </c>
      <c r="D705" s="74">
        <f t="shared" si="390"/>
        <v>14.5</v>
      </c>
      <c r="E705" s="74">
        <f t="shared" si="391"/>
        <v>13.75</v>
      </c>
      <c r="F705" s="114">
        <v>13</v>
      </c>
      <c r="G705" s="74">
        <f t="shared" si="392"/>
        <v>12.25</v>
      </c>
      <c r="H705" s="74">
        <f t="shared" si="393"/>
        <v>11.5</v>
      </c>
      <c r="I705" s="74">
        <f t="shared" si="394"/>
        <v>10.75</v>
      </c>
      <c r="J705" s="114">
        <f t="shared" si="395"/>
        <v>10</v>
      </c>
      <c r="K705" s="74">
        <f t="shared" si="408"/>
        <v>9.4375</v>
      </c>
      <c r="L705" s="114">
        <f t="shared" si="401"/>
        <v>8.875</v>
      </c>
      <c r="M705" s="115">
        <f t="shared" si="409"/>
        <v>10.223750000000001</v>
      </c>
      <c r="N705" s="115">
        <f t="shared" si="410"/>
        <v>11.580625</v>
      </c>
      <c r="O705" s="74">
        <f t="shared" si="411"/>
        <v>12.9375</v>
      </c>
      <c r="P705" s="74">
        <f t="shared" si="412"/>
        <v>14.286249999999999</v>
      </c>
      <c r="Q705" s="74">
        <f t="shared" si="413"/>
        <v>15.635</v>
      </c>
      <c r="R705" s="114">
        <v>17</v>
      </c>
      <c r="S705" s="129"/>
      <c r="T705" s="117">
        <f>SUM((BX20+CA18+CD16+CG14+CJ12+CK11+CL10)*-0.132,(BY19+BZ19+CB17+CC17+CE15+CF15+CH13+CI13+BY5+BX5+BW4+BV4)*-0.132/2,(CK9+CJ9+CI9+CH8+CG8+CF8+CE7+CD7+CC7+CB6+CA6+BZ6)*-0.132/3,17)</f>
        <v>17.71246153846154</v>
      </c>
      <c r="U705" s="117">
        <f>Lefty!T705</f>
        <v>19.34553846153846</v>
      </c>
    </row>
    <row r="706" spans="2:21">
      <c r="B706" s="114">
        <v>17</v>
      </c>
      <c r="C706" s="74">
        <f t="shared" si="389"/>
        <v>16</v>
      </c>
      <c r="D706" s="74">
        <f t="shared" si="390"/>
        <v>15</v>
      </c>
      <c r="E706" s="74">
        <f t="shared" si="391"/>
        <v>14</v>
      </c>
      <c r="F706" s="114">
        <v>13</v>
      </c>
      <c r="G706" s="74">
        <f t="shared" si="392"/>
        <v>12</v>
      </c>
      <c r="H706" s="74">
        <f t="shared" si="393"/>
        <v>11</v>
      </c>
      <c r="I706" s="74">
        <f t="shared" si="394"/>
        <v>10</v>
      </c>
      <c r="J706" s="114">
        <f t="shared" si="395"/>
        <v>9</v>
      </c>
      <c r="K706" s="74">
        <f t="shared" si="408"/>
        <v>8.25</v>
      </c>
      <c r="L706" s="114">
        <f t="shared" si="401"/>
        <v>7.5</v>
      </c>
      <c r="M706" s="115">
        <f t="shared" si="409"/>
        <v>9.077</v>
      </c>
      <c r="N706" s="115">
        <f t="shared" si="410"/>
        <v>10.663499999999999</v>
      </c>
      <c r="O706" s="74">
        <f t="shared" si="411"/>
        <v>12.25</v>
      </c>
      <c r="P706" s="74">
        <f t="shared" si="412"/>
        <v>13.827</v>
      </c>
      <c r="Q706" s="74">
        <f t="shared" si="413"/>
        <v>15.404</v>
      </c>
      <c r="R706" s="114">
        <v>17</v>
      </c>
      <c r="S706" s="129"/>
      <c r="T706" s="117">
        <f>SUM((BW19+BX19+BY18+BZ18+CA17+CB17+CC16+CD16+CE15+CF15+CG14+CH14+CI13+CJ13+CK12+CL12+CM11+CN11)*-0.132/2,(BV20+CO10)*-0.132,(CN9+CM9+CL9+CK9)*-0.132/4,(CJ8+CI8+CH8+CG7+CF7+CE7+CD6+CC6+CB6+CA5+BZ5+BY5+BX4+BW4+BV4)*-0.132/3,17)</f>
        <v>17.81146153846154</v>
      </c>
      <c r="U706" s="117">
        <f>Lefty!T706</f>
        <v>19.24653846153846</v>
      </c>
    </row>
    <row r="707" spans="2:21">
      <c r="B707" s="114">
        <v>18</v>
      </c>
      <c r="C707" s="74">
        <f t="shared" si="389"/>
        <v>16.75</v>
      </c>
      <c r="D707" s="74">
        <f t="shared" si="390"/>
        <v>15.5</v>
      </c>
      <c r="E707" s="74">
        <f t="shared" si="391"/>
        <v>14.25</v>
      </c>
      <c r="F707" s="114">
        <v>13</v>
      </c>
      <c r="G707" s="74">
        <f t="shared" si="392"/>
        <v>11.75</v>
      </c>
      <c r="H707" s="74">
        <f t="shared" si="393"/>
        <v>10.5</v>
      </c>
      <c r="I707" s="74">
        <f t="shared" si="394"/>
        <v>9.25</v>
      </c>
      <c r="J707" s="114">
        <f t="shared" si="395"/>
        <v>8</v>
      </c>
      <c r="K707" s="74">
        <f t="shared" si="408"/>
        <v>7.0625</v>
      </c>
      <c r="L707" s="114">
        <f t="shared" si="401"/>
        <v>6.125</v>
      </c>
      <c r="M707" s="115">
        <f t="shared" si="409"/>
        <v>7.93025</v>
      </c>
      <c r="N707" s="115">
        <f t="shared" si="410"/>
        <v>9.7463750000000005</v>
      </c>
      <c r="O707" s="74">
        <f t="shared" si="411"/>
        <v>11.5625</v>
      </c>
      <c r="P707" s="74">
        <f t="shared" si="412"/>
        <v>13.367750000000001</v>
      </c>
      <c r="Q707" s="74">
        <f t="shared" si="413"/>
        <v>15.173</v>
      </c>
      <c r="R707" s="114">
        <v>17</v>
      </c>
      <c r="S707" s="129"/>
      <c r="T707" s="117">
        <f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17.492461538461537</v>
      </c>
      <c r="U707" s="117">
        <f>Lefty!T707</f>
        <v>18.89453846153846</v>
      </c>
    </row>
    <row r="708" spans="2:21">
      <c r="B708" s="114">
        <v>19</v>
      </c>
      <c r="C708" s="74">
        <f t="shared" si="389"/>
        <v>17.5</v>
      </c>
      <c r="D708" s="74">
        <f t="shared" si="390"/>
        <v>16</v>
      </c>
      <c r="E708" s="74">
        <f t="shared" si="391"/>
        <v>14.5</v>
      </c>
      <c r="F708" s="114">
        <v>13</v>
      </c>
      <c r="G708" s="74">
        <f t="shared" si="392"/>
        <v>11.5</v>
      </c>
      <c r="H708" s="74">
        <f t="shared" si="393"/>
        <v>10</v>
      </c>
      <c r="I708" s="74">
        <f t="shared" si="394"/>
        <v>8.5</v>
      </c>
      <c r="J708" s="114">
        <f t="shared" si="395"/>
        <v>7</v>
      </c>
      <c r="K708" s="74">
        <f t="shared" si="408"/>
        <v>5.875</v>
      </c>
      <c r="L708" s="114">
        <f t="shared" si="401"/>
        <v>4.75</v>
      </c>
      <c r="M708" s="115">
        <f t="shared" si="409"/>
        <v>6.7835000000000001</v>
      </c>
      <c r="N708" s="115">
        <f t="shared" si="410"/>
        <v>8.82925</v>
      </c>
      <c r="O708" s="74">
        <f t="shared" si="411"/>
        <v>10.875</v>
      </c>
      <c r="P708" s="74">
        <f t="shared" si="412"/>
        <v>12.9085</v>
      </c>
      <c r="Q708" s="74">
        <f t="shared" si="413"/>
        <v>14.942</v>
      </c>
      <c r="R708" s="114">
        <v>17</v>
      </c>
      <c r="S708" s="129"/>
      <c r="T708" s="117">
        <f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17.208661538461538</v>
      </c>
      <c r="U708" s="117">
        <f>Lefty!T708</f>
        <v>18.885738461538459</v>
      </c>
    </row>
    <row r="709" spans="2:21">
      <c r="B709" s="114">
        <v>20</v>
      </c>
      <c r="C709" s="74">
        <f t="shared" si="389"/>
        <v>18.25</v>
      </c>
      <c r="D709" s="74">
        <f t="shared" si="390"/>
        <v>16.5</v>
      </c>
      <c r="E709" s="74">
        <f t="shared" si="391"/>
        <v>14.75</v>
      </c>
      <c r="F709" s="114">
        <v>13</v>
      </c>
      <c r="G709" s="74">
        <f t="shared" si="392"/>
        <v>11.25</v>
      </c>
      <c r="H709" s="74">
        <f t="shared" si="393"/>
        <v>9.5</v>
      </c>
      <c r="I709" s="74">
        <f t="shared" si="394"/>
        <v>7.75</v>
      </c>
      <c r="J709" s="114">
        <f t="shared" si="395"/>
        <v>6</v>
      </c>
      <c r="K709" s="74">
        <f t="shared" si="408"/>
        <v>4.6875</v>
      </c>
      <c r="L709" s="114">
        <f t="shared" si="401"/>
        <v>3.375</v>
      </c>
      <c r="M709" s="115">
        <f t="shared" si="409"/>
        <v>5.6367500000000001</v>
      </c>
      <c r="N709" s="115">
        <f t="shared" si="410"/>
        <v>7.9121250000000005</v>
      </c>
      <c r="O709" s="74">
        <f t="shared" si="411"/>
        <v>10.1875</v>
      </c>
      <c r="P709" s="74">
        <f t="shared" si="412"/>
        <v>12.449250000000001</v>
      </c>
      <c r="Q709" s="74">
        <f t="shared" si="413"/>
        <v>14.711</v>
      </c>
      <c r="R709" s="114">
        <v>17</v>
      </c>
      <c r="S709" s="129"/>
      <c r="T709" s="117">
        <f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17.232861538461538</v>
      </c>
      <c r="U709" s="117">
        <f>Lefty!T709</f>
        <v>18.687738461538459</v>
      </c>
    </row>
    <row r="710" spans="2:21">
      <c r="B710" s="114">
        <v>21</v>
      </c>
      <c r="C710" s="74">
        <f t="shared" si="389"/>
        <v>19</v>
      </c>
      <c r="D710" s="74">
        <f t="shared" si="390"/>
        <v>17</v>
      </c>
      <c r="E710" s="74">
        <f t="shared" si="391"/>
        <v>15</v>
      </c>
      <c r="F710" s="114">
        <v>13</v>
      </c>
      <c r="G710" s="74">
        <f t="shared" si="392"/>
        <v>11</v>
      </c>
      <c r="H710" s="74">
        <f t="shared" si="393"/>
        <v>9</v>
      </c>
      <c r="I710" s="74">
        <f t="shared" si="394"/>
        <v>7</v>
      </c>
      <c r="J710" s="114">
        <f t="shared" si="395"/>
        <v>5</v>
      </c>
      <c r="K710" s="74">
        <f t="shared" si="408"/>
        <v>3.5</v>
      </c>
      <c r="L710" s="114">
        <f t="shared" si="401"/>
        <v>2</v>
      </c>
      <c r="M710" s="115">
        <f t="shared" si="409"/>
        <v>4.49</v>
      </c>
      <c r="N710" s="115">
        <f t="shared" si="410"/>
        <v>6.9950000000000001</v>
      </c>
      <c r="O710" s="74">
        <f t="shared" si="411"/>
        <v>9.5</v>
      </c>
      <c r="P710" s="74">
        <f t="shared" si="412"/>
        <v>11.99</v>
      </c>
      <c r="Q710" s="74">
        <f t="shared" si="413"/>
        <v>14.479999999999999</v>
      </c>
      <c r="R710" s="114">
        <v>17</v>
      </c>
      <c r="S710" s="129"/>
      <c r="T710" s="117">
        <f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17.303261538461538</v>
      </c>
      <c r="U710" s="117">
        <f>Lefty!T710</f>
        <v>18.192738461538461</v>
      </c>
    </row>
    <row r="711" spans="2:21">
      <c r="B711" s="114"/>
      <c r="C711" s="74"/>
      <c r="D711" s="74"/>
      <c r="E711" s="74"/>
      <c r="F711" s="114"/>
      <c r="G711" s="74"/>
      <c r="H711" s="74"/>
      <c r="I711" s="74"/>
      <c r="J711" s="114"/>
      <c r="K711" s="74"/>
      <c r="L711" s="114"/>
      <c r="M711" s="115"/>
      <c r="N711" s="115"/>
      <c r="O711" s="74"/>
      <c r="P711" s="74"/>
      <c r="Q711" s="74"/>
      <c r="R711" s="114"/>
      <c r="S711" s="129"/>
    </row>
    <row r="712" spans="2:21">
      <c r="B712" s="114">
        <v>13</v>
      </c>
      <c r="C712" s="74">
        <f t="shared" si="389"/>
        <v>13.25</v>
      </c>
      <c r="D712" s="74">
        <f t="shared" si="390"/>
        <v>13.5</v>
      </c>
      <c r="E712" s="74">
        <f t="shared" si="391"/>
        <v>13.75</v>
      </c>
      <c r="F712" s="114">
        <v>14</v>
      </c>
      <c r="G712" s="74">
        <f t="shared" si="392"/>
        <v>14.25</v>
      </c>
      <c r="H712" s="74">
        <f t="shared" si="393"/>
        <v>14.5</v>
      </c>
      <c r="I712" s="74">
        <f t="shared" si="394"/>
        <v>14.75</v>
      </c>
      <c r="J712" s="114">
        <f t="shared" si="395"/>
        <v>15</v>
      </c>
      <c r="K712" s="74">
        <f t="shared" ref="K712:K722" si="414">SUM(0.5*(L712-J712),J712)</f>
        <v>15.25</v>
      </c>
      <c r="L712" s="114">
        <f>SUM(J712,J712,-H712)</f>
        <v>15.5</v>
      </c>
      <c r="M712" s="115">
        <f t="shared" ref="M712:M722" si="415">SUM(0.166*(R712-L712),L712)</f>
        <v>15.749000000000001</v>
      </c>
      <c r="N712" s="115">
        <f t="shared" ref="N712:N722" si="416">SUM(0.333*(R712-L712),L712)</f>
        <v>15.999499999999999</v>
      </c>
      <c r="O712" s="74">
        <f t="shared" ref="O712:O722" si="417">SUM(0.5*(R712-L712),L712)</f>
        <v>16.25</v>
      </c>
      <c r="P712" s="74">
        <f t="shared" ref="P712:P722" si="418">SUM(0.666*(R712-L712),L712)</f>
        <v>16.498999999999999</v>
      </c>
      <c r="Q712" s="74">
        <f t="shared" ref="Q712:Q722" si="419">SUM(0.832*(R712-L712),L712)</f>
        <v>16.748000000000001</v>
      </c>
      <c r="R712" s="114">
        <v>17</v>
      </c>
      <c r="S712" s="129"/>
      <c r="T712" s="117">
        <f>SUM((CD20+CC19+CC18+CB17+CB16+CA15+CA14+BZ13+BZ12+BY11+BY10+BX9+BX8+BW7+BW6+BV5+BV4)*-0.132,17)</f>
        <v>16.74446153846154</v>
      </c>
      <c r="U712" s="117">
        <f>Lefty!T712</f>
        <v>18.17953846153846</v>
      </c>
    </row>
    <row r="713" spans="2:21">
      <c r="B713" s="114">
        <v>14</v>
      </c>
      <c r="C713" s="74">
        <f t="shared" si="389"/>
        <v>14</v>
      </c>
      <c r="D713" s="74">
        <f t="shared" si="390"/>
        <v>14</v>
      </c>
      <c r="E713" s="74">
        <f t="shared" si="391"/>
        <v>14</v>
      </c>
      <c r="F713" s="114">
        <v>14</v>
      </c>
      <c r="G713" s="74">
        <f t="shared" si="392"/>
        <v>14</v>
      </c>
      <c r="H713" s="74">
        <f t="shared" si="393"/>
        <v>14</v>
      </c>
      <c r="I713" s="74">
        <f t="shared" si="394"/>
        <v>14</v>
      </c>
      <c r="J713" s="114">
        <f t="shared" si="395"/>
        <v>14</v>
      </c>
      <c r="K713" s="74">
        <f t="shared" si="414"/>
        <v>14.15</v>
      </c>
      <c r="L713" s="114">
        <f>SUM(J713,J713,-H713,0.25*ABS(J713-H713),0.1*(17-F713))</f>
        <v>14.3</v>
      </c>
      <c r="M713" s="115">
        <f t="shared" si="415"/>
        <v>14.748200000000001</v>
      </c>
      <c r="N713" s="115">
        <f t="shared" si="416"/>
        <v>15.199100000000001</v>
      </c>
      <c r="O713" s="74">
        <f t="shared" si="417"/>
        <v>15.65</v>
      </c>
      <c r="P713" s="74">
        <f t="shared" si="418"/>
        <v>16.098199999999999</v>
      </c>
      <c r="Q713" s="74">
        <f t="shared" si="419"/>
        <v>16.546399999999998</v>
      </c>
      <c r="R713" s="114">
        <v>17</v>
      </c>
      <c r="S713" s="129"/>
      <c r="T713" s="117">
        <f>SUM((CB20+CB19+CB18+CB17+CB16+CB15+CB14+CB13+CB12+CA11+CA10+BZ9+BY8+BX7+BW6+BV5+BV4)*-0.132,17)</f>
        <v>17.272461538461538</v>
      </c>
      <c r="U713" s="117">
        <f>Lefty!T713</f>
        <v>19.895538461538461</v>
      </c>
    </row>
    <row r="714" spans="2:21">
      <c r="B714" s="114">
        <v>15</v>
      </c>
      <c r="C714" s="74">
        <f t="shared" si="389"/>
        <v>14.75</v>
      </c>
      <c r="D714" s="74">
        <f t="shared" si="390"/>
        <v>14.5</v>
      </c>
      <c r="E714" s="74">
        <f t="shared" si="391"/>
        <v>14.25</v>
      </c>
      <c r="F714" s="114">
        <v>14</v>
      </c>
      <c r="G714" s="74">
        <f t="shared" si="392"/>
        <v>13.75</v>
      </c>
      <c r="H714" s="74">
        <f t="shared" si="393"/>
        <v>13.5</v>
      </c>
      <c r="I714" s="74">
        <f t="shared" si="394"/>
        <v>13.25</v>
      </c>
      <c r="J714" s="114">
        <f t="shared" si="395"/>
        <v>13</v>
      </c>
      <c r="K714" s="74">
        <f t="shared" si="414"/>
        <v>12.8125</v>
      </c>
      <c r="L714" s="114">
        <f t="shared" si="401"/>
        <v>12.625</v>
      </c>
      <c r="M714" s="115">
        <f t="shared" si="415"/>
        <v>13.35125</v>
      </c>
      <c r="N714" s="115">
        <f t="shared" si="416"/>
        <v>14.081875</v>
      </c>
      <c r="O714" s="74">
        <f t="shared" si="417"/>
        <v>14.8125</v>
      </c>
      <c r="P714" s="74">
        <f t="shared" si="418"/>
        <v>15.53875</v>
      </c>
      <c r="Q714" s="74">
        <f t="shared" si="419"/>
        <v>16.265000000000001</v>
      </c>
      <c r="R714" s="114">
        <v>17</v>
      </c>
      <c r="S714" s="129"/>
      <c r="T714" s="117">
        <f>SUM((BZ20+CA19+CA18+CB17+CB16+CC15+CC14+CD13+CD12+CE11+CE10+BX6+BW5+BV4)*-0.132,(CD9+CC9+CB8+CA8+BZ7+BY7)*-0.132/2,17)</f>
        <v>16.612461538461538</v>
      </c>
      <c r="U714" s="117">
        <f>Lefty!T714</f>
        <v>19.235538461538461</v>
      </c>
    </row>
    <row r="715" spans="2:21">
      <c r="B715" s="114">
        <v>16</v>
      </c>
      <c r="C715" s="74">
        <f t="shared" si="389"/>
        <v>15.5</v>
      </c>
      <c r="D715" s="74">
        <f t="shared" si="390"/>
        <v>15</v>
      </c>
      <c r="E715" s="74">
        <f t="shared" si="391"/>
        <v>14.5</v>
      </c>
      <c r="F715" s="114">
        <v>14</v>
      </c>
      <c r="G715" s="74">
        <f t="shared" si="392"/>
        <v>13.5</v>
      </c>
      <c r="H715" s="74">
        <f t="shared" si="393"/>
        <v>13</v>
      </c>
      <c r="I715" s="74">
        <f t="shared" si="394"/>
        <v>12.5</v>
      </c>
      <c r="J715" s="114">
        <f t="shared" si="395"/>
        <v>12</v>
      </c>
      <c r="K715" s="74">
        <f t="shared" si="414"/>
        <v>11.625</v>
      </c>
      <c r="L715" s="114">
        <f t="shared" si="401"/>
        <v>11.25</v>
      </c>
      <c r="M715" s="115">
        <f t="shared" si="415"/>
        <v>12.204499999999999</v>
      </c>
      <c r="N715" s="115">
        <f t="shared" si="416"/>
        <v>13.16475</v>
      </c>
      <c r="O715" s="74">
        <f t="shared" si="417"/>
        <v>14.125</v>
      </c>
      <c r="P715" s="74">
        <f t="shared" si="418"/>
        <v>15.079499999999999</v>
      </c>
      <c r="Q715" s="74">
        <f t="shared" si="419"/>
        <v>16.033999999999999</v>
      </c>
      <c r="R715" s="114">
        <v>17</v>
      </c>
      <c r="S715" s="129"/>
      <c r="T715" s="117">
        <f>SUM((BX20+BY19+BZ18+CA17+CB16+CC15+CD14+CE13+CF12+CG11+CG10+BV4)*-0.132,(CF9+CE9+CD8+CC8+CB7+CA7+BZ6+BY6+BX5+BW5)*-0.132/2,17)</f>
        <v>17.40446153846154</v>
      </c>
      <c r="U715" s="117">
        <f>Lefty!T715</f>
        <v>19.433538461538461</v>
      </c>
    </row>
    <row r="716" spans="2:21">
      <c r="B716" s="114">
        <v>17</v>
      </c>
      <c r="C716" s="74">
        <f t="shared" si="389"/>
        <v>16.25</v>
      </c>
      <c r="D716" s="74">
        <f t="shared" si="390"/>
        <v>15.5</v>
      </c>
      <c r="E716" s="74">
        <f t="shared" si="391"/>
        <v>14.75</v>
      </c>
      <c r="F716" s="114">
        <v>14</v>
      </c>
      <c r="G716" s="74">
        <f t="shared" si="392"/>
        <v>13.25</v>
      </c>
      <c r="H716" s="74">
        <f t="shared" si="393"/>
        <v>12.5</v>
      </c>
      <c r="I716" s="74">
        <f t="shared" si="394"/>
        <v>11.75</v>
      </c>
      <c r="J716" s="114">
        <f t="shared" si="395"/>
        <v>11</v>
      </c>
      <c r="K716" s="74">
        <f t="shared" si="414"/>
        <v>10.4375</v>
      </c>
      <c r="L716" s="114">
        <f t="shared" si="401"/>
        <v>9.875</v>
      </c>
      <c r="M716" s="115">
        <f t="shared" si="415"/>
        <v>11.05775</v>
      </c>
      <c r="N716" s="115">
        <f t="shared" si="416"/>
        <v>12.247624999999999</v>
      </c>
      <c r="O716" s="74">
        <f t="shared" si="417"/>
        <v>13.4375</v>
      </c>
      <c r="P716" s="74">
        <f t="shared" si="418"/>
        <v>14.62025</v>
      </c>
      <c r="Q716" s="74">
        <f t="shared" si="419"/>
        <v>15.803000000000001</v>
      </c>
      <c r="R716" s="114">
        <v>17</v>
      </c>
      <c r="S716" s="129"/>
      <c r="T716" s="117">
        <f>SUM((BV20+BY18+CB16+CE14+CH12+CI11+CJ10)*-0.132,(BW19+BX19+BZ17+CA17+CC15+CD15+CF13+CG13+CC7+CB7+CA6+BZ6+BY5+BX5+BW4+BV4)*-0.132/2,(CI9+CH9+CG9+CF8+CE8+CD8)*-0.132/3,17)</f>
        <v>17.470461538461539</v>
      </c>
      <c r="U716" s="117">
        <f>Lefty!T716</f>
        <v>18.927538461538461</v>
      </c>
    </row>
    <row r="717" spans="2:21">
      <c r="B717" s="114">
        <v>18</v>
      </c>
      <c r="C717" s="74">
        <f t="shared" si="389"/>
        <v>17</v>
      </c>
      <c r="D717" s="74">
        <f t="shared" si="390"/>
        <v>16</v>
      </c>
      <c r="E717" s="74">
        <f t="shared" si="391"/>
        <v>15</v>
      </c>
      <c r="F717" s="114">
        <v>14</v>
      </c>
      <c r="G717" s="74">
        <f t="shared" si="392"/>
        <v>13</v>
      </c>
      <c r="H717" s="74">
        <f t="shared" si="393"/>
        <v>12</v>
      </c>
      <c r="I717" s="74">
        <f t="shared" si="394"/>
        <v>11</v>
      </c>
      <c r="J717" s="114">
        <f t="shared" si="395"/>
        <v>10</v>
      </c>
      <c r="K717" s="74">
        <f t="shared" si="414"/>
        <v>9.25</v>
      </c>
      <c r="L717" s="114">
        <f t="shared" si="401"/>
        <v>8.5</v>
      </c>
      <c r="M717" s="115">
        <f t="shared" si="415"/>
        <v>9.9109999999999996</v>
      </c>
      <c r="N717" s="115">
        <f t="shared" si="416"/>
        <v>11.330500000000001</v>
      </c>
      <c r="O717" s="74">
        <f t="shared" si="417"/>
        <v>12.75</v>
      </c>
      <c r="P717" s="74">
        <f t="shared" si="418"/>
        <v>14.161000000000001</v>
      </c>
      <c r="Q717" s="74">
        <f t="shared" si="419"/>
        <v>15.571999999999999</v>
      </c>
      <c r="R717" s="114">
        <v>17</v>
      </c>
      <c r="S717" s="129"/>
      <c r="T717" s="117">
        <f>SUM((BU19+BV19+BW18+BX18+BY17+BZ17+CA16+CB16+CC15+CD15+CE14+CF14+CG13+CH13+CI12+CJ12+CK11+CL11)*-0.132/2,(BT20+CM10)*-0.132,(CL9+CK9+CJ9+CI8+CH8+CG8+CF7+CE7+CD7+CC6+CB6+CA6+BZ5+BY5+BX5)*-0.132/3,(BW4+BV4)*-0.132/2,17)</f>
        <v>17.40446153846154</v>
      </c>
      <c r="U717" s="117">
        <f>Lefty!T717</f>
        <v>18.751538461538459</v>
      </c>
    </row>
    <row r="718" spans="2:21">
      <c r="B718" s="114">
        <v>19</v>
      </c>
      <c r="C718" s="74">
        <f t="shared" si="389"/>
        <v>17.75</v>
      </c>
      <c r="D718" s="74">
        <f t="shared" si="390"/>
        <v>16.5</v>
      </c>
      <c r="E718" s="74">
        <f t="shared" si="391"/>
        <v>15.25</v>
      </c>
      <c r="F718" s="114">
        <v>14</v>
      </c>
      <c r="G718" s="74">
        <f t="shared" si="392"/>
        <v>12.75</v>
      </c>
      <c r="H718" s="74">
        <f t="shared" si="393"/>
        <v>11.5</v>
      </c>
      <c r="I718" s="74">
        <f t="shared" si="394"/>
        <v>10.25</v>
      </c>
      <c r="J718" s="114">
        <f t="shared" si="395"/>
        <v>9</v>
      </c>
      <c r="K718" s="74">
        <f t="shared" si="414"/>
        <v>8.0625</v>
      </c>
      <c r="L718" s="114">
        <f t="shared" si="401"/>
        <v>7.125</v>
      </c>
      <c r="M718" s="115">
        <f t="shared" si="415"/>
        <v>8.7642500000000005</v>
      </c>
      <c r="N718" s="115">
        <f t="shared" si="416"/>
        <v>10.413375</v>
      </c>
      <c r="O718" s="74">
        <f t="shared" si="417"/>
        <v>12.0625</v>
      </c>
      <c r="P718" s="74">
        <f t="shared" si="418"/>
        <v>13.701750000000001</v>
      </c>
      <c r="Q718" s="74">
        <f t="shared" si="419"/>
        <v>15.340999999999999</v>
      </c>
      <c r="R718" s="114">
        <v>17</v>
      </c>
      <c r="S718" s="129"/>
      <c r="T718" s="117">
        <f>SUM((BR20+BS20+BT19+BU19+BY17+BZ17+CA16+CB16+CF14+CG14+CK12+CL12+CM11+CN11+CO10+CP10)*-0.132/2,(BV18+BW18+BX18+CC15+CD15+CE15+CH13+CI13+CJ13+CG7+CF7+CE7+CD6+CC6+CB6+CA5+BZ5+BY5+BX4+BW4+BV4)*-0.132/3,(CO9+CN9++CM9+CL9+CK8+CJ8+CI8+CH8)*-0.132/4,17)</f>
        <v>17.459461538461539</v>
      </c>
      <c r="U718" s="117">
        <f>Lefty!T718</f>
        <v>18.83953846153846</v>
      </c>
    </row>
    <row r="719" spans="2:21">
      <c r="B719" s="114">
        <v>20</v>
      </c>
      <c r="C719" s="74">
        <f t="shared" si="389"/>
        <v>18.5</v>
      </c>
      <c r="D719" s="74">
        <f t="shared" si="390"/>
        <v>17</v>
      </c>
      <c r="E719" s="74">
        <f t="shared" si="391"/>
        <v>15.5</v>
      </c>
      <c r="F719" s="114">
        <v>14</v>
      </c>
      <c r="G719" s="74">
        <f t="shared" si="392"/>
        <v>12.5</v>
      </c>
      <c r="H719" s="74">
        <f t="shared" si="393"/>
        <v>11</v>
      </c>
      <c r="I719" s="74">
        <f t="shared" si="394"/>
        <v>9.5</v>
      </c>
      <c r="J719" s="114">
        <f t="shared" si="395"/>
        <v>8</v>
      </c>
      <c r="K719" s="74">
        <f t="shared" si="414"/>
        <v>6.875</v>
      </c>
      <c r="L719" s="114">
        <f t="shared" si="401"/>
        <v>5.75</v>
      </c>
      <c r="M719" s="115">
        <f t="shared" si="415"/>
        <v>7.6174999999999997</v>
      </c>
      <c r="N719" s="115">
        <f t="shared" si="416"/>
        <v>9.4962499999999999</v>
      </c>
      <c r="O719" s="74">
        <f t="shared" si="417"/>
        <v>11.375</v>
      </c>
      <c r="P719" s="74">
        <f t="shared" si="418"/>
        <v>13.2425</v>
      </c>
      <c r="Q719" s="74">
        <f t="shared" si="419"/>
        <v>15.11</v>
      </c>
      <c r="R719" s="114">
        <v>17</v>
      </c>
      <c r="S719" s="129"/>
      <c r="T719" s="117">
        <f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17.206461538461539</v>
      </c>
      <c r="U719" s="117">
        <f>Lefty!T719</f>
        <v>18.48753846153846</v>
      </c>
    </row>
    <row r="720" spans="2:21">
      <c r="B720" s="114">
        <v>21</v>
      </c>
      <c r="C720" s="74">
        <f t="shared" si="389"/>
        <v>19.25</v>
      </c>
      <c r="D720" s="74">
        <f t="shared" si="390"/>
        <v>17.5</v>
      </c>
      <c r="E720" s="74">
        <f t="shared" si="391"/>
        <v>15.75</v>
      </c>
      <c r="F720" s="114">
        <v>14</v>
      </c>
      <c r="G720" s="74">
        <f t="shared" si="392"/>
        <v>12.25</v>
      </c>
      <c r="H720" s="74">
        <f t="shared" si="393"/>
        <v>10.5</v>
      </c>
      <c r="I720" s="74">
        <f t="shared" si="394"/>
        <v>8.75</v>
      </c>
      <c r="J720" s="114">
        <f t="shared" si="395"/>
        <v>7</v>
      </c>
      <c r="K720" s="74">
        <f t="shared" si="414"/>
        <v>5.6875</v>
      </c>
      <c r="L720" s="114">
        <f t="shared" si="401"/>
        <v>4.375</v>
      </c>
      <c r="M720" s="115">
        <f t="shared" si="415"/>
        <v>6.4707500000000007</v>
      </c>
      <c r="N720" s="115">
        <f t="shared" si="416"/>
        <v>8.5791250000000012</v>
      </c>
      <c r="O720" s="74">
        <f t="shared" si="417"/>
        <v>10.6875</v>
      </c>
      <c r="P720" s="74">
        <f t="shared" si="418"/>
        <v>12.783250000000001</v>
      </c>
      <c r="Q720" s="74">
        <f t="shared" si="419"/>
        <v>14.879</v>
      </c>
      <c r="R720" s="114">
        <v>17</v>
      </c>
      <c r="S720" s="129"/>
      <c r="T720" s="117">
        <f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16.856661538461537</v>
      </c>
      <c r="U720" s="117">
        <f>Lefty!T720</f>
        <v>18.500738461538461</v>
      </c>
    </row>
    <row r="721" spans="2:21">
      <c r="B721" s="114">
        <v>22</v>
      </c>
      <c r="C721" s="74">
        <f t="shared" si="389"/>
        <v>20</v>
      </c>
      <c r="D721" s="74">
        <f t="shared" si="390"/>
        <v>18</v>
      </c>
      <c r="E721" s="74">
        <f t="shared" si="391"/>
        <v>16</v>
      </c>
      <c r="F721" s="114">
        <v>14</v>
      </c>
      <c r="G721" s="74">
        <f t="shared" si="392"/>
        <v>12</v>
      </c>
      <c r="H721" s="74">
        <f t="shared" si="393"/>
        <v>10</v>
      </c>
      <c r="I721" s="74">
        <f t="shared" si="394"/>
        <v>8</v>
      </c>
      <c r="J721" s="114">
        <f t="shared" si="395"/>
        <v>6</v>
      </c>
      <c r="K721" s="74">
        <f t="shared" si="414"/>
        <v>4.5</v>
      </c>
      <c r="L721" s="114">
        <f t="shared" si="401"/>
        <v>3</v>
      </c>
      <c r="M721" s="115">
        <f t="shared" si="415"/>
        <v>5.3239999999999998</v>
      </c>
      <c r="N721" s="115">
        <f t="shared" si="416"/>
        <v>7.6619999999999999</v>
      </c>
      <c r="O721" s="74">
        <f t="shared" si="417"/>
        <v>10</v>
      </c>
      <c r="P721" s="74">
        <f t="shared" si="418"/>
        <v>12.324</v>
      </c>
      <c r="Q721" s="74">
        <f t="shared" si="419"/>
        <v>14.648</v>
      </c>
      <c r="R721" s="114">
        <v>17</v>
      </c>
      <c r="S721" s="129"/>
      <c r="T721" s="117">
        <f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16.97766153846154</v>
      </c>
      <c r="U721" s="117">
        <f>Lefty!T721</f>
        <v>18.192738461538461</v>
      </c>
    </row>
    <row r="722" spans="2:21">
      <c r="B722" s="114">
        <v>23</v>
      </c>
      <c r="C722" s="74">
        <f t="shared" si="389"/>
        <v>20.75</v>
      </c>
      <c r="D722" s="74">
        <f t="shared" si="390"/>
        <v>18.5</v>
      </c>
      <c r="E722" s="74">
        <f t="shared" si="391"/>
        <v>16.25</v>
      </c>
      <c r="F722" s="114">
        <v>14</v>
      </c>
      <c r="G722" s="74">
        <f t="shared" si="392"/>
        <v>11.75</v>
      </c>
      <c r="H722" s="74">
        <f t="shared" si="393"/>
        <v>9.5</v>
      </c>
      <c r="I722" s="74">
        <f t="shared" si="394"/>
        <v>7.25</v>
      </c>
      <c r="J722" s="114">
        <f t="shared" si="395"/>
        <v>5</v>
      </c>
      <c r="K722" s="74">
        <f t="shared" si="414"/>
        <v>3.3125</v>
      </c>
      <c r="L722" s="114">
        <f t="shared" si="401"/>
        <v>1.625</v>
      </c>
      <c r="M722" s="115">
        <f t="shared" si="415"/>
        <v>4.1772500000000008</v>
      </c>
      <c r="N722" s="115">
        <f t="shared" si="416"/>
        <v>6.7448750000000004</v>
      </c>
      <c r="O722" s="74">
        <f t="shared" si="417"/>
        <v>9.3125</v>
      </c>
      <c r="P722" s="74">
        <f t="shared" si="418"/>
        <v>11.864750000000001</v>
      </c>
      <c r="Q722" s="74">
        <f t="shared" si="419"/>
        <v>14.417</v>
      </c>
      <c r="R722" s="114">
        <v>17</v>
      </c>
      <c r="S722" s="129"/>
      <c r="T722" s="117">
        <f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17.01726153846154</v>
      </c>
      <c r="U722" s="117">
        <f>Lefty!T722</f>
        <v>17.937538461538463</v>
      </c>
    </row>
    <row r="723" spans="2:21">
      <c r="B723" s="114"/>
      <c r="C723" s="74"/>
      <c r="D723" s="74"/>
      <c r="E723" s="74"/>
      <c r="F723" s="114"/>
      <c r="G723" s="74"/>
      <c r="H723" s="74"/>
      <c r="I723" s="74"/>
      <c r="J723" s="114"/>
      <c r="K723" s="74"/>
      <c r="L723" s="114"/>
      <c r="M723" s="115"/>
      <c r="N723" s="115"/>
      <c r="O723" s="74"/>
      <c r="P723" s="74"/>
      <c r="Q723" s="74"/>
      <c r="R723" s="114"/>
      <c r="S723" s="129"/>
    </row>
    <row r="724" spans="2:21">
      <c r="B724" s="114">
        <v>15</v>
      </c>
      <c r="C724" s="74">
        <f t="shared" si="389"/>
        <v>15</v>
      </c>
      <c r="D724" s="74">
        <f t="shared" si="390"/>
        <v>15</v>
      </c>
      <c r="E724" s="74">
        <f t="shared" si="391"/>
        <v>15</v>
      </c>
      <c r="F724" s="114">
        <v>15</v>
      </c>
      <c r="G724" s="74">
        <f t="shared" si="392"/>
        <v>15</v>
      </c>
      <c r="H724" s="74">
        <f t="shared" si="393"/>
        <v>15</v>
      </c>
      <c r="I724" s="74">
        <f t="shared" si="394"/>
        <v>15</v>
      </c>
      <c r="J724" s="114">
        <f t="shared" si="395"/>
        <v>15</v>
      </c>
      <c r="K724" s="74">
        <f t="shared" ref="K724:K734" si="420">SUM(0.5*(L724-J724),J724)</f>
        <v>15.1</v>
      </c>
      <c r="L724" s="114">
        <f>SUM(J724,J724,-H724,0.25*ABS(J724-H724),0.1*(17-F724))</f>
        <v>15.2</v>
      </c>
      <c r="M724" s="115">
        <f t="shared" ref="M724:M734" si="421">SUM(0.166*(R724-L724),L724)</f>
        <v>15.498799999999999</v>
      </c>
      <c r="N724" s="115">
        <f t="shared" ref="N724:N734" si="422">SUM(0.333*(R724-L724),L724)</f>
        <v>15.7994</v>
      </c>
      <c r="O724" s="74">
        <f t="shared" ref="O724:O734" si="423">SUM(0.5*(R724-L724),L724)</f>
        <v>16.100000000000001</v>
      </c>
      <c r="P724" s="74">
        <f t="shared" ref="P724:P734" si="424">SUM(0.666*(R724-L724),L724)</f>
        <v>16.398800000000001</v>
      </c>
      <c r="Q724" s="74">
        <f t="shared" ref="Q724:Q734" si="425">SUM(0.832*(R724-L724),L724)</f>
        <v>16.697600000000001</v>
      </c>
      <c r="R724" s="114">
        <v>17</v>
      </c>
      <c r="S724" s="129"/>
      <c r="T724" s="117">
        <f>SUM((BZ20+BZ19+BZ18+BZ17+BZ16+BZ15+BZ14+BZ13+BZ12+BZ11+BZ10+BY9+BX8+BW7+BW6+BV5+BV4)*-0.132,17)</f>
        <v>16.612461538461538</v>
      </c>
      <c r="U724" s="117">
        <f>Lefty!T724</f>
        <v>18.443538461538463</v>
      </c>
    </row>
    <row r="725" spans="2:21">
      <c r="B725" s="114">
        <v>16</v>
      </c>
      <c r="C725" s="74">
        <f t="shared" si="389"/>
        <v>15.75</v>
      </c>
      <c r="D725" s="74">
        <f t="shared" si="390"/>
        <v>15.5</v>
      </c>
      <c r="E725" s="74">
        <f t="shared" si="391"/>
        <v>15.25</v>
      </c>
      <c r="F725" s="114">
        <v>15</v>
      </c>
      <c r="G725" s="74">
        <f t="shared" si="392"/>
        <v>14.75</v>
      </c>
      <c r="H725" s="74">
        <f t="shared" si="393"/>
        <v>14.5</v>
      </c>
      <c r="I725" s="74">
        <f t="shared" si="394"/>
        <v>14.25</v>
      </c>
      <c r="J725" s="114">
        <f t="shared" si="395"/>
        <v>14</v>
      </c>
      <c r="K725" s="74">
        <f t="shared" si="420"/>
        <v>13.8125</v>
      </c>
      <c r="L725" s="114">
        <f t="shared" si="401"/>
        <v>13.625</v>
      </c>
      <c r="M725" s="115">
        <f t="shared" si="421"/>
        <v>14.18525</v>
      </c>
      <c r="N725" s="115">
        <f t="shared" si="422"/>
        <v>14.748875</v>
      </c>
      <c r="O725" s="74">
        <f t="shared" si="423"/>
        <v>15.3125</v>
      </c>
      <c r="P725" s="74">
        <f t="shared" si="424"/>
        <v>15.87275</v>
      </c>
      <c r="Q725" s="74">
        <f t="shared" si="425"/>
        <v>16.433</v>
      </c>
      <c r="R725" s="114">
        <v>17</v>
      </c>
      <c r="S725" s="129"/>
      <c r="T725" s="117">
        <f>SUM((BX20+BY19+BY18+BZ17+BZ16+CA15+CA14+CB13+CB12+CC11+CC10+BZ8+BY7+BX6+BW5+BV4)*-0.132,(CB9+CA9)*-0.132/2,17)</f>
        <v>16.810461538461539</v>
      </c>
      <c r="U725" s="117">
        <f>Lefty!T725</f>
        <v>19.103538461538463</v>
      </c>
    </row>
    <row r="726" spans="2:21">
      <c r="B726" s="114">
        <v>17</v>
      </c>
      <c r="C726" s="74">
        <f t="shared" si="389"/>
        <v>16.5</v>
      </c>
      <c r="D726" s="74">
        <f t="shared" si="390"/>
        <v>16</v>
      </c>
      <c r="E726" s="74">
        <f t="shared" si="391"/>
        <v>15.5</v>
      </c>
      <c r="F726" s="114">
        <v>15</v>
      </c>
      <c r="G726" s="74">
        <f t="shared" si="392"/>
        <v>14.5</v>
      </c>
      <c r="H726" s="74">
        <f t="shared" si="393"/>
        <v>14</v>
      </c>
      <c r="I726" s="74">
        <f t="shared" si="394"/>
        <v>13.5</v>
      </c>
      <c r="J726" s="114">
        <f t="shared" si="395"/>
        <v>13</v>
      </c>
      <c r="K726" s="74">
        <f t="shared" si="420"/>
        <v>12.625</v>
      </c>
      <c r="L726" s="114">
        <f t="shared" si="401"/>
        <v>12.25</v>
      </c>
      <c r="M726" s="115">
        <f t="shared" si="421"/>
        <v>13.038500000000001</v>
      </c>
      <c r="N726" s="115">
        <f t="shared" si="422"/>
        <v>13.83175</v>
      </c>
      <c r="O726" s="74">
        <f t="shared" si="423"/>
        <v>14.625</v>
      </c>
      <c r="P726" s="74">
        <f t="shared" si="424"/>
        <v>15.413499999999999</v>
      </c>
      <c r="Q726" s="74">
        <f t="shared" si="425"/>
        <v>16.201999999999998</v>
      </c>
      <c r="R726" s="114">
        <v>17</v>
      </c>
      <c r="S726" s="129"/>
      <c r="T726" s="117">
        <f>SUM((BV20+BW19+BX18+BY17+BZ16+CA15+CB14+CC13+CD12+CE11+CE10+BX6+BW5+BV4)*-0.132,(CD9+CC9+CB8+CA8+BZ7+BY7)*-0.132/2,17)</f>
        <v>16.612461538461538</v>
      </c>
      <c r="U726" s="117">
        <f>Lefty!T726</f>
        <v>19.235538461538461</v>
      </c>
    </row>
    <row r="727" spans="2:21">
      <c r="B727" s="114">
        <v>18</v>
      </c>
      <c r="C727" s="74">
        <f t="shared" si="389"/>
        <v>17.25</v>
      </c>
      <c r="D727" s="74">
        <f t="shared" si="390"/>
        <v>16.5</v>
      </c>
      <c r="E727" s="74">
        <f t="shared" si="391"/>
        <v>15.75</v>
      </c>
      <c r="F727" s="114">
        <v>15</v>
      </c>
      <c r="G727" s="74">
        <f t="shared" si="392"/>
        <v>14.25</v>
      </c>
      <c r="H727" s="74">
        <f t="shared" si="393"/>
        <v>13.5</v>
      </c>
      <c r="I727" s="74">
        <f t="shared" si="394"/>
        <v>12.75</v>
      </c>
      <c r="J727" s="114">
        <f t="shared" si="395"/>
        <v>12</v>
      </c>
      <c r="K727" s="74">
        <f t="shared" si="420"/>
        <v>11.4375</v>
      </c>
      <c r="L727" s="114">
        <f t="shared" si="401"/>
        <v>10.875</v>
      </c>
      <c r="M727" s="115">
        <f t="shared" si="421"/>
        <v>11.89175</v>
      </c>
      <c r="N727" s="115">
        <f t="shared" si="422"/>
        <v>12.914625000000001</v>
      </c>
      <c r="O727" s="74">
        <f t="shared" si="423"/>
        <v>13.9375</v>
      </c>
      <c r="P727" s="74">
        <f t="shared" si="424"/>
        <v>14.95425</v>
      </c>
      <c r="Q727" s="74">
        <f t="shared" si="425"/>
        <v>15.971</v>
      </c>
      <c r="R727" s="114">
        <v>17</v>
      </c>
      <c r="S727" s="129"/>
      <c r="T727" s="117">
        <f>SUM((BT20+BW18+BZ16+CC14+CF12+CG11+CH10)*-0.132,(BU19+BV19+BX17+BY17+CA15+CB15+CD13+CE13+CG9+CF9+CE8+CD8+CC7+CB7+CA6+BZ6+BY5+BX5+BW4+BV4)*-0.132/2,17)</f>
        <v>16.94246153846154</v>
      </c>
      <c r="U727" s="117">
        <f>Lefty!T727</f>
        <v>18.707538461538462</v>
      </c>
    </row>
    <row r="728" spans="2:21">
      <c r="B728" s="114">
        <v>19</v>
      </c>
      <c r="C728" s="74">
        <f t="shared" si="389"/>
        <v>18</v>
      </c>
      <c r="D728" s="74">
        <f t="shared" si="390"/>
        <v>17</v>
      </c>
      <c r="E728" s="74">
        <f t="shared" si="391"/>
        <v>16</v>
      </c>
      <c r="F728" s="114">
        <v>15</v>
      </c>
      <c r="G728" s="74">
        <f t="shared" si="392"/>
        <v>14</v>
      </c>
      <c r="H728" s="74">
        <f t="shared" si="393"/>
        <v>13</v>
      </c>
      <c r="I728" s="74">
        <f t="shared" si="394"/>
        <v>12</v>
      </c>
      <c r="J728" s="114">
        <f t="shared" si="395"/>
        <v>11</v>
      </c>
      <c r="K728" s="74">
        <f t="shared" si="420"/>
        <v>10.25</v>
      </c>
      <c r="L728" s="114">
        <f t="shared" si="401"/>
        <v>9.5</v>
      </c>
      <c r="M728" s="115">
        <f t="shared" si="421"/>
        <v>10.745000000000001</v>
      </c>
      <c r="N728" s="115">
        <f t="shared" si="422"/>
        <v>11.9975</v>
      </c>
      <c r="O728" s="74">
        <f t="shared" si="423"/>
        <v>13.25</v>
      </c>
      <c r="P728" s="74">
        <f t="shared" si="424"/>
        <v>14.495000000000001</v>
      </c>
      <c r="Q728" s="74">
        <f t="shared" si="425"/>
        <v>15.739999999999998</v>
      </c>
      <c r="R728" s="114">
        <v>17</v>
      </c>
      <c r="S728" s="129"/>
      <c r="T728" s="117">
        <f>SUM((BS19+BT19+BU18+BV18+BW17+BX17+BY16+BZ16+CA15+CB15+CC14+CD14+CE13+CF13+CG12+CH12+CI11+CJ11)*-0.132/2,(BR20+CK10)*-0.132,(CJ9+CI9+CH9+CG8+CF8+CE8+CD7+CC7+CB7)*-0.132/3,(CA6+BZ6+BY5+BX5+BW4+BV4)*-0.132/2,17)</f>
        <v>16.89846153846154</v>
      </c>
      <c r="U728" s="117">
        <f>Lefty!T728</f>
        <v>19.103538461538459</v>
      </c>
    </row>
    <row r="729" spans="2:21">
      <c r="B729" s="114">
        <v>20</v>
      </c>
      <c r="C729" s="74">
        <f t="shared" si="389"/>
        <v>18.75</v>
      </c>
      <c r="D729" s="74">
        <f t="shared" si="390"/>
        <v>17.5</v>
      </c>
      <c r="E729" s="74">
        <f t="shared" si="391"/>
        <v>16.25</v>
      </c>
      <c r="F729" s="114">
        <v>15</v>
      </c>
      <c r="G729" s="74">
        <f t="shared" si="392"/>
        <v>13.75</v>
      </c>
      <c r="H729" s="74">
        <f t="shared" si="393"/>
        <v>12.5</v>
      </c>
      <c r="I729" s="74">
        <f t="shared" si="394"/>
        <v>11.25</v>
      </c>
      <c r="J729" s="114">
        <f t="shared" si="395"/>
        <v>10</v>
      </c>
      <c r="K729" s="74">
        <f t="shared" si="420"/>
        <v>9.0625</v>
      </c>
      <c r="L729" s="114">
        <f t="shared" si="401"/>
        <v>8.125</v>
      </c>
      <c r="M729" s="115">
        <f t="shared" si="421"/>
        <v>9.5982500000000002</v>
      </c>
      <c r="N729" s="115">
        <f t="shared" si="422"/>
        <v>11.080375</v>
      </c>
      <c r="O729" s="74">
        <f t="shared" si="423"/>
        <v>12.5625</v>
      </c>
      <c r="P729" s="74">
        <f t="shared" si="424"/>
        <v>14.03575</v>
      </c>
      <c r="Q729" s="74">
        <f t="shared" si="425"/>
        <v>15.509</v>
      </c>
      <c r="R729" s="114">
        <v>17</v>
      </c>
      <c r="S729" s="129"/>
      <c r="T729" s="117">
        <f>SUM((BP20+BQ20+BR19+BS19+BW17+BX17+BY16+BZ16+CD14+CE14+CI12+CJ12+CK11+CL11+CM10+CN10)*-0.132/2,(BT18+BU18+BV18+CA15+CB15+CC15+CF13+CG13+CH13+CM9+CL9+CK9+CJ8+CI8+CH8+CG7+CF7+CE7+CD6+CC6+CB6+CA5+BZ5+BY5+BX4+BW4+BV4)*-0.132/3,17)</f>
        <v>17.09646153846154</v>
      </c>
      <c r="U729" s="117">
        <f>Lefty!T729</f>
        <v>18.619538461538461</v>
      </c>
    </row>
    <row r="730" spans="2:21">
      <c r="B730" s="114">
        <v>21</v>
      </c>
      <c r="C730" s="74">
        <f t="shared" si="389"/>
        <v>19.5</v>
      </c>
      <c r="D730" s="74">
        <f t="shared" si="390"/>
        <v>18</v>
      </c>
      <c r="E730" s="74">
        <f t="shared" si="391"/>
        <v>16.5</v>
      </c>
      <c r="F730" s="114">
        <v>15</v>
      </c>
      <c r="G730" s="74">
        <f t="shared" si="392"/>
        <v>13.5</v>
      </c>
      <c r="H730" s="74">
        <f t="shared" si="393"/>
        <v>12</v>
      </c>
      <c r="I730" s="74">
        <f t="shared" si="394"/>
        <v>10.5</v>
      </c>
      <c r="J730" s="114">
        <f t="shared" si="395"/>
        <v>9</v>
      </c>
      <c r="K730" s="74">
        <f t="shared" si="420"/>
        <v>7.875</v>
      </c>
      <c r="L730" s="114">
        <f t="shared" si="401"/>
        <v>6.75</v>
      </c>
      <c r="M730" s="115">
        <f t="shared" si="421"/>
        <v>8.4514999999999993</v>
      </c>
      <c r="N730" s="115">
        <f t="shared" si="422"/>
        <v>10.16325</v>
      </c>
      <c r="O730" s="74">
        <f t="shared" si="423"/>
        <v>11.875</v>
      </c>
      <c r="P730" s="74">
        <f t="shared" si="424"/>
        <v>13.576499999999999</v>
      </c>
      <c r="Q730" s="74">
        <f t="shared" si="425"/>
        <v>15.278</v>
      </c>
      <c r="R730" s="114">
        <v>17</v>
      </c>
      <c r="S730" s="129"/>
      <c r="T730" s="117">
        <f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17.030461538461537</v>
      </c>
      <c r="U730" s="117">
        <f>Lefty!T730</f>
        <v>18.421538461538461</v>
      </c>
    </row>
    <row r="731" spans="2:21">
      <c r="B731" s="114">
        <v>22</v>
      </c>
      <c r="C731" s="74">
        <f t="shared" si="389"/>
        <v>20.25</v>
      </c>
      <c r="D731" s="74">
        <f t="shared" si="390"/>
        <v>18.5</v>
      </c>
      <c r="E731" s="74">
        <f t="shared" si="391"/>
        <v>16.75</v>
      </c>
      <c r="F731" s="114">
        <v>15</v>
      </c>
      <c r="G731" s="74">
        <f t="shared" si="392"/>
        <v>13.25</v>
      </c>
      <c r="H731" s="74">
        <f t="shared" si="393"/>
        <v>11.5</v>
      </c>
      <c r="I731" s="74">
        <f t="shared" si="394"/>
        <v>9.75</v>
      </c>
      <c r="J731" s="114">
        <f t="shared" si="395"/>
        <v>8</v>
      </c>
      <c r="K731" s="74">
        <f t="shared" si="420"/>
        <v>6.6875</v>
      </c>
      <c r="L731" s="114">
        <f t="shared" si="401"/>
        <v>5.375</v>
      </c>
      <c r="M731" s="115">
        <f t="shared" si="421"/>
        <v>7.3047500000000003</v>
      </c>
      <c r="N731" s="115">
        <f t="shared" si="422"/>
        <v>9.2461249999999993</v>
      </c>
      <c r="O731" s="74">
        <f t="shared" si="423"/>
        <v>11.1875</v>
      </c>
      <c r="P731" s="74">
        <f t="shared" si="424"/>
        <v>13.11725</v>
      </c>
      <c r="Q731" s="74">
        <f t="shared" si="425"/>
        <v>15.046999999999999</v>
      </c>
      <c r="R731" s="114">
        <v>17</v>
      </c>
      <c r="S731" s="129"/>
      <c r="T731" s="117">
        <f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17.118461538461538</v>
      </c>
      <c r="U731" s="117">
        <f>Lefty!T731</f>
        <v>18.22353846153846</v>
      </c>
    </row>
    <row r="732" spans="2:21">
      <c r="B732" s="114">
        <v>23</v>
      </c>
      <c r="C732" s="74">
        <f t="shared" si="389"/>
        <v>21</v>
      </c>
      <c r="D732" s="74">
        <f t="shared" si="390"/>
        <v>19</v>
      </c>
      <c r="E732" s="74">
        <f t="shared" si="391"/>
        <v>17</v>
      </c>
      <c r="F732" s="114">
        <v>15</v>
      </c>
      <c r="G732" s="74">
        <f t="shared" si="392"/>
        <v>13</v>
      </c>
      <c r="H732" s="74">
        <f t="shared" si="393"/>
        <v>11</v>
      </c>
      <c r="I732" s="74">
        <f t="shared" si="394"/>
        <v>9</v>
      </c>
      <c r="J732" s="114">
        <f t="shared" si="395"/>
        <v>7</v>
      </c>
      <c r="K732" s="74">
        <f t="shared" si="420"/>
        <v>5.5</v>
      </c>
      <c r="L732" s="114">
        <f t="shared" si="401"/>
        <v>4</v>
      </c>
      <c r="M732" s="115">
        <f t="shared" si="421"/>
        <v>6.1579999999999995</v>
      </c>
      <c r="N732" s="115">
        <f t="shared" si="422"/>
        <v>8.3290000000000006</v>
      </c>
      <c r="O732" s="74">
        <f t="shared" si="423"/>
        <v>10.5</v>
      </c>
      <c r="P732" s="74">
        <f t="shared" si="424"/>
        <v>12.658000000000001</v>
      </c>
      <c r="Q732" s="74">
        <f t="shared" si="425"/>
        <v>14.815999999999999</v>
      </c>
      <c r="R732" s="114">
        <v>17</v>
      </c>
      <c r="S732" s="129"/>
      <c r="T732" s="117">
        <f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16.647661538461538</v>
      </c>
      <c r="U732" s="117">
        <f>Lefty!T732</f>
        <v>18.186138461538462</v>
      </c>
    </row>
    <row r="733" spans="2:21">
      <c r="B733" s="114">
        <v>24</v>
      </c>
      <c r="C733" s="74">
        <f t="shared" si="389"/>
        <v>21.75</v>
      </c>
      <c r="D733" s="74">
        <f t="shared" si="390"/>
        <v>19.5</v>
      </c>
      <c r="E733" s="74">
        <f t="shared" si="391"/>
        <v>17.25</v>
      </c>
      <c r="F733" s="114">
        <v>15</v>
      </c>
      <c r="G733" s="74">
        <f t="shared" si="392"/>
        <v>12.75</v>
      </c>
      <c r="H733" s="74">
        <f t="shared" si="393"/>
        <v>10.5</v>
      </c>
      <c r="I733" s="74">
        <f t="shared" si="394"/>
        <v>8.25</v>
      </c>
      <c r="J733" s="114">
        <f t="shared" si="395"/>
        <v>6</v>
      </c>
      <c r="K733" s="74">
        <f t="shared" si="420"/>
        <v>4.3125</v>
      </c>
      <c r="L733" s="114">
        <f t="shared" si="401"/>
        <v>2.625</v>
      </c>
      <c r="M733" s="115">
        <f t="shared" si="421"/>
        <v>5.0112500000000004</v>
      </c>
      <c r="N733" s="115">
        <f t="shared" si="422"/>
        <v>7.4118750000000002</v>
      </c>
      <c r="O733" s="74">
        <f t="shared" si="423"/>
        <v>9.8125</v>
      </c>
      <c r="P733" s="74">
        <f t="shared" si="424"/>
        <v>12.19875</v>
      </c>
      <c r="Q733" s="74">
        <f t="shared" si="425"/>
        <v>14.584999999999999</v>
      </c>
      <c r="R733" s="114">
        <v>17</v>
      </c>
      <c r="S733" s="129"/>
      <c r="T733" s="117">
        <f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16.377061538461536</v>
      </c>
      <c r="U733" s="117">
        <f>Lefty!T733</f>
        <v>17.968338461538462</v>
      </c>
    </row>
    <row r="734" spans="2:21">
      <c r="B734" s="114">
        <v>25</v>
      </c>
      <c r="C734" s="74">
        <f t="shared" si="389"/>
        <v>22.5</v>
      </c>
      <c r="D734" s="74">
        <f t="shared" si="390"/>
        <v>20</v>
      </c>
      <c r="E734" s="74">
        <f t="shared" si="391"/>
        <v>17.5</v>
      </c>
      <c r="F734" s="114">
        <v>15</v>
      </c>
      <c r="G734" s="74">
        <f t="shared" si="392"/>
        <v>12.5</v>
      </c>
      <c r="H734" s="74">
        <f t="shared" si="393"/>
        <v>10</v>
      </c>
      <c r="I734" s="74">
        <f t="shared" si="394"/>
        <v>7.5</v>
      </c>
      <c r="J734" s="114">
        <f t="shared" si="395"/>
        <v>5</v>
      </c>
      <c r="K734" s="74">
        <f t="shared" si="420"/>
        <v>3.125</v>
      </c>
      <c r="L734" s="114">
        <f t="shared" si="401"/>
        <v>1.25</v>
      </c>
      <c r="M734" s="115">
        <f t="shared" si="421"/>
        <v>3.8645</v>
      </c>
      <c r="N734" s="115">
        <f t="shared" si="422"/>
        <v>6.4947500000000007</v>
      </c>
      <c r="O734" s="74">
        <f t="shared" si="423"/>
        <v>9.125</v>
      </c>
      <c r="P734" s="74">
        <f t="shared" si="424"/>
        <v>11.739500000000001</v>
      </c>
      <c r="Q734" s="74">
        <f t="shared" si="425"/>
        <v>14.353999999999999</v>
      </c>
      <c r="R734" s="114">
        <v>17</v>
      </c>
      <c r="S734" s="129"/>
      <c r="T734" s="126">
        <f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16.599261538461537</v>
      </c>
      <c r="U734" s="126">
        <f>Lefty!T734</f>
        <v>17.790138461538461</v>
      </c>
    </row>
    <row r="735" spans="2:21">
      <c r="B735" s="114"/>
      <c r="C735" s="74"/>
      <c r="D735" s="74"/>
      <c r="E735" s="74"/>
      <c r="F735" s="114"/>
      <c r="G735" s="74"/>
      <c r="H735" s="74"/>
      <c r="I735" s="74"/>
      <c r="J735" s="114"/>
      <c r="K735" s="74"/>
      <c r="L735" s="114"/>
      <c r="M735" s="115"/>
      <c r="N735" s="115"/>
      <c r="O735" s="74"/>
      <c r="P735" s="74"/>
      <c r="Q735" s="74"/>
      <c r="R735" s="114"/>
      <c r="S735" s="129"/>
    </row>
    <row r="736" spans="2:21">
      <c r="B736" s="114">
        <v>16</v>
      </c>
      <c r="C736" s="74">
        <f t="shared" ref="C736:C826" si="426">SUM(0.25*(F736-B736),B736)</f>
        <v>16</v>
      </c>
      <c r="D736" s="74">
        <f t="shared" ref="D736:D826" si="427">SUM(0.5*(F736-B736)+B736)</f>
        <v>16</v>
      </c>
      <c r="E736" s="74">
        <f t="shared" ref="E736:E826" si="428">SUM(0.75*(F736-B736),B736)</f>
        <v>16</v>
      </c>
      <c r="F736" s="114">
        <v>16</v>
      </c>
      <c r="G736" s="74">
        <f t="shared" ref="G736:G826" si="429">SUM(0.25*(J736-F736),F736)</f>
        <v>16</v>
      </c>
      <c r="H736" s="74">
        <f t="shared" ref="H736:H826" si="430">SUM(0.5*(J736-F736),F736)</f>
        <v>16</v>
      </c>
      <c r="I736" s="74">
        <f t="shared" ref="I736:I826" si="431">SUM(0.75*(J736-F736),F736)</f>
        <v>16</v>
      </c>
      <c r="J736" s="114">
        <f t="shared" ref="J736:J826" si="432">SUM(F736,-B736,F736)</f>
        <v>16</v>
      </c>
      <c r="K736" s="74">
        <f t="shared" ref="K736:K746" si="433">SUM(0.5*(L736-J736),J736)</f>
        <v>16.05</v>
      </c>
      <c r="L736" s="114">
        <f>SUM(J736,J736,-H736,0.25*ABS(J736-H736),0.1*(17-F736))</f>
        <v>16.100000000000001</v>
      </c>
      <c r="M736" s="115">
        <f t="shared" ref="M736:M746" si="434">SUM(0.166*(R736-L736),L736)</f>
        <v>16.249400000000001</v>
      </c>
      <c r="N736" s="115">
        <f t="shared" ref="N736:N746" si="435">SUM(0.333*(R736-L736),L736)</f>
        <v>16.399699999999999</v>
      </c>
      <c r="O736" s="74">
        <f t="shared" ref="O736:O746" si="436">SUM(0.5*(R736-L736),L736)</f>
        <v>16.55</v>
      </c>
      <c r="P736" s="74">
        <f t="shared" ref="P736:P746" si="437">SUM(0.666*(R736-L736),L736)</f>
        <v>16.699400000000001</v>
      </c>
      <c r="Q736" s="74">
        <f t="shared" ref="Q736:Q746" si="438">SUM(0.832*(R736-L736),L736)</f>
        <v>16.848800000000001</v>
      </c>
      <c r="R736" s="114">
        <v>17</v>
      </c>
      <c r="S736" s="129"/>
      <c r="T736" s="117">
        <f>SUM((BX20+BX19+BX18+BX17+BX16+BX15+BX14+BX13+BX12+BX11+BX10+BX9+BW8+BW7+BV6+BV5+BV4)*-0.132,17)</f>
        <v>17.008461538461539</v>
      </c>
      <c r="U736" s="117">
        <f>Lefty!T736</f>
        <v>19.103538461538459</v>
      </c>
    </row>
    <row r="737" spans="2:21">
      <c r="B737" s="114">
        <v>17</v>
      </c>
      <c r="C737" s="74">
        <f t="shared" si="426"/>
        <v>16.75</v>
      </c>
      <c r="D737" s="74">
        <f t="shared" si="427"/>
        <v>16.5</v>
      </c>
      <c r="E737" s="74">
        <f t="shared" si="428"/>
        <v>16.25</v>
      </c>
      <c r="F737" s="114">
        <v>16</v>
      </c>
      <c r="G737" s="74">
        <f t="shared" si="429"/>
        <v>15.75</v>
      </c>
      <c r="H737" s="74">
        <f t="shared" si="430"/>
        <v>15.5</v>
      </c>
      <c r="I737" s="74">
        <f t="shared" si="431"/>
        <v>15.25</v>
      </c>
      <c r="J737" s="114">
        <f t="shared" si="432"/>
        <v>15</v>
      </c>
      <c r="K737" s="74">
        <f t="shared" si="433"/>
        <v>14.8125</v>
      </c>
      <c r="L737" s="114">
        <f t="shared" ref="L737:L795" si="439">SUM(J737,J737,-H737,0.25*ABS(J737-H737))</f>
        <v>14.625</v>
      </c>
      <c r="M737" s="115">
        <f t="shared" si="434"/>
        <v>15.01925</v>
      </c>
      <c r="N737" s="115">
        <f t="shared" si="435"/>
        <v>15.415875</v>
      </c>
      <c r="O737" s="74">
        <f t="shared" si="436"/>
        <v>15.8125</v>
      </c>
      <c r="P737" s="74">
        <f t="shared" si="437"/>
        <v>16.20675</v>
      </c>
      <c r="Q737" s="74">
        <f t="shared" si="438"/>
        <v>16.600999999999999</v>
      </c>
      <c r="R737" s="114">
        <v>17</v>
      </c>
      <c r="S737" s="129"/>
      <c r="T737" s="117">
        <f>SUM((BV20+BW19+BW18+BX17+BX16+BY15+BY14+BZ13+BZ12+CA11+CA10+BZ9+BY8+BX7+BW6+BV5+BV4)*-0.132,17)</f>
        <v>17.404461538461536</v>
      </c>
      <c r="U737" s="117">
        <f>Lefty!T737</f>
        <v>18.311538461538461</v>
      </c>
    </row>
    <row r="738" spans="2:21">
      <c r="B738" s="114">
        <v>18</v>
      </c>
      <c r="C738" s="74">
        <f t="shared" si="426"/>
        <v>17.5</v>
      </c>
      <c r="D738" s="74">
        <f t="shared" si="427"/>
        <v>17</v>
      </c>
      <c r="E738" s="74">
        <f t="shared" si="428"/>
        <v>16.5</v>
      </c>
      <c r="F738" s="114">
        <v>16</v>
      </c>
      <c r="G738" s="74">
        <f t="shared" si="429"/>
        <v>15.5</v>
      </c>
      <c r="H738" s="74">
        <f t="shared" si="430"/>
        <v>15</v>
      </c>
      <c r="I738" s="74">
        <f t="shared" si="431"/>
        <v>14.5</v>
      </c>
      <c r="J738" s="114">
        <f t="shared" si="432"/>
        <v>14</v>
      </c>
      <c r="K738" s="74">
        <f t="shared" si="433"/>
        <v>13.625</v>
      </c>
      <c r="L738" s="114">
        <f t="shared" si="439"/>
        <v>13.25</v>
      </c>
      <c r="M738" s="115">
        <f t="shared" si="434"/>
        <v>13.8725</v>
      </c>
      <c r="N738" s="115">
        <f t="shared" si="435"/>
        <v>14.498749999999999</v>
      </c>
      <c r="O738" s="74">
        <f t="shared" si="436"/>
        <v>15.125</v>
      </c>
      <c r="P738" s="74">
        <f t="shared" si="437"/>
        <v>15.7475</v>
      </c>
      <c r="Q738" s="74">
        <f t="shared" si="438"/>
        <v>16.37</v>
      </c>
      <c r="R738" s="114">
        <v>17</v>
      </c>
      <c r="S738" s="129"/>
      <c r="T738" s="117">
        <f>SUM((BT20+BU19+BV18+BW17+BX16+BY15+BZ14+CA13+CB12+CC11+CC10+BZ8+BY7+BX6+BW5+BV4)*-0.132,(CB9+CA9)*-0.132/2,17)</f>
        <v>17.074461538461538</v>
      </c>
      <c r="U738" s="117">
        <f>Lefty!T738</f>
        <v>18.17953846153846</v>
      </c>
    </row>
    <row r="739" spans="2:21">
      <c r="B739" s="114">
        <v>19</v>
      </c>
      <c r="C739" s="74">
        <f t="shared" si="426"/>
        <v>18.25</v>
      </c>
      <c r="D739" s="74">
        <f t="shared" si="427"/>
        <v>17.5</v>
      </c>
      <c r="E739" s="74">
        <f t="shared" si="428"/>
        <v>16.75</v>
      </c>
      <c r="F739" s="114">
        <v>16</v>
      </c>
      <c r="G739" s="74">
        <f t="shared" si="429"/>
        <v>15.25</v>
      </c>
      <c r="H739" s="74">
        <f t="shared" si="430"/>
        <v>14.5</v>
      </c>
      <c r="I739" s="74">
        <f t="shared" si="431"/>
        <v>13.75</v>
      </c>
      <c r="J739" s="114">
        <f t="shared" si="432"/>
        <v>13</v>
      </c>
      <c r="K739" s="74">
        <f t="shared" si="433"/>
        <v>12.4375</v>
      </c>
      <c r="L739" s="114">
        <f t="shared" si="439"/>
        <v>11.875</v>
      </c>
      <c r="M739" s="115">
        <f t="shared" si="434"/>
        <v>12.72575</v>
      </c>
      <c r="N739" s="115">
        <f t="shared" si="435"/>
        <v>13.581625000000001</v>
      </c>
      <c r="O739" s="74">
        <f t="shared" si="436"/>
        <v>14.4375</v>
      </c>
      <c r="P739" s="74">
        <f t="shared" si="437"/>
        <v>15.28825</v>
      </c>
      <c r="Q739" s="74">
        <f t="shared" si="438"/>
        <v>16.138999999999999</v>
      </c>
      <c r="R739" s="114">
        <v>17</v>
      </c>
      <c r="S739" s="129"/>
      <c r="T739" s="117">
        <f>SUM((BR20+BU18+BX16+CA14+CD12+CE11+CF10+BW5+BV4)*-0.132,(BS19+BT19+BV17+BW17+BY15+BZ15+CB13+CC13+CE9+CD9+CC8+CB8+CA7+BZ7+BY6+BX6)*-0.132/2,17)</f>
        <v>16.810461538461539</v>
      </c>
      <c r="U739" s="117">
        <f>Lefty!T739</f>
        <v>18.509538461538462</v>
      </c>
    </row>
    <row r="740" spans="2:21">
      <c r="B740" s="114">
        <v>20</v>
      </c>
      <c r="C740" s="74">
        <f t="shared" si="426"/>
        <v>19</v>
      </c>
      <c r="D740" s="74">
        <f t="shared" si="427"/>
        <v>18</v>
      </c>
      <c r="E740" s="74">
        <f t="shared" si="428"/>
        <v>17</v>
      </c>
      <c r="F740" s="114">
        <v>16</v>
      </c>
      <c r="G740" s="74">
        <f t="shared" si="429"/>
        <v>15</v>
      </c>
      <c r="H740" s="74">
        <f t="shared" si="430"/>
        <v>14</v>
      </c>
      <c r="I740" s="74">
        <f t="shared" si="431"/>
        <v>13</v>
      </c>
      <c r="J740" s="114">
        <f t="shared" si="432"/>
        <v>12</v>
      </c>
      <c r="K740" s="74">
        <f t="shared" si="433"/>
        <v>11.25</v>
      </c>
      <c r="L740" s="114">
        <f t="shared" si="439"/>
        <v>10.5</v>
      </c>
      <c r="M740" s="115">
        <f t="shared" si="434"/>
        <v>11.579000000000001</v>
      </c>
      <c r="N740" s="115">
        <f t="shared" si="435"/>
        <v>12.6645</v>
      </c>
      <c r="O740" s="74">
        <f t="shared" si="436"/>
        <v>13.75</v>
      </c>
      <c r="P740" s="74">
        <f t="shared" si="437"/>
        <v>14.829000000000001</v>
      </c>
      <c r="Q740" s="74">
        <f t="shared" si="438"/>
        <v>15.907999999999999</v>
      </c>
      <c r="R740" s="114">
        <v>17</v>
      </c>
      <c r="S740" s="129"/>
      <c r="T740" s="117">
        <f>SUM((BQ19+BR19+BS18+BT18+BU17+BV17+BW16+BX16+BY15+BZ15+CA14+CB14+CC13+CD13+CE12+CF12+CG11+CH11)*-0.132/2,(BP20+CI10)*-0.132,(CH9+CG9+CF9)*-0.132/3,(CE8+CD8+CC7+CB7+CA6+BZ6+BY5+BX5+BW4+BV4)*-0.132/2,17)</f>
        <v>16.612461538461538</v>
      </c>
      <c r="U740" s="117">
        <f>Lefty!T740</f>
        <v>18.289538461538463</v>
      </c>
    </row>
    <row r="741" spans="2:21">
      <c r="B741" s="114">
        <v>21</v>
      </c>
      <c r="C741" s="74">
        <f t="shared" si="426"/>
        <v>19.75</v>
      </c>
      <c r="D741" s="74">
        <f t="shared" si="427"/>
        <v>18.5</v>
      </c>
      <c r="E741" s="74">
        <f t="shared" si="428"/>
        <v>17.25</v>
      </c>
      <c r="F741" s="114">
        <v>16</v>
      </c>
      <c r="G741" s="74">
        <f t="shared" si="429"/>
        <v>14.75</v>
      </c>
      <c r="H741" s="74">
        <f t="shared" si="430"/>
        <v>13.5</v>
      </c>
      <c r="I741" s="74">
        <f t="shared" si="431"/>
        <v>12.25</v>
      </c>
      <c r="J741" s="114">
        <f t="shared" si="432"/>
        <v>11</v>
      </c>
      <c r="K741" s="74">
        <f t="shared" si="433"/>
        <v>10.0625</v>
      </c>
      <c r="L741" s="114">
        <f t="shared" si="439"/>
        <v>9.125</v>
      </c>
      <c r="M741" s="115">
        <f t="shared" si="434"/>
        <v>10.43225</v>
      </c>
      <c r="N741" s="115">
        <f t="shared" si="435"/>
        <v>11.747375</v>
      </c>
      <c r="O741" s="74">
        <f t="shared" si="436"/>
        <v>13.0625</v>
      </c>
      <c r="P741" s="74">
        <f t="shared" si="437"/>
        <v>14.36975</v>
      </c>
      <c r="Q741" s="74">
        <f t="shared" si="438"/>
        <v>15.677</v>
      </c>
      <c r="R741" s="114">
        <v>17</v>
      </c>
      <c r="S741" s="129"/>
      <c r="T741" s="117">
        <f>SUM((BN20+BO20+BP19+BQ19+BU17+BV17+BW16+BX16+CB14+CC14+CG12+CH12+CI11+CJ11+CK10+CL10)*-0.132/2,(BR18+BS18+BT18+BY15+BZ15+CA15+CD13+CE13+CF13)*-0.132/3,(CK9+CJ9+CI9+CH8+CG8+CF8+CE7+CD7+CC7+CB6+CA6+BZ6)*-0.132/3,(BY5+BX5+BW4+BV4)*-0.132/2,17)</f>
        <v>17.074461538461538</v>
      </c>
      <c r="U741" s="117">
        <f>Lefty!T741</f>
        <v>18.355538461538462</v>
      </c>
    </row>
    <row r="742" spans="2:21">
      <c r="B742" s="114">
        <v>22</v>
      </c>
      <c r="C742" s="74">
        <f t="shared" si="426"/>
        <v>20.5</v>
      </c>
      <c r="D742" s="74">
        <f t="shared" si="427"/>
        <v>19</v>
      </c>
      <c r="E742" s="74">
        <f t="shared" si="428"/>
        <v>17.5</v>
      </c>
      <c r="F742" s="114">
        <v>16</v>
      </c>
      <c r="G742" s="74">
        <f t="shared" si="429"/>
        <v>14.5</v>
      </c>
      <c r="H742" s="74">
        <f t="shared" si="430"/>
        <v>13</v>
      </c>
      <c r="I742" s="74">
        <f t="shared" si="431"/>
        <v>11.5</v>
      </c>
      <c r="J742" s="114">
        <f t="shared" si="432"/>
        <v>10</v>
      </c>
      <c r="K742" s="74">
        <f t="shared" si="433"/>
        <v>8.875</v>
      </c>
      <c r="L742" s="114">
        <f t="shared" si="439"/>
        <v>7.75</v>
      </c>
      <c r="M742" s="115">
        <f t="shared" si="434"/>
        <v>9.2855000000000008</v>
      </c>
      <c r="N742" s="115">
        <f t="shared" si="435"/>
        <v>10.830249999999999</v>
      </c>
      <c r="O742" s="74">
        <f t="shared" si="436"/>
        <v>12.375</v>
      </c>
      <c r="P742" s="74">
        <f t="shared" si="437"/>
        <v>13.910500000000001</v>
      </c>
      <c r="Q742" s="74">
        <f t="shared" si="438"/>
        <v>15.446</v>
      </c>
      <c r="R742" s="114">
        <v>17</v>
      </c>
      <c r="S742" s="129"/>
      <c r="T742" s="117">
        <f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16.975461538461538</v>
      </c>
      <c r="U742" s="117">
        <f>Lefty!T742</f>
        <v>18.080538461538463</v>
      </c>
    </row>
    <row r="743" spans="2:21">
      <c r="B743" s="114">
        <v>23</v>
      </c>
      <c r="C743" s="74">
        <f t="shared" si="426"/>
        <v>21.25</v>
      </c>
      <c r="D743" s="74">
        <f t="shared" si="427"/>
        <v>19.5</v>
      </c>
      <c r="E743" s="74">
        <f t="shared" si="428"/>
        <v>17.75</v>
      </c>
      <c r="F743" s="114">
        <v>16</v>
      </c>
      <c r="G743" s="74">
        <f t="shared" si="429"/>
        <v>14.25</v>
      </c>
      <c r="H743" s="74">
        <f t="shared" si="430"/>
        <v>12.5</v>
      </c>
      <c r="I743" s="74">
        <f t="shared" si="431"/>
        <v>10.75</v>
      </c>
      <c r="J743" s="114">
        <f t="shared" si="432"/>
        <v>9</v>
      </c>
      <c r="K743" s="74">
        <f t="shared" si="433"/>
        <v>7.6875</v>
      </c>
      <c r="L743" s="114">
        <f t="shared" si="439"/>
        <v>6.375</v>
      </c>
      <c r="M743" s="115">
        <f t="shared" si="434"/>
        <v>8.1387499999999999</v>
      </c>
      <c r="N743" s="115">
        <f t="shared" si="435"/>
        <v>9.9131250000000009</v>
      </c>
      <c r="O743" s="74">
        <f t="shared" si="436"/>
        <v>11.6875</v>
      </c>
      <c r="P743" s="74">
        <f t="shared" si="437"/>
        <v>13.451250000000002</v>
      </c>
      <c r="Q743" s="74">
        <f t="shared" si="438"/>
        <v>15.215</v>
      </c>
      <c r="R743" s="114">
        <v>17</v>
      </c>
      <c r="S743" s="129"/>
      <c r="T743" s="117">
        <f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16.700461538461539</v>
      </c>
      <c r="U743" s="117">
        <f>Lefty!T743</f>
        <v>18.080538461538463</v>
      </c>
    </row>
    <row r="744" spans="2:21">
      <c r="B744" s="114">
        <v>24</v>
      </c>
      <c r="C744" s="74">
        <f t="shared" si="426"/>
        <v>22</v>
      </c>
      <c r="D744" s="74">
        <f t="shared" si="427"/>
        <v>20</v>
      </c>
      <c r="E744" s="74">
        <f t="shared" si="428"/>
        <v>18</v>
      </c>
      <c r="F744" s="114">
        <v>16</v>
      </c>
      <c r="G744" s="74">
        <f t="shared" si="429"/>
        <v>14</v>
      </c>
      <c r="H744" s="74">
        <f t="shared" si="430"/>
        <v>12</v>
      </c>
      <c r="I744" s="74">
        <f t="shared" si="431"/>
        <v>10</v>
      </c>
      <c r="J744" s="114">
        <f t="shared" si="432"/>
        <v>8</v>
      </c>
      <c r="K744" s="74">
        <f t="shared" si="433"/>
        <v>6.5</v>
      </c>
      <c r="L744" s="114">
        <f t="shared" si="439"/>
        <v>5</v>
      </c>
      <c r="M744" s="115">
        <f t="shared" si="434"/>
        <v>6.992</v>
      </c>
      <c r="N744" s="115">
        <f t="shared" si="435"/>
        <v>8.9960000000000004</v>
      </c>
      <c r="O744" s="74">
        <f t="shared" si="436"/>
        <v>11</v>
      </c>
      <c r="P744" s="74">
        <f t="shared" si="437"/>
        <v>12.992000000000001</v>
      </c>
      <c r="Q744" s="74">
        <f t="shared" si="438"/>
        <v>14.984</v>
      </c>
      <c r="R744" s="114">
        <v>17</v>
      </c>
      <c r="S744" s="129"/>
      <c r="T744" s="117">
        <f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16.414461538461538</v>
      </c>
      <c r="U744" s="117">
        <f>Lefty!T744</f>
        <v>17.81653846153846</v>
      </c>
    </row>
    <row r="745" spans="2:21">
      <c r="B745" s="114">
        <v>25</v>
      </c>
      <c r="C745" s="74">
        <f t="shared" si="426"/>
        <v>22.75</v>
      </c>
      <c r="D745" s="74">
        <f t="shared" si="427"/>
        <v>20.5</v>
      </c>
      <c r="E745" s="74">
        <f t="shared" si="428"/>
        <v>18.25</v>
      </c>
      <c r="F745" s="114">
        <v>16</v>
      </c>
      <c r="G745" s="74">
        <f t="shared" si="429"/>
        <v>13.75</v>
      </c>
      <c r="H745" s="74">
        <f t="shared" si="430"/>
        <v>11.5</v>
      </c>
      <c r="I745" s="74">
        <f t="shared" si="431"/>
        <v>9.25</v>
      </c>
      <c r="J745" s="114">
        <f t="shared" si="432"/>
        <v>7</v>
      </c>
      <c r="K745" s="74">
        <f t="shared" si="433"/>
        <v>5.3125</v>
      </c>
      <c r="L745" s="114">
        <f t="shared" si="439"/>
        <v>3.625</v>
      </c>
      <c r="M745" s="115">
        <f t="shared" si="434"/>
        <v>5.8452500000000001</v>
      </c>
      <c r="N745" s="115">
        <f t="shared" si="435"/>
        <v>8.078875</v>
      </c>
      <c r="O745" s="74">
        <f t="shared" si="436"/>
        <v>10.3125</v>
      </c>
      <c r="P745" s="74">
        <f t="shared" si="437"/>
        <v>12.53275</v>
      </c>
      <c r="Q745" s="74">
        <f t="shared" si="438"/>
        <v>14.753</v>
      </c>
      <c r="R745" s="114">
        <v>17</v>
      </c>
      <c r="S745" s="129"/>
      <c r="T745" s="117">
        <f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16.245061538461538</v>
      </c>
      <c r="U745" s="117">
        <f>Lefty!T745</f>
        <v>17.64273846153846</v>
      </c>
    </row>
    <row r="746" spans="2:21">
      <c r="B746" s="114">
        <v>26</v>
      </c>
      <c r="C746" s="74">
        <f t="shared" si="426"/>
        <v>23.5</v>
      </c>
      <c r="D746" s="74">
        <f t="shared" si="427"/>
        <v>21</v>
      </c>
      <c r="E746" s="74">
        <f t="shared" si="428"/>
        <v>18.5</v>
      </c>
      <c r="F746" s="114">
        <v>16</v>
      </c>
      <c r="G746" s="74">
        <f t="shared" si="429"/>
        <v>13.5</v>
      </c>
      <c r="H746" s="74">
        <f t="shared" si="430"/>
        <v>11</v>
      </c>
      <c r="I746" s="74">
        <f t="shared" si="431"/>
        <v>8.5</v>
      </c>
      <c r="J746" s="114">
        <f t="shared" si="432"/>
        <v>6</v>
      </c>
      <c r="K746" s="74">
        <f t="shared" si="433"/>
        <v>4.125</v>
      </c>
      <c r="L746" s="114">
        <f t="shared" si="439"/>
        <v>2.25</v>
      </c>
      <c r="M746" s="115">
        <f t="shared" si="434"/>
        <v>4.6985000000000001</v>
      </c>
      <c r="N746" s="115">
        <f t="shared" si="435"/>
        <v>7.1617500000000005</v>
      </c>
      <c r="O746" s="74">
        <f t="shared" si="436"/>
        <v>9.625</v>
      </c>
      <c r="P746" s="74">
        <f t="shared" si="437"/>
        <v>12.073500000000001</v>
      </c>
      <c r="Q746" s="74">
        <f t="shared" si="438"/>
        <v>14.522</v>
      </c>
      <c r="R746" s="114">
        <v>17</v>
      </c>
      <c r="S746" s="129"/>
      <c r="T746" s="117">
        <f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16.295661538461538</v>
      </c>
      <c r="U746" s="117">
        <f>Lefty!T746</f>
        <v>17.433738461538461</v>
      </c>
    </row>
    <row r="747" spans="2:21">
      <c r="B747" s="114"/>
      <c r="C747" s="74"/>
      <c r="D747" s="74"/>
      <c r="E747" s="74"/>
      <c r="F747" s="114"/>
      <c r="G747" s="74"/>
      <c r="H747" s="74"/>
      <c r="I747" s="74"/>
      <c r="J747" s="114"/>
      <c r="K747" s="74"/>
      <c r="L747" s="114"/>
      <c r="M747" s="115"/>
      <c r="N747" s="115"/>
      <c r="O747" s="74"/>
      <c r="P747" s="74"/>
      <c r="Q747" s="74"/>
      <c r="R747" s="114"/>
      <c r="S747" s="129"/>
    </row>
    <row r="748" spans="2:21">
      <c r="B748" s="114">
        <v>17</v>
      </c>
      <c r="C748" s="74">
        <f t="shared" si="426"/>
        <v>17</v>
      </c>
      <c r="D748" s="74">
        <f t="shared" si="427"/>
        <v>17</v>
      </c>
      <c r="E748" s="74">
        <f t="shared" si="428"/>
        <v>17</v>
      </c>
      <c r="F748" s="114">
        <v>17</v>
      </c>
      <c r="G748" s="74">
        <f t="shared" si="429"/>
        <v>17</v>
      </c>
      <c r="H748" s="74">
        <f t="shared" si="430"/>
        <v>17</v>
      </c>
      <c r="I748" s="74">
        <f t="shared" si="431"/>
        <v>17</v>
      </c>
      <c r="J748" s="114">
        <f t="shared" si="432"/>
        <v>17</v>
      </c>
      <c r="K748" s="74">
        <f t="shared" ref="K748:K759" si="440">SUM(0.5*(L748-J748),J748)</f>
        <v>17</v>
      </c>
      <c r="L748" s="114">
        <f>SUM(J748,J748,-H748,0.25*ABS(J748-H748),0.1*(17-F748))</f>
        <v>17</v>
      </c>
      <c r="M748" s="115">
        <f t="shared" ref="M748:M759" si="441">SUM(0.166*(R748-L748),L748)</f>
        <v>17</v>
      </c>
      <c r="N748" s="115">
        <f t="shared" ref="N748:N759" si="442">SUM(0.333*(R748-L748),L748)</f>
        <v>17</v>
      </c>
      <c r="O748" s="74">
        <f t="shared" ref="O748:O759" si="443">SUM(0.5*(R748-L748),L748)</f>
        <v>17</v>
      </c>
      <c r="P748" s="74">
        <f t="shared" ref="P748:P759" si="444">SUM(0.666*(R748-L748),L748)</f>
        <v>17</v>
      </c>
      <c r="Q748" s="74">
        <f t="shared" ref="Q748:Q759" si="445">SUM(0.832*(R748-L748),L748)</f>
        <v>17</v>
      </c>
      <c r="R748" s="114">
        <v>17</v>
      </c>
      <c r="S748" s="129"/>
      <c r="T748" s="117">
        <f>SUM((BV20+BV19+BV18+BV17+BV16+BV15+BV14+BV13+BV12+BV11+BV10+BV9+BV8+BV7+BV6+BV5+BV4)*-0.132,17)</f>
        <v>16.74446153846154</v>
      </c>
      <c r="U748" s="117">
        <f>Lefty!T748</f>
        <v>17.651538461538461</v>
      </c>
    </row>
    <row r="749" spans="2:21">
      <c r="B749" s="114">
        <v>18</v>
      </c>
      <c r="C749" s="74">
        <f t="shared" si="426"/>
        <v>17.75</v>
      </c>
      <c r="D749" s="74">
        <f t="shared" si="427"/>
        <v>17.5</v>
      </c>
      <c r="E749" s="74">
        <f t="shared" si="428"/>
        <v>17.25</v>
      </c>
      <c r="F749" s="114">
        <v>17</v>
      </c>
      <c r="G749" s="74">
        <f t="shared" si="429"/>
        <v>16.75</v>
      </c>
      <c r="H749" s="74">
        <f t="shared" si="430"/>
        <v>16.5</v>
      </c>
      <c r="I749" s="74">
        <f t="shared" si="431"/>
        <v>16.25</v>
      </c>
      <c r="J749" s="114">
        <f t="shared" si="432"/>
        <v>16</v>
      </c>
      <c r="K749" s="74">
        <f t="shared" si="440"/>
        <v>15.8125</v>
      </c>
      <c r="L749" s="114">
        <f t="shared" si="439"/>
        <v>15.625</v>
      </c>
      <c r="M749" s="115">
        <f t="shared" si="441"/>
        <v>15.853249999999999</v>
      </c>
      <c r="N749" s="115">
        <f t="shared" si="442"/>
        <v>16.082875000000001</v>
      </c>
      <c r="O749" s="74">
        <f t="shared" si="443"/>
        <v>16.3125</v>
      </c>
      <c r="P749" s="74">
        <f t="shared" si="444"/>
        <v>16.540749999999999</v>
      </c>
      <c r="Q749" s="74">
        <f t="shared" si="445"/>
        <v>16.768999999999998</v>
      </c>
      <c r="R749" s="114">
        <v>17</v>
      </c>
      <c r="S749" s="129"/>
      <c r="T749" s="117">
        <f>SUM((BT20+BU19+BU18+BV17+BV16+BW15+BW14+BX13+BX12+BY11+BY10+BX9+BX8+BW7+BW6+BV5+BV4)*-0.132,17)</f>
        <v>16.74446153846154</v>
      </c>
      <c r="U749" s="117">
        <f>Lefty!T749</f>
        <v>17.783538461538463</v>
      </c>
    </row>
    <row r="750" spans="2:21">
      <c r="B750" s="114">
        <v>19</v>
      </c>
      <c r="C750" s="74">
        <f t="shared" si="426"/>
        <v>18.5</v>
      </c>
      <c r="D750" s="74">
        <f t="shared" si="427"/>
        <v>18</v>
      </c>
      <c r="E750" s="74">
        <f t="shared" si="428"/>
        <v>17.5</v>
      </c>
      <c r="F750" s="114">
        <v>17</v>
      </c>
      <c r="G750" s="74">
        <f t="shared" si="429"/>
        <v>16.5</v>
      </c>
      <c r="H750" s="74">
        <f t="shared" si="430"/>
        <v>16</v>
      </c>
      <c r="I750" s="74">
        <f t="shared" si="431"/>
        <v>15.5</v>
      </c>
      <c r="J750" s="114">
        <f t="shared" si="432"/>
        <v>15</v>
      </c>
      <c r="K750" s="74">
        <f t="shared" si="440"/>
        <v>14.625</v>
      </c>
      <c r="L750" s="114">
        <f t="shared" si="439"/>
        <v>14.25</v>
      </c>
      <c r="M750" s="115">
        <f t="shared" si="441"/>
        <v>14.7065</v>
      </c>
      <c r="N750" s="115">
        <f t="shared" si="442"/>
        <v>15.165749999999999</v>
      </c>
      <c r="O750" s="74">
        <f t="shared" si="443"/>
        <v>15.625</v>
      </c>
      <c r="P750" s="74">
        <f t="shared" si="444"/>
        <v>16.081499999999998</v>
      </c>
      <c r="Q750" s="74">
        <f t="shared" si="445"/>
        <v>16.538</v>
      </c>
      <c r="R750" s="114">
        <v>17</v>
      </c>
      <c r="S750" s="129"/>
      <c r="T750" s="117">
        <f>SUM((BR20+BS19+BT18+BU17+BV16+BW15+BX14+BY13+BZ12+CA11+CA10+BZ9+BY8+BX7+BW6+BV5+BV4)*-0.132,17)</f>
        <v>16.480461538461537</v>
      </c>
      <c r="U750" s="117">
        <f>Lefty!T750</f>
        <v>18.443538461538463</v>
      </c>
    </row>
    <row r="751" spans="2:21">
      <c r="B751" s="114">
        <v>20</v>
      </c>
      <c r="C751" s="74">
        <f t="shared" si="426"/>
        <v>19.25</v>
      </c>
      <c r="D751" s="74">
        <f t="shared" si="427"/>
        <v>18.5</v>
      </c>
      <c r="E751" s="74">
        <f t="shared" si="428"/>
        <v>17.75</v>
      </c>
      <c r="F751" s="114">
        <v>17</v>
      </c>
      <c r="G751" s="74">
        <f t="shared" si="429"/>
        <v>16.25</v>
      </c>
      <c r="H751" s="74">
        <f t="shared" si="430"/>
        <v>15.5</v>
      </c>
      <c r="I751" s="74">
        <f t="shared" si="431"/>
        <v>14.75</v>
      </c>
      <c r="J751" s="114">
        <f t="shared" si="432"/>
        <v>14</v>
      </c>
      <c r="K751" s="74">
        <f t="shared" si="440"/>
        <v>13.4375</v>
      </c>
      <c r="L751" s="114">
        <f t="shared" si="439"/>
        <v>12.875</v>
      </c>
      <c r="M751" s="115">
        <f t="shared" si="441"/>
        <v>13.559749999999999</v>
      </c>
      <c r="N751" s="115">
        <f t="shared" si="442"/>
        <v>14.248625000000001</v>
      </c>
      <c r="O751" s="74">
        <f t="shared" si="443"/>
        <v>14.9375</v>
      </c>
      <c r="P751" s="74">
        <f t="shared" si="444"/>
        <v>15.622250000000001</v>
      </c>
      <c r="Q751" s="74">
        <f t="shared" si="445"/>
        <v>16.306999999999999</v>
      </c>
      <c r="R751" s="114">
        <v>17</v>
      </c>
      <c r="S751" s="129"/>
      <c r="T751" s="117">
        <f>SUM((BP20+BS18+BV16+BY14+CB12+CC11+CD10+BY7+BX6+BW5+BV4)*-0.132,(BQ19+BR19+BT17+BU17+BW15+BX15+BZ13+CA13+CC9+CB9+CA8+BZ8)*-0.132/2,17)</f>
        <v>16.414461538461538</v>
      </c>
      <c r="U751" s="117">
        <f>Lefty!T751</f>
        <v>17.849538461538462</v>
      </c>
    </row>
    <row r="752" spans="2:21">
      <c r="B752" s="114">
        <v>21</v>
      </c>
      <c r="C752" s="74">
        <f t="shared" si="426"/>
        <v>20</v>
      </c>
      <c r="D752" s="74">
        <f t="shared" si="427"/>
        <v>19</v>
      </c>
      <c r="E752" s="74">
        <f t="shared" si="428"/>
        <v>18</v>
      </c>
      <c r="F752" s="114">
        <v>17</v>
      </c>
      <c r="G752" s="74">
        <f t="shared" si="429"/>
        <v>16</v>
      </c>
      <c r="H752" s="74">
        <f t="shared" si="430"/>
        <v>15</v>
      </c>
      <c r="I752" s="74">
        <f t="shared" si="431"/>
        <v>14</v>
      </c>
      <c r="J752" s="114">
        <f t="shared" si="432"/>
        <v>13</v>
      </c>
      <c r="K752" s="74">
        <f t="shared" si="440"/>
        <v>12.25</v>
      </c>
      <c r="L752" s="114">
        <f t="shared" si="439"/>
        <v>11.5</v>
      </c>
      <c r="M752" s="115">
        <f t="shared" si="441"/>
        <v>12.413</v>
      </c>
      <c r="N752" s="115">
        <f t="shared" si="442"/>
        <v>13.3315</v>
      </c>
      <c r="O752" s="74">
        <f t="shared" si="443"/>
        <v>14.25</v>
      </c>
      <c r="P752" s="74">
        <f t="shared" si="444"/>
        <v>15.163</v>
      </c>
      <c r="Q752" s="74">
        <f t="shared" si="445"/>
        <v>16.076000000000001</v>
      </c>
      <c r="R752" s="114">
        <v>17</v>
      </c>
      <c r="S752" s="129"/>
      <c r="T752" s="117">
        <f>SUM((BO19+BP19+BQ18+BR18+BS17+BT17+BU16+BV16+BW15+BX15+BY14+BZ14+CA13+CB13+CC12+CD12+CE11+CF11+CF9+CE9+CD8+CC8+CB7+CA7+BZ6+BY6+BX5+BW5)*-0.132/2,(BN20+CG10+BV4)*-0.132,17)</f>
        <v>16.678461538461537</v>
      </c>
      <c r="U752" s="117">
        <f>Lefty!T752</f>
        <v>17.915538461538461</v>
      </c>
    </row>
    <row r="753" spans="2:21">
      <c r="B753" s="114">
        <v>22</v>
      </c>
      <c r="C753" s="74">
        <f t="shared" si="426"/>
        <v>20.75</v>
      </c>
      <c r="D753" s="74">
        <f t="shared" si="427"/>
        <v>19.5</v>
      </c>
      <c r="E753" s="74">
        <f t="shared" si="428"/>
        <v>18.25</v>
      </c>
      <c r="F753" s="114">
        <v>17</v>
      </c>
      <c r="G753" s="74">
        <f t="shared" si="429"/>
        <v>15.75</v>
      </c>
      <c r="H753" s="74">
        <f t="shared" si="430"/>
        <v>14.5</v>
      </c>
      <c r="I753" s="74">
        <f t="shared" si="431"/>
        <v>13.25</v>
      </c>
      <c r="J753" s="114">
        <f t="shared" si="432"/>
        <v>12</v>
      </c>
      <c r="K753" s="74">
        <f t="shared" si="440"/>
        <v>11.0625</v>
      </c>
      <c r="L753" s="114">
        <f t="shared" si="439"/>
        <v>10.125</v>
      </c>
      <c r="M753" s="115">
        <f t="shared" si="441"/>
        <v>11.266249999999999</v>
      </c>
      <c r="N753" s="115">
        <f t="shared" si="442"/>
        <v>12.414375</v>
      </c>
      <c r="O753" s="74">
        <f t="shared" si="443"/>
        <v>13.5625</v>
      </c>
      <c r="P753" s="74">
        <f t="shared" si="444"/>
        <v>14.703749999999999</v>
      </c>
      <c r="Q753" s="74">
        <f t="shared" si="445"/>
        <v>15.844999999999999</v>
      </c>
      <c r="R753" s="114">
        <v>17</v>
      </c>
      <c r="S753" s="129"/>
      <c r="T753" s="117">
        <f>SUM((BL20+BM20+BN19+BO19+BS17+BT17+BU16+BV16+BZ14+CA14+CE12+CF12+CG11+CH11+CI10+CJ10)*-0.132/2,(BP18+BQ18+BR18+BW15+BX15+BY15+CB13+CC13+CD13)*-0.132/3,(CI9+CH9+CG9+CF8+CE8+CD8)*-0.132/3,(CC7+CB7+CA6+BZ6+BY5+BX5+BW4+BV4)*-0.132/2,17)</f>
        <v>16.106461538461538</v>
      </c>
      <c r="U753" s="117">
        <f>Lefty!T753</f>
        <v>18.201538461538462</v>
      </c>
    </row>
    <row r="754" spans="2:21">
      <c r="B754" s="114">
        <v>23</v>
      </c>
      <c r="C754" s="74">
        <f t="shared" si="426"/>
        <v>21.5</v>
      </c>
      <c r="D754" s="74">
        <f t="shared" si="427"/>
        <v>20</v>
      </c>
      <c r="E754" s="74">
        <f t="shared" si="428"/>
        <v>18.5</v>
      </c>
      <c r="F754" s="114">
        <v>17</v>
      </c>
      <c r="G754" s="74">
        <f t="shared" si="429"/>
        <v>15.5</v>
      </c>
      <c r="H754" s="74">
        <f t="shared" si="430"/>
        <v>14</v>
      </c>
      <c r="I754" s="74">
        <f t="shared" si="431"/>
        <v>12.5</v>
      </c>
      <c r="J754" s="114">
        <f t="shared" si="432"/>
        <v>11</v>
      </c>
      <c r="K754" s="74">
        <f t="shared" si="440"/>
        <v>9.875</v>
      </c>
      <c r="L754" s="114">
        <f t="shared" si="439"/>
        <v>8.75</v>
      </c>
      <c r="M754" s="115">
        <f t="shared" si="441"/>
        <v>10.1195</v>
      </c>
      <c r="N754" s="115">
        <f t="shared" si="442"/>
        <v>11.497250000000001</v>
      </c>
      <c r="O754" s="74">
        <f t="shared" si="443"/>
        <v>12.875</v>
      </c>
      <c r="P754" s="74">
        <f t="shared" si="444"/>
        <v>14.2445</v>
      </c>
      <c r="Q754" s="74">
        <f t="shared" si="445"/>
        <v>15.614000000000001</v>
      </c>
      <c r="R754" s="114">
        <v>17</v>
      </c>
      <c r="S754" s="129"/>
      <c r="T754" s="117">
        <f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16.304461538461538</v>
      </c>
      <c r="U754" s="117">
        <f>Lefty!T754</f>
        <v>17.805538461538461</v>
      </c>
    </row>
    <row r="755" spans="2:21">
      <c r="B755" s="114">
        <v>24</v>
      </c>
      <c r="C755" s="74">
        <f t="shared" si="426"/>
        <v>22.25</v>
      </c>
      <c r="D755" s="74">
        <f t="shared" si="427"/>
        <v>20.5</v>
      </c>
      <c r="E755" s="74">
        <f t="shared" si="428"/>
        <v>18.75</v>
      </c>
      <c r="F755" s="114">
        <v>17</v>
      </c>
      <c r="G755" s="74">
        <f t="shared" si="429"/>
        <v>15.25</v>
      </c>
      <c r="H755" s="74">
        <f t="shared" si="430"/>
        <v>13.5</v>
      </c>
      <c r="I755" s="74">
        <f t="shared" si="431"/>
        <v>11.75</v>
      </c>
      <c r="J755" s="114">
        <f t="shared" si="432"/>
        <v>10</v>
      </c>
      <c r="K755" s="74">
        <f t="shared" si="440"/>
        <v>8.6875</v>
      </c>
      <c r="L755" s="114">
        <f t="shared" si="439"/>
        <v>7.375</v>
      </c>
      <c r="M755" s="115">
        <f t="shared" si="441"/>
        <v>8.9727499999999996</v>
      </c>
      <c r="N755" s="115">
        <f t="shared" si="442"/>
        <v>10.580125000000001</v>
      </c>
      <c r="O755" s="74">
        <f t="shared" si="443"/>
        <v>12.1875</v>
      </c>
      <c r="P755" s="74">
        <f t="shared" si="444"/>
        <v>13.785250000000001</v>
      </c>
      <c r="Q755" s="74">
        <f t="shared" si="445"/>
        <v>15.382999999999999</v>
      </c>
      <c r="R755" s="114">
        <v>17</v>
      </c>
      <c r="S755" s="129"/>
      <c r="T755" s="117">
        <f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16.359461538461538</v>
      </c>
      <c r="U755" s="117">
        <f>Lefty!T755</f>
        <v>17.71753846153846</v>
      </c>
    </row>
    <row r="756" spans="2:21">
      <c r="B756" s="114">
        <v>25</v>
      </c>
      <c r="C756" s="74">
        <f t="shared" si="426"/>
        <v>23</v>
      </c>
      <c r="D756" s="74">
        <f t="shared" si="427"/>
        <v>21</v>
      </c>
      <c r="E756" s="74">
        <f t="shared" si="428"/>
        <v>19</v>
      </c>
      <c r="F756" s="114">
        <v>17</v>
      </c>
      <c r="G756" s="74">
        <f t="shared" si="429"/>
        <v>15</v>
      </c>
      <c r="H756" s="74">
        <f t="shared" si="430"/>
        <v>13</v>
      </c>
      <c r="I756" s="74">
        <f t="shared" si="431"/>
        <v>11</v>
      </c>
      <c r="J756" s="114">
        <f t="shared" si="432"/>
        <v>9</v>
      </c>
      <c r="K756" s="74">
        <f t="shared" si="440"/>
        <v>7.5</v>
      </c>
      <c r="L756" s="114">
        <f t="shared" si="439"/>
        <v>6</v>
      </c>
      <c r="M756" s="115">
        <f t="shared" si="441"/>
        <v>7.8260000000000005</v>
      </c>
      <c r="N756" s="115">
        <f t="shared" si="442"/>
        <v>9.6630000000000003</v>
      </c>
      <c r="O756" s="74">
        <f t="shared" si="443"/>
        <v>11.5</v>
      </c>
      <c r="P756" s="74">
        <f t="shared" si="444"/>
        <v>13.326000000000001</v>
      </c>
      <c r="Q756" s="74">
        <f t="shared" si="445"/>
        <v>15.151999999999999</v>
      </c>
      <c r="R756" s="114">
        <v>17</v>
      </c>
      <c r="S756" s="129"/>
      <c r="T756" s="117">
        <f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16.194461538461539</v>
      </c>
      <c r="U756" s="117">
        <f>Lefty!T756</f>
        <v>17.475538461538463</v>
      </c>
    </row>
    <row r="757" spans="2:21">
      <c r="B757" s="114">
        <v>26</v>
      </c>
      <c r="C757" s="74">
        <f t="shared" si="426"/>
        <v>23.75</v>
      </c>
      <c r="D757" s="74">
        <f t="shared" si="427"/>
        <v>21.5</v>
      </c>
      <c r="E757" s="74">
        <f t="shared" si="428"/>
        <v>19.25</v>
      </c>
      <c r="F757" s="114">
        <v>17</v>
      </c>
      <c r="G757" s="74">
        <f t="shared" si="429"/>
        <v>14.75</v>
      </c>
      <c r="H757" s="74">
        <f t="shared" si="430"/>
        <v>12.5</v>
      </c>
      <c r="I757" s="74">
        <f t="shared" si="431"/>
        <v>10.25</v>
      </c>
      <c r="J757" s="114">
        <f t="shared" si="432"/>
        <v>8</v>
      </c>
      <c r="K757" s="74">
        <f t="shared" si="440"/>
        <v>6.3125</v>
      </c>
      <c r="L757" s="114">
        <f t="shared" si="439"/>
        <v>4.625</v>
      </c>
      <c r="M757" s="115">
        <f t="shared" si="441"/>
        <v>6.6792499999999997</v>
      </c>
      <c r="N757" s="115">
        <f t="shared" si="442"/>
        <v>8.7458749999999998</v>
      </c>
      <c r="O757" s="74">
        <f t="shared" si="443"/>
        <v>10.8125</v>
      </c>
      <c r="P757" s="74">
        <f t="shared" si="444"/>
        <v>12.86675</v>
      </c>
      <c r="Q757" s="74">
        <f t="shared" si="445"/>
        <v>14.920999999999999</v>
      </c>
      <c r="R757" s="114">
        <v>17</v>
      </c>
      <c r="S757" s="129"/>
      <c r="T757" s="117">
        <f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15.886461538461537</v>
      </c>
      <c r="U757" s="117">
        <f>Lefty!T757</f>
        <v>17.376538461538463</v>
      </c>
    </row>
    <row r="758" spans="2:21">
      <c r="B758" s="114">
        <v>27</v>
      </c>
      <c r="C758" s="74">
        <f t="shared" si="426"/>
        <v>24.5</v>
      </c>
      <c r="D758" s="74">
        <f t="shared" si="427"/>
        <v>22</v>
      </c>
      <c r="E758" s="74">
        <f t="shared" si="428"/>
        <v>19.5</v>
      </c>
      <c r="F758" s="114">
        <v>17</v>
      </c>
      <c r="G758" s="74">
        <f t="shared" si="429"/>
        <v>14.5</v>
      </c>
      <c r="H758" s="74">
        <f t="shared" si="430"/>
        <v>12</v>
      </c>
      <c r="I758" s="74">
        <f t="shared" si="431"/>
        <v>9.5</v>
      </c>
      <c r="J758" s="114">
        <f t="shared" si="432"/>
        <v>7</v>
      </c>
      <c r="K758" s="74">
        <f t="shared" si="440"/>
        <v>5.125</v>
      </c>
      <c r="L758" s="114">
        <f t="shared" si="439"/>
        <v>3.25</v>
      </c>
      <c r="M758" s="115">
        <f t="shared" si="441"/>
        <v>5.5325000000000006</v>
      </c>
      <c r="N758" s="115">
        <f t="shared" si="442"/>
        <v>7.8287500000000003</v>
      </c>
      <c r="O758" s="74">
        <f t="shared" si="443"/>
        <v>10.125</v>
      </c>
      <c r="P758" s="74">
        <f t="shared" si="444"/>
        <v>12.407500000000001</v>
      </c>
      <c r="Q758" s="74">
        <f t="shared" si="445"/>
        <v>14.69</v>
      </c>
      <c r="R758" s="114">
        <v>17</v>
      </c>
      <c r="S758" s="129"/>
      <c r="T758" s="117">
        <f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15.807261538461537</v>
      </c>
      <c r="U758" s="117">
        <f>Lefty!T758</f>
        <v>17.314938461538461</v>
      </c>
    </row>
    <row r="759" spans="2:21">
      <c r="B759" s="114">
        <v>28</v>
      </c>
      <c r="C759" s="74">
        <f t="shared" si="426"/>
        <v>25.25</v>
      </c>
      <c r="D759" s="74">
        <f t="shared" si="427"/>
        <v>22.5</v>
      </c>
      <c r="E759" s="74">
        <f t="shared" si="428"/>
        <v>19.75</v>
      </c>
      <c r="F759" s="114">
        <v>17</v>
      </c>
      <c r="G759" s="74">
        <f t="shared" si="429"/>
        <v>14.25</v>
      </c>
      <c r="H759" s="74">
        <f t="shared" si="430"/>
        <v>11.5</v>
      </c>
      <c r="I759" s="74">
        <f t="shared" si="431"/>
        <v>8.75</v>
      </c>
      <c r="J759" s="114">
        <f t="shared" si="432"/>
        <v>6</v>
      </c>
      <c r="K759" s="74">
        <f t="shared" si="440"/>
        <v>3.9375</v>
      </c>
      <c r="L759" s="114">
        <f t="shared" si="439"/>
        <v>1.875</v>
      </c>
      <c r="M759" s="115">
        <f t="shared" si="441"/>
        <v>4.3857499999999998</v>
      </c>
      <c r="N759" s="115">
        <f t="shared" si="442"/>
        <v>6.9116249999999999</v>
      </c>
      <c r="O759" s="74">
        <f t="shared" si="443"/>
        <v>9.4375</v>
      </c>
      <c r="P759" s="74">
        <f t="shared" si="444"/>
        <v>11.94825</v>
      </c>
      <c r="Q759" s="74">
        <f t="shared" si="445"/>
        <v>14.459</v>
      </c>
      <c r="R759" s="114">
        <v>17</v>
      </c>
      <c r="S759" s="129"/>
      <c r="T759" s="117">
        <f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15.741261538461538</v>
      </c>
      <c r="U759" s="117">
        <f>Lefty!T759</f>
        <v>17.147738461538463</v>
      </c>
    </row>
    <row r="760" spans="2:21">
      <c r="B760" s="114"/>
      <c r="C760" s="74"/>
      <c r="D760" s="74"/>
      <c r="E760" s="74"/>
      <c r="F760" s="114"/>
      <c r="G760" s="74"/>
      <c r="H760" s="74"/>
      <c r="I760" s="74"/>
      <c r="J760" s="114"/>
      <c r="K760" s="74"/>
      <c r="L760" s="114"/>
      <c r="M760" s="115"/>
      <c r="N760" s="115"/>
      <c r="O760" s="74"/>
      <c r="P760" s="74"/>
      <c r="Q760" s="74"/>
      <c r="R760" s="114"/>
      <c r="S760" s="129"/>
    </row>
    <row r="761" spans="2:21">
      <c r="B761" s="114">
        <v>19</v>
      </c>
      <c r="C761" s="74">
        <f t="shared" si="426"/>
        <v>18.75</v>
      </c>
      <c r="D761" s="74">
        <f t="shared" si="427"/>
        <v>18.5</v>
      </c>
      <c r="E761" s="74">
        <f t="shared" si="428"/>
        <v>18.25</v>
      </c>
      <c r="F761" s="114">
        <v>18</v>
      </c>
      <c r="G761" s="74">
        <f t="shared" si="429"/>
        <v>17.75</v>
      </c>
      <c r="H761" s="74">
        <f t="shared" si="430"/>
        <v>17.5</v>
      </c>
      <c r="I761" s="74">
        <f t="shared" si="431"/>
        <v>17.25</v>
      </c>
      <c r="J761" s="114">
        <f t="shared" si="432"/>
        <v>17</v>
      </c>
      <c r="K761" s="74">
        <f t="shared" ref="K761:K772" si="446">SUM(0.5*(L761-J761),J761)</f>
        <v>16.8125</v>
      </c>
      <c r="L761" s="114">
        <f t="shared" si="439"/>
        <v>16.625</v>
      </c>
      <c r="M761" s="115">
        <f t="shared" ref="M761:M772" si="447">SUM(0.166*(R761-L761),L761)</f>
        <v>16.687249999999999</v>
      </c>
      <c r="N761" s="115">
        <f t="shared" ref="N761:N772" si="448">SUM(0.333*(R761-L761),L761)</f>
        <v>16.749874999999999</v>
      </c>
      <c r="O761" s="74">
        <f t="shared" ref="O761:O772" si="449">SUM(0.5*(R761-L761),L761)</f>
        <v>16.8125</v>
      </c>
      <c r="P761" s="74">
        <f t="shared" ref="P761:P772" si="450">SUM(0.666*(R761-L761),L761)</f>
        <v>16.874749999999999</v>
      </c>
      <c r="Q761" s="74">
        <f t="shared" ref="Q761:Q772" si="451">SUM(0.832*(R761-L761),L761)</f>
        <v>16.937000000000001</v>
      </c>
      <c r="R761" s="114">
        <v>17</v>
      </c>
      <c r="S761" s="129"/>
      <c r="T761" s="117">
        <f>SUM((BR20+BS19+BS18+BT17+BT16+BU15+BU14+BV13+BV12+BW11+BW10+BW9+BW8+BV7+BV6+BV5+BV4)*-0.132,17)</f>
        <v>16.480461538461537</v>
      </c>
      <c r="U761" s="117">
        <f>Lefty!T761</f>
        <v>17.783538461538463</v>
      </c>
    </row>
    <row r="762" spans="2:21">
      <c r="B762" s="114">
        <v>20</v>
      </c>
      <c r="C762" s="74">
        <f t="shared" si="426"/>
        <v>19.5</v>
      </c>
      <c r="D762" s="74">
        <f t="shared" si="427"/>
        <v>19</v>
      </c>
      <c r="E762" s="74">
        <f t="shared" si="428"/>
        <v>18.5</v>
      </c>
      <c r="F762" s="114">
        <v>18</v>
      </c>
      <c r="G762" s="74">
        <f t="shared" si="429"/>
        <v>17.5</v>
      </c>
      <c r="H762" s="74">
        <f t="shared" si="430"/>
        <v>17</v>
      </c>
      <c r="I762" s="74">
        <f t="shared" si="431"/>
        <v>16.5</v>
      </c>
      <c r="J762" s="114">
        <f t="shared" si="432"/>
        <v>16</v>
      </c>
      <c r="K762" s="74">
        <f t="shared" si="446"/>
        <v>15.625</v>
      </c>
      <c r="L762" s="114">
        <f t="shared" si="439"/>
        <v>15.25</v>
      </c>
      <c r="M762" s="115">
        <f t="shared" si="447"/>
        <v>15.5405</v>
      </c>
      <c r="N762" s="115">
        <f t="shared" si="448"/>
        <v>15.832750000000001</v>
      </c>
      <c r="O762" s="74">
        <f t="shared" si="449"/>
        <v>16.125</v>
      </c>
      <c r="P762" s="74">
        <f t="shared" si="450"/>
        <v>16.415500000000002</v>
      </c>
      <c r="Q762" s="74">
        <f t="shared" si="451"/>
        <v>16.706</v>
      </c>
      <c r="R762" s="114">
        <v>17</v>
      </c>
      <c r="S762" s="129"/>
      <c r="T762" s="117">
        <f>SUM((BP20+BQ19+BR18+BS17+BT16+BU15+BV14+BW13+BX12+BY11+BZ10+BY9+BX8+BW7+BW6+BV5+BV4)*-0.132,17)</f>
        <v>16.480461538461537</v>
      </c>
      <c r="U762" s="117">
        <f>Lefty!T762</f>
        <v>17.651538461538461</v>
      </c>
    </row>
    <row r="763" spans="2:21">
      <c r="B763" s="114">
        <v>21</v>
      </c>
      <c r="C763" s="74">
        <f t="shared" si="426"/>
        <v>20.25</v>
      </c>
      <c r="D763" s="74">
        <f t="shared" si="427"/>
        <v>19.5</v>
      </c>
      <c r="E763" s="74">
        <f t="shared" si="428"/>
        <v>18.75</v>
      </c>
      <c r="F763" s="114">
        <v>18</v>
      </c>
      <c r="G763" s="74">
        <f t="shared" si="429"/>
        <v>17.25</v>
      </c>
      <c r="H763" s="74">
        <f t="shared" si="430"/>
        <v>16.5</v>
      </c>
      <c r="I763" s="74">
        <f t="shared" si="431"/>
        <v>15.75</v>
      </c>
      <c r="J763" s="114">
        <f t="shared" si="432"/>
        <v>15</v>
      </c>
      <c r="K763" s="74">
        <f t="shared" si="446"/>
        <v>14.4375</v>
      </c>
      <c r="L763" s="114">
        <f t="shared" si="439"/>
        <v>13.875</v>
      </c>
      <c r="M763" s="115">
        <f t="shared" si="447"/>
        <v>14.393750000000001</v>
      </c>
      <c r="N763" s="115">
        <f t="shared" si="448"/>
        <v>14.915625</v>
      </c>
      <c r="O763" s="74">
        <f t="shared" si="449"/>
        <v>15.4375</v>
      </c>
      <c r="P763" s="74">
        <f t="shared" si="450"/>
        <v>15.956250000000001</v>
      </c>
      <c r="Q763" s="74">
        <f t="shared" si="451"/>
        <v>16.475000000000001</v>
      </c>
      <c r="R763" s="114">
        <v>17</v>
      </c>
      <c r="S763" s="129"/>
      <c r="T763" s="117">
        <f>SUM((BN20+BQ18+BT16+BW14+BZ12+CA11+CB10+CA9+BZ8+BY7+BX6+BW5+BV4)*-0.132,(BO19+BP19+BR17+BS17+BU15+BV15+BX13+BY13)*-0.132/2,17)</f>
        <v>16.612461538461538</v>
      </c>
      <c r="U763" s="117">
        <f>Lefty!T763</f>
        <v>17.71753846153846</v>
      </c>
    </row>
    <row r="764" spans="2:21">
      <c r="B764" s="114">
        <v>22</v>
      </c>
      <c r="C764" s="74">
        <f t="shared" si="426"/>
        <v>21</v>
      </c>
      <c r="D764" s="74">
        <f t="shared" si="427"/>
        <v>20</v>
      </c>
      <c r="E764" s="74">
        <f t="shared" si="428"/>
        <v>19</v>
      </c>
      <c r="F764" s="114">
        <v>18</v>
      </c>
      <c r="G764" s="74">
        <f t="shared" si="429"/>
        <v>17</v>
      </c>
      <c r="H764" s="74">
        <f t="shared" si="430"/>
        <v>16</v>
      </c>
      <c r="I764" s="74">
        <f t="shared" si="431"/>
        <v>15</v>
      </c>
      <c r="J764" s="114">
        <f t="shared" si="432"/>
        <v>14</v>
      </c>
      <c r="K764" s="74">
        <f t="shared" si="446"/>
        <v>13.25</v>
      </c>
      <c r="L764" s="114">
        <f t="shared" si="439"/>
        <v>12.5</v>
      </c>
      <c r="M764" s="115">
        <f t="shared" si="447"/>
        <v>13.247</v>
      </c>
      <c r="N764" s="115">
        <f t="shared" si="448"/>
        <v>13.9985</v>
      </c>
      <c r="O764" s="74">
        <f t="shared" si="449"/>
        <v>14.75</v>
      </c>
      <c r="P764" s="74">
        <f t="shared" si="450"/>
        <v>15.497</v>
      </c>
      <c r="Q764" s="74">
        <f t="shared" si="451"/>
        <v>16.244</v>
      </c>
      <c r="R764" s="114">
        <v>17</v>
      </c>
      <c r="S764" s="129"/>
      <c r="T764" s="117">
        <f>SUM((BM19+BN19+BO18+BP18+BQ17+BR17+BS16+BT16+BU15+BV15+BW14+BX14+BY13+BZ13+CA12+CB12+CC11+CD11)*-0.132/2,(BL20+CE10+BX6+BW5+BV4)*-0.132,(CD9+CC9+CB8+CA8+BZ7+BY7)*-0.132/2,17)</f>
        <v>16.150461538461538</v>
      </c>
      <c r="U764" s="117">
        <f>Lefty!T764</f>
        <v>17.783538461538463</v>
      </c>
    </row>
    <row r="765" spans="2:21">
      <c r="B765" s="114">
        <v>23</v>
      </c>
      <c r="C765" s="74">
        <f t="shared" si="426"/>
        <v>21.75</v>
      </c>
      <c r="D765" s="74">
        <f t="shared" si="427"/>
        <v>20.5</v>
      </c>
      <c r="E765" s="74">
        <f t="shared" si="428"/>
        <v>19.25</v>
      </c>
      <c r="F765" s="114">
        <v>18</v>
      </c>
      <c r="G765" s="74">
        <f t="shared" si="429"/>
        <v>16.75</v>
      </c>
      <c r="H765" s="74">
        <f t="shared" si="430"/>
        <v>15.5</v>
      </c>
      <c r="I765" s="74">
        <f t="shared" si="431"/>
        <v>14.25</v>
      </c>
      <c r="J765" s="114">
        <f t="shared" si="432"/>
        <v>13</v>
      </c>
      <c r="K765" s="74">
        <f t="shared" si="446"/>
        <v>12.0625</v>
      </c>
      <c r="L765" s="114">
        <f t="shared" si="439"/>
        <v>11.125</v>
      </c>
      <c r="M765" s="115">
        <f t="shared" si="447"/>
        <v>12.100250000000001</v>
      </c>
      <c r="N765" s="115">
        <f t="shared" si="448"/>
        <v>13.081375</v>
      </c>
      <c r="O765" s="74">
        <f t="shared" si="449"/>
        <v>14.0625</v>
      </c>
      <c r="P765" s="74">
        <f t="shared" si="450"/>
        <v>15.037750000000001</v>
      </c>
      <c r="Q765" s="74">
        <f t="shared" si="451"/>
        <v>16.012999999999998</v>
      </c>
      <c r="R765" s="114">
        <v>17</v>
      </c>
      <c r="S765" s="129"/>
      <c r="T765" s="117">
        <f>SUM((BJ20+BK20+BL19+BM19+BQ17+BR17+BS16+BT16+BX14+BY14+CC12+CD12+CE11+CF11+CG10+CH10)*-0.132/2,(BN18+BO18+BP18+BU15+BV15+BW15+BZ13+CA13+CB13)*-0.132/3,(CG9+CF9+CE8+CD8+CC7+CB7+CA6+BZ6+BY5+BX5+BW4+BV4)*-0.132/2,17)</f>
        <v>16.040461538461539</v>
      </c>
      <c r="U765" s="117">
        <f>Lefty!T765</f>
        <v>17.673538461538463</v>
      </c>
    </row>
    <row r="766" spans="2:21">
      <c r="B766" s="114">
        <v>24</v>
      </c>
      <c r="C766" s="74">
        <f t="shared" si="426"/>
        <v>22.5</v>
      </c>
      <c r="D766" s="74">
        <f t="shared" si="427"/>
        <v>21</v>
      </c>
      <c r="E766" s="74">
        <f t="shared" si="428"/>
        <v>19.5</v>
      </c>
      <c r="F766" s="114">
        <v>18</v>
      </c>
      <c r="G766" s="74">
        <f t="shared" si="429"/>
        <v>16.5</v>
      </c>
      <c r="H766" s="74">
        <f t="shared" si="430"/>
        <v>15</v>
      </c>
      <c r="I766" s="74">
        <f t="shared" si="431"/>
        <v>13.5</v>
      </c>
      <c r="J766" s="114">
        <f t="shared" si="432"/>
        <v>12</v>
      </c>
      <c r="K766" s="74">
        <f t="shared" si="446"/>
        <v>10.875</v>
      </c>
      <c r="L766" s="114">
        <f t="shared" si="439"/>
        <v>9.75</v>
      </c>
      <c r="M766" s="115">
        <f t="shared" si="447"/>
        <v>10.9535</v>
      </c>
      <c r="N766" s="115">
        <f t="shared" si="448"/>
        <v>12.164249999999999</v>
      </c>
      <c r="O766" s="74">
        <f t="shared" si="449"/>
        <v>13.375</v>
      </c>
      <c r="P766" s="74">
        <f t="shared" si="450"/>
        <v>14.5785</v>
      </c>
      <c r="Q766" s="74">
        <f t="shared" si="451"/>
        <v>15.782</v>
      </c>
      <c r="R766" s="114">
        <v>17</v>
      </c>
      <c r="S766" s="129"/>
      <c r="T766" s="117">
        <f>SUM((BH20+BI20+BM18+BN18)*-0.132/2,(BJ19+BK19+BL19+BO17+BP17+BQ17+BR16+BS16+BT16+BU15+BV15+BW15+BX14+BY14+BZ14+CA13+CB13+CC13+CD12+CE12+CF12+CG11+CH11+CI11)*-0.132/3,(CJ10+CK10+CA6+BZ6+BY5+BX5+BW4+BV4)*-0.132/2,(CJ9+CI9+CH9+CG8+CF8+CE8+CD7+CC7+CB7)*-0.132/3,17)</f>
        <v>15.732461538461537</v>
      </c>
      <c r="U766" s="117">
        <f>Lefty!T766</f>
        <v>17.695538461538462</v>
      </c>
    </row>
    <row r="767" spans="2:21">
      <c r="B767" s="114">
        <v>25</v>
      </c>
      <c r="C767" s="74">
        <f t="shared" si="426"/>
        <v>23.25</v>
      </c>
      <c r="D767" s="74">
        <f t="shared" si="427"/>
        <v>21.5</v>
      </c>
      <c r="E767" s="74">
        <f t="shared" si="428"/>
        <v>19.75</v>
      </c>
      <c r="F767" s="114">
        <v>18</v>
      </c>
      <c r="G767" s="74">
        <f t="shared" si="429"/>
        <v>16.25</v>
      </c>
      <c r="H767" s="74">
        <f t="shared" si="430"/>
        <v>14.5</v>
      </c>
      <c r="I767" s="74">
        <f t="shared" si="431"/>
        <v>12.75</v>
      </c>
      <c r="J767" s="114">
        <f t="shared" si="432"/>
        <v>11</v>
      </c>
      <c r="K767" s="74">
        <f t="shared" si="446"/>
        <v>9.6875</v>
      </c>
      <c r="L767" s="114">
        <f t="shared" si="439"/>
        <v>8.375</v>
      </c>
      <c r="M767" s="115">
        <f t="shared" si="447"/>
        <v>9.806750000000001</v>
      </c>
      <c r="N767" s="115">
        <f t="shared" si="448"/>
        <v>11.247125</v>
      </c>
      <c r="O767" s="74">
        <f t="shared" si="449"/>
        <v>12.6875</v>
      </c>
      <c r="P767" s="74">
        <f t="shared" si="450"/>
        <v>14.119250000000001</v>
      </c>
      <c r="Q767" s="74">
        <f t="shared" si="451"/>
        <v>15.550999999999998</v>
      </c>
      <c r="R767" s="114">
        <v>17</v>
      </c>
      <c r="S767" s="129"/>
      <c r="T767" s="117">
        <f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16.216461538461537</v>
      </c>
      <c r="U767" s="117">
        <f>Lefty!T767</f>
        <v>17.40953846153846</v>
      </c>
    </row>
    <row r="768" spans="2:21">
      <c r="B768" s="114">
        <v>26</v>
      </c>
      <c r="C768" s="74">
        <f t="shared" si="426"/>
        <v>24</v>
      </c>
      <c r="D768" s="74">
        <f t="shared" si="427"/>
        <v>22</v>
      </c>
      <c r="E768" s="74">
        <f t="shared" si="428"/>
        <v>20</v>
      </c>
      <c r="F768" s="114">
        <v>18</v>
      </c>
      <c r="G768" s="74">
        <f t="shared" si="429"/>
        <v>16</v>
      </c>
      <c r="H768" s="74">
        <f t="shared" si="430"/>
        <v>14</v>
      </c>
      <c r="I768" s="74">
        <f t="shared" si="431"/>
        <v>12</v>
      </c>
      <c r="J768" s="114">
        <f t="shared" si="432"/>
        <v>10</v>
      </c>
      <c r="K768" s="74">
        <f t="shared" si="446"/>
        <v>8.5</v>
      </c>
      <c r="L768" s="114">
        <f t="shared" si="439"/>
        <v>7</v>
      </c>
      <c r="M768" s="115">
        <f t="shared" si="447"/>
        <v>8.66</v>
      </c>
      <c r="N768" s="115">
        <f t="shared" si="448"/>
        <v>10.33</v>
      </c>
      <c r="O768" s="74">
        <f t="shared" si="449"/>
        <v>12</v>
      </c>
      <c r="P768" s="74">
        <f t="shared" si="450"/>
        <v>13.66</v>
      </c>
      <c r="Q768" s="74">
        <f t="shared" si="451"/>
        <v>15.32</v>
      </c>
      <c r="R768" s="114">
        <v>17</v>
      </c>
      <c r="S768" s="129"/>
      <c r="T768" s="117">
        <f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16.106461538461538</v>
      </c>
      <c r="U768" s="117">
        <f>Lefty!T768</f>
        <v>17.332538461538462</v>
      </c>
    </row>
    <row r="769" spans="2:21">
      <c r="B769" s="114">
        <v>27</v>
      </c>
      <c r="C769" s="74">
        <f t="shared" si="426"/>
        <v>24.75</v>
      </c>
      <c r="D769" s="74">
        <f t="shared" si="427"/>
        <v>22.5</v>
      </c>
      <c r="E769" s="74">
        <f t="shared" si="428"/>
        <v>20.25</v>
      </c>
      <c r="F769" s="114">
        <v>18</v>
      </c>
      <c r="G769" s="74">
        <f t="shared" si="429"/>
        <v>15.75</v>
      </c>
      <c r="H769" s="74">
        <f t="shared" si="430"/>
        <v>13.5</v>
      </c>
      <c r="I769" s="74">
        <f t="shared" si="431"/>
        <v>11.25</v>
      </c>
      <c r="J769" s="114">
        <f t="shared" si="432"/>
        <v>9</v>
      </c>
      <c r="K769" s="74">
        <f t="shared" si="446"/>
        <v>7.3125</v>
      </c>
      <c r="L769" s="114">
        <f t="shared" si="439"/>
        <v>5.625</v>
      </c>
      <c r="M769" s="115">
        <f t="shared" si="447"/>
        <v>7.5132500000000002</v>
      </c>
      <c r="N769" s="115">
        <f t="shared" si="448"/>
        <v>9.4128749999999997</v>
      </c>
      <c r="O769" s="74">
        <f t="shared" si="449"/>
        <v>11.3125</v>
      </c>
      <c r="P769" s="74">
        <f t="shared" si="450"/>
        <v>13.200749999999999</v>
      </c>
      <c r="Q769" s="74">
        <f t="shared" si="451"/>
        <v>15.089</v>
      </c>
      <c r="R769" s="114">
        <v>17</v>
      </c>
      <c r="S769" s="129"/>
      <c r="T769" s="117">
        <f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15.710461538461537</v>
      </c>
      <c r="U769" s="117">
        <f>Lefty!T769</f>
        <v>17.070738461538461</v>
      </c>
    </row>
    <row r="770" spans="2:21">
      <c r="B770" s="114">
        <v>28</v>
      </c>
      <c r="C770" s="74">
        <f t="shared" si="426"/>
        <v>25.5</v>
      </c>
      <c r="D770" s="74">
        <f t="shared" si="427"/>
        <v>23</v>
      </c>
      <c r="E770" s="74">
        <f t="shared" si="428"/>
        <v>20.5</v>
      </c>
      <c r="F770" s="114">
        <v>18</v>
      </c>
      <c r="G770" s="74">
        <f t="shared" si="429"/>
        <v>15.5</v>
      </c>
      <c r="H770" s="74">
        <f t="shared" si="430"/>
        <v>13</v>
      </c>
      <c r="I770" s="74">
        <f t="shared" si="431"/>
        <v>10.5</v>
      </c>
      <c r="J770" s="114">
        <f t="shared" si="432"/>
        <v>8</v>
      </c>
      <c r="K770" s="74">
        <f t="shared" si="446"/>
        <v>6.125</v>
      </c>
      <c r="L770" s="114">
        <f t="shared" si="439"/>
        <v>4.25</v>
      </c>
      <c r="M770" s="115">
        <f t="shared" si="447"/>
        <v>6.3665000000000003</v>
      </c>
      <c r="N770" s="115">
        <f t="shared" si="448"/>
        <v>8.495750000000001</v>
      </c>
      <c r="O770" s="74">
        <f t="shared" si="449"/>
        <v>10.625</v>
      </c>
      <c r="P770" s="74">
        <f t="shared" si="450"/>
        <v>12.7415</v>
      </c>
      <c r="Q770" s="74">
        <f t="shared" si="451"/>
        <v>14.857999999999999</v>
      </c>
      <c r="R770" s="114">
        <v>17</v>
      </c>
      <c r="S770" s="129"/>
      <c r="T770" s="117">
        <f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15.549861538461538</v>
      </c>
      <c r="U770" s="117">
        <f>Lefty!T770</f>
        <v>17.11693846153846</v>
      </c>
    </row>
    <row r="771" spans="2:21">
      <c r="B771" s="114">
        <v>29</v>
      </c>
      <c r="C771" s="74">
        <f t="shared" si="426"/>
        <v>26.25</v>
      </c>
      <c r="D771" s="74">
        <f t="shared" si="427"/>
        <v>23.5</v>
      </c>
      <c r="E771" s="74">
        <f t="shared" si="428"/>
        <v>20.75</v>
      </c>
      <c r="F771" s="114">
        <v>18</v>
      </c>
      <c r="G771" s="74">
        <f t="shared" si="429"/>
        <v>15.25</v>
      </c>
      <c r="H771" s="74">
        <f t="shared" si="430"/>
        <v>12.5</v>
      </c>
      <c r="I771" s="74">
        <f t="shared" si="431"/>
        <v>9.75</v>
      </c>
      <c r="J771" s="114">
        <f t="shared" si="432"/>
        <v>7</v>
      </c>
      <c r="K771" s="74">
        <f t="shared" si="446"/>
        <v>4.9375</v>
      </c>
      <c r="L771" s="114">
        <f t="shared" si="439"/>
        <v>2.875</v>
      </c>
      <c r="M771" s="115">
        <f t="shared" si="447"/>
        <v>5.2197500000000003</v>
      </c>
      <c r="N771" s="115">
        <f t="shared" si="448"/>
        <v>7.5786250000000006</v>
      </c>
      <c r="O771" s="74">
        <f t="shared" si="449"/>
        <v>9.9375</v>
      </c>
      <c r="P771" s="74">
        <f t="shared" si="450"/>
        <v>12.282250000000001</v>
      </c>
      <c r="Q771" s="74">
        <f t="shared" si="451"/>
        <v>14.626999999999999</v>
      </c>
      <c r="R771" s="114">
        <v>17</v>
      </c>
      <c r="S771" s="129"/>
      <c r="T771" s="117">
        <f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15.492661538461538</v>
      </c>
      <c r="U771" s="117">
        <f>Lefty!T771</f>
        <v>17.213738461538462</v>
      </c>
    </row>
    <row r="772" spans="2:21">
      <c r="B772" s="114">
        <v>30</v>
      </c>
      <c r="C772" s="74">
        <f t="shared" si="426"/>
        <v>27</v>
      </c>
      <c r="D772" s="74">
        <f t="shared" si="427"/>
        <v>24</v>
      </c>
      <c r="E772" s="74">
        <f t="shared" si="428"/>
        <v>21</v>
      </c>
      <c r="F772" s="114">
        <v>18</v>
      </c>
      <c r="G772" s="74">
        <f t="shared" si="429"/>
        <v>15</v>
      </c>
      <c r="H772" s="74">
        <f t="shared" si="430"/>
        <v>12</v>
      </c>
      <c r="I772" s="74">
        <f t="shared" si="431"/>
        <v>9</v>
      </c>
      <c r="J772" s="114">
        <f t="shared" si="432"/>
        <v>6</v>
      </c>
      <c r="K772" s="74">
        <f t="shared" si="446"/>
        <v>3.75</v>
      </c>
      <c r="L772" s="114">
        <f t="shared" si="439"/>
        <v>1.5</v>
      </c>
      <c r="M772" s="115">
        <f t="shared" si="447"/>
        <v>4.0730000000000004</v>
      </c>
      <c r="N772" s="115">
        <f t="shared" si="448"/>
        <v>6.6615000000000002</v>
      </c>
      <c r="O772" s="74">
        <f t="shared" si="449"/>
        <v>9.25</v>
      </c>
      <c r="P772" s="74">
        <f t="shared" si="450"/>
        <v>11.823</v>
      </c>
      <c r="Q772" s="74">
        <f t="shared" si="451"/>
        <v>14.395999999999999</v>
      </c>
      <c r="R772" s="114">
        <v>17</v>
      </c>
      <c r="S772" s="129"/>
      <c r="T772" s="126">
        <f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15.514661538461539</v>
      </c>
      <c r="U772" s="126">
        <f>Lefty!T772</f>
        <v>17.050938461538461</v>
      </c>
    </row>
    <row r="773" spans="2:21">
      <c r="B773" s="114"/>
      <c r="C773" s="74"/>
      <c r="D773" s="74"/>
      <c r="E773" s="74"/>
      <c r="F773" s="114"/>
      <c r="G773" s="74"/>
      <c r="H773" s="74"/>
      <c r="I773" s="74"/>
      <c r="J773" s="114"/>
      <c r="K773" s="74"/>
      <c r="L773" s="114"/>
      <c r="M773" s="115"/>
      <c r="N773" s="115"/>
      <c r="O773" s="74"/>
      <c r="P773" s="74"/>
      <c r="Q773" s="74"/>
      <c r="R773" s="114"/>
      <c r="S773" s="129"/>
    </row>
    <row r="774" spans="2:21">
      <c r="B774" s="114">
        <v>20</v>
      </c>
      <c r="C774" s="74">
        <f t="shared" si="426"/>
        <v>19.75</v>
      </c>
      <c r="D774" s="74">
        <f t="shared" si="427"/>
        <v>19.5</v>
      </c>
      <c r="E774" s="74">
        <f t="shared" si="428"/>
        <v>19.25</v>
      </c>
      <c r="F774" s="114">
        <v>19</v>
      </c>
      <c r="G774" s="74">
        <f t="shared" si="429"/>
        <v>18.75</v>
      </c>
      <c r="H774" s="74">
        <f t="shared" si="430"/>
        <v>18.5</v>
      </c>
      <c r="I774" s="74">
        <f t="shared" si="431"/>
        <v>18.25</v>
      </c>
      <c r="J774" s="114">
        <f t="shared" si="432"/>
        <v>18</v>
      </c>
      <c r="K774" s="74">
        <f t="shared" ref="K774:K786" si="452">SUM(0.5*(L774-J774),J774)</f>
        <v>17.8125</v>
      </c>
      <c r="L774" s="114">
        <f t="shared" si="439"/>
        <v>17.625</v>
      </c>
      <c r="M774" s="115">
        <f t="shared" ref="M774:M786" si="453">SUM(0.166*(R774-L774),L774)</f>
        <v>17.521249999999998</v>
      </c>
      <c r="N774" s="115">
        <f t="shared" ref="N774:N786" si="454">SUM(0.333*(R774-L774),L774)</f>
        <v>17.416875000000001</v>
      </c>
      <c r="O774" s="74">
        <f t="shared" ref="O774:O786" si="455">SUM(0.5*(R774-L774),L774)</f>
        <v>17.3125</v>
      </c>
      <c r="P774" s="74">
        <f t="shared" ref="P774:P786" si="456">SUM(0.666*(R774-L774),L774)</f>
        <v>17.208749999999998</v>
      </c>
      <c r="Q774" s="74">
        <f t="shared" ref="Q774:Q786" si="457">SUM(0.832*(R774-L774),L774)</f>
        <v>17.105</v>
      </c>
      <c r="R774" s="114">
        <v>17</v>
      </c>
      <c r="S774" s="129"/>
      <c r="T774" s="117">
        <f>SUM((BP20+BQ19+BQ18+BR17+BR16+BS15+BS14+BT13+BT12+BU11+BU10+BU9+BU8+BU7+BV6+BV5+BV4)*-0.132,17)</f>
        <v>16.348461538461539</v>
      </c>
      <c r="U774" s="117">
        <f>Lefty!T774</f>
        <v>17.387538461538462</v>
      </c>
    </row>
    <row r="775" spans="2:21">
      <c r="B775" s="114">
        <v>21</v>
      </c>
      <c r="C775" s="74">
        <f t="shared" si="426"/>
        <v>20.5</v>
      </c>
      <c r="D775" s="74">
        <f t="shared" si="427"/>
        <v>20</v>
      </c>
      <c r="E775" s="74">
        <f t="shared" si="428"/>
        <v>19.5</v>
      </c>
      <c r="F775" s="114">
        <v>19</v>
      </c>
      <c r="G775" s="74">
        <f t="shared" si="429"/>
        <v>18.5</v>
      </c>
      <c r="H775" s="74">
        <f t="shared" si="430"/>
        <v>18</v>
      </c>
      <c r="I775" s="74">
        <f t="shared" si="431"/>
        <v>17.5</v>
      </c>
      <c r="J775" s="114">
        <f t="shared" si="432"/>
        <v>17</v>
      </c>
      <c r="K775" s="74">
        <f t="shared" si="452"/>
        <v>16.625</v>
      </c>
      <c r="L775" s="114">
        <f t="shared" si="439"/>
        <v>16.25</v>
      </c>
      <c r="M775" s="115">
        <f t="shared" si="453"/>
        <v>16.374500000000001</v>
      </c>
      <c r="N775" s="115">
        <f t="shared" si="454"/>
        <v>16.499749999999999</v>
      </c>
      <c r="O775" s="74">
        <f t="shared" si="455"/>
        <v>16.625</v>
      </c>
      <c r="P775" s="74">
        <f t="shared" si="456"/>
        <v>16.749500000000001</v>
      </c>
      <c r="Q775" s="74">
        <f t="shared" si="457"/>
        <v>16.873999999999999</v>
      </c>
      <c r="R775" s="114">
        <v>17</v>
      </c>
      <c r="S775" s="129"/>
      <c r="T775" s="117">
        <f>SUM((BN20+BO19+BP18+BQ17+BR16+BS15+BT14+BU13+BV12+BW11+BX10+BX9+BW8+BW7+BV6+BV5+BV4)*-0.132,17)</f>
        <v>16.480461538461537</v>
      </c>
      <c r="U775" s="117">
        <f>Lefty!T775</f>
        <v>16.991538461538461</v>
      </c>
    </row>
    <row r="776" spans="2:21">
      <c r="B776" s="114">
        <v>22</v>
      </c>
      <c r="C776" s="74">
        <f t="shared" si="426"/>
        <v>21.25</v>
      </c>
      <c r="D776" s="74">
        <f t="shared" si="427"/>
        <v>20.5</v>
      </c>
      <c r="E776" s="74">
        <f t="shared" si="428"/>
        <v>19.75</v>
      </c>
      <c r="F776" s="114">
        <v>19</v>
      </c>
      <c r="G776" s="74">
        <f t="shared" si="429"/>
        <v>18.25</v>
      </c>
      <c r="H776" s="74">
        <f t="shared" si="430"/>
        <v>17.5</v>
      </c>
      <c r="I776" s="74">
        <f t="shared" si="431"/>
        <v>16.75</v>
      </c>
      <c r="J776" s="114">
        <f t="shared" si="432"/>
        <v>16</v>
      </c>
      <c r="K776" s="74">
        <f t="shared" si="452"/>
        <v>15.4375</v>
      </c>
      <c r="L776" s="114">
        <f t="shared" si="439"/>
        <v>14.875</v>
      </c>
      <c r="M776" s="115">
        <f t="shared" si="453"/>
        <v>15.22775</v>
      </c>
      <c r="N776" s="115">
        <f t="shared" si="454"/>
        <v>15.582625</v>
      </c>
      <c r="O776" s="74">
        <f t="shared" si="455"/>
        <v>15.9375</v>
      </c>
      <c r="P776" s="74">
        <f t="shared" si="456"/>
        <v>16.29025</v>
      </c>
      <c r="Q776" s="74">
        <f t="shared" si="457"/>
        <v>16.643000000000001</v>
      </c>
      <c r="R776" s="114">
        <v>17</v>
      </c>
      <c r="S776" s="129"/>
      <c r="T776" s="117">
        <f>SUM((BL20+BO18+BR16+BU14+BX12+BY11+BZ10+BY9+BX8+BW7+BW6+BV5+BV4)*-0.132,(BM19+BN19+BP17+BQ17+BS15+BT15+BV13+BW13)*-0.132/2,17)</f>
        <v>16.282461538461536</v>
      </c>
      <c r="U776" s="117">
        <f>Lefty!T776</f>
        <v>17.25553846153846</v>
      </c>
    </row>
    <row r="777" spans="2:21">
      <c r="B777" s="114">
        <v>23</v>
      </c>
      <c r="C777" s="74">
        <f t="shared" si="426"/>
        <v>22</v>
      </c>
      <c r="D777" s="74">
        <f t="shared" si="427"/>
        <v>21</v>
      </c>
      <c r="E777" s="74">
        <f t="shared" si="428"/>
        <v>20</v>
      </c>
      <c r="F777" s="114">
        <v>19</v>
      </c>
      <c r="G777" s="74">
        <f t="shared" si="429"/>
        <v>18</v>
      </c>
      <c r="H777" s="74">
        <f t="shared" si="430"/>
        <v>17</v>
      </c>
      <c r="I777" s="74">
        <f t="shared" si="431"/>
        <v>16</v>
      </c>
      <c r="J777" s="114">
        <f t="shared" si="432"/>
        <v>15</v>
      </c>
      <c r="K777" s="74">
        <f t="shared" si="452"/>
        <v>14.25</v>
      </c>
      <c r="L777" s="114">
        <f t="shared" si="439"/>
        <v>13.5</v>
      </c>
      <c r="M777" s="115">
        <f t="shared" si="453"/>
        <v>14.081</v>
      </c>
      <c r="N777" s="115">
        <f t="shared" si="454"/>
        <v>14.6655</v>
      </c>
      <c r="O777" s="74">
        <f t="shared" si="455"/>
        <v>15.25</v>
      </c>
      <c r="P777" s="74">
        <f t="shared" si="456"/>
        <v>15.831</v>
      </c>
      <c r="Q777" s="74">
        <f t="shared" si="457"/>
        <v>16.411999999999999</v>
      </c>
      <c r="R777" s="114">
        <v>17</v>
      </c>
      <c r="S777" s="129"/>
      <c r="T777" s="117">
        <f>SUM((BK19+BL19+BM18+BN18+BO17+BP17+BQ16+BR16+BS15+BT15+BU14+BV14+BW13+BX13+BY12+BZ12+CA11+CB11+CB9+CA9)*-0.132/2,(BJ20+CC10+BZ8+BY7+BX6+BW5+BV4)*-0.132,17)</f>
        <v>16.216461538461537</v>
      </c>
      <c r="U777" s="117">
        <f>Lefty!T777</f>
        <v>17.05753846153846</v>
      </c>
    </row>
    <row r="778" spans="2:21">
      <c r="B778" s="114">
        <v>24</v>
      </c>
      <c r="C778" s="74">
        <f t="shared" si="426"/>
        <v>22.75</v>
      </c>
      <c r="D778" s="74">
        <f t="shared" si="427"/>
        <v>21.5</v>
      </c>
      <c r="E778" s="74">
        <f t="shared" si="428"/>
        <v>20.25</v>
      </c>
      <c r="F778" s="114">
        <v>19</v>
      </c>
      <c r="G778" s="74">
        <f t="shared" si="429"/>
        <v>17.75</v>
      </c>
      <c r="H778" s="74">
        <f t="shared" si="430"/>
        <v>16.5</v>
      </c>
      <c r="I778" s="74">
        <f t="shared" si="431"/>
        <v>15.25</v>
      </c>
      <c r="J778" s="114">
        <f t="shared" si="432"/>
        <v>14</v>
      </c>
      <c r="K778" s="74">
        <f t="shared" si="452"/>
        <v>13.0625</v>
      </c>
      <c r="L778" s="114">
        <f t="shared" si="439"/>
        <v>12.125</v>
      </c>
      <c r="M778" s="115">
        <f t="shared" si="453"/>
        <v>12.93425</v>
      </c>
      <c r="N778" s="115">
        <f t="shared" si="454"/>
        <v>13.748374999999999</v>
      </c>
      <c r="O778" s="74">
        <f t="shared" si="455"/>
        <v>14.5625</v>
      </c>
      <c r="P778" s="74">
        <f t="shared" si="456"/>
        <v>15.37175</v>
      </c>
      <c r="Q778" s="74">
        <f t="shared" si="457"/>
        <v>16.181000000000001</v>
      </c>
      <c r="R778" s="114">
        <v>17</v>
      </c>
      <c r="S778" s="129"/>
      <c r="T778" s="117">
        <f>SUM((BH20+BI20+BJ19+BK19+BO17+BP17+BQ16+BR16)*-0.132/2,(BL18+BM18+BN18+BS15+BT15+BU15+BX13+BY13+BZ13)*-0.132/3,(BV14+BW14+CA12+CB12+CC11+CD11+CE10+CF10+CE9+CD9+CC8+CB8+CA7+BZ7+BY6+BX6)*-0.132/2,(BW5+BV4)*-0.132,17)</f>
        <v>16.260461538461538</v>
      </c>
      <c r="U778" s="117">
        <f>Lefty!T778</f>
        <v>17.387538461538462</v>
      </c>
    </row>
    <row r="779" spans="2:21">
      <c r="B779" s="114">
        <v>25</v>
      </c>
      <c r="C779" s="74">
        <f t="shared" si="426"/>
        <v>23.5</v>
      </c>
      <c r="D779" s="74">
        <f t="shared" si="427"/>
        <v>22</v>
      </c>
      <c r="E779" s="74">
        <f t="shared" si="428"/>
        <v>20.5</v>
      </c>
      <c r="F779" s="114">
        <v>19</v>
      </c>
      <c r="G779" s="74">
        <f t="shared" si="429"/>
        <v>17.5</v>
      </c>
      <c r="H779" s="74">
        <f t="shared" si="430"/>
        <v>16</v>
      </c>
      <c r="I779" s="74">
        <f t="shared" si="431"/>
        <v>14.5</v>
      </c>
      <c r="J779" s="114">
        <f t="shared" si="432"/>
        <v>13</v>
      </c>
      <c r="K779" s="74">
        <f t="shared" si="452"/>
        <v>11.875</v>
      </c>
      <c r="L779" s="114">
        <f t="shared" si="439"/>
        <v>10.75</v>
      </c>
      <c r="M779" s="115">
        <f t="shared" si="453"/>
        <v>11.7875</v>
      </c>
      <c r="N779" s="115">
        <f t="shared" si="454"/>
        <v>12.831250000000001</v>
      </c>
      <c r="O779" s="74">
        <f t="shared" si="455"/>
        <v>13.875</v>
      </c>
      <c r="P779" s="74">
        <f t="shared" si="456"/>
        <v>14.912500000000001</v>
      </c>
      <c r="Q779" s="74">
        <f t="shared" si="457"/>
        <v>15.95</v>
      </c>
      <c r="R779" s="114">
        <v>17</v>
      </c>
      <c r="S779" s="129"/>
      <c r="T779" s="117">
        <f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15.842461538461539</v>
      </c>
      <c r="U779" s="117">
        <f>Lefty!T779</f>
        <v>17.365538461538463</v>
      </c>
    </row>
    <row r="780" spans="2:21">
      <c r="B780" s="114">
        <v>26</v>
      </c>
      <c r="C780" s="74">
        <f t="shared" si="426"/>
        <v>24.25</v>
      </c>
      <c r="D780" s="74">
        <f t="shared" si="427"/>
        <v>22.5</v>
      </c>
      <c r="E780" s="74">
        <f t="shared" si="428"/>
        <v>20.75</v>
      </c>
      <c r="F780" s="114">
        <v>19</v>
      </c>
      <c r="G780" s="74">
        <f t="shared" si="429"/>
        <v>17.25</v>
      </c>
      <c r="H780" s="74">
        <f t="shared" si="430"/>
        <v>15.5</v>
      </c>
      <c r="I780" s="74">
        <f t="shared" si="431"/>
        <v>13.75</v>
      </c>
      <c r="J780" s="114">
        <f t="shared" si="432"/>
        <v>12</v>
      </c>
      <c r="K780" s="74">
        <f t="shared" si="452"/>
        <v>10.6875</v>
      </c>
      <c r="L780" s="114">
        <f t="shared" si="439"/>
        <v>9.375</v>
      </c>
      <c r="M780" s="115">
        <f t="shared" si="453"/>
        <v>10.640750000000001</v>
      </c>
      <c r="N780" s="115">
        <f t="shared" si="454"/>
        <v>11.914125</v>
      </c>
      <c r="O780" s="74">
        <f t="shared" si="455"/>
        <v>13.1875</v>
      </c>
      <c r="P780" s="74">
        <f t="shared" si="456"/>
        <v>14.453250000000001</v>
      </c>
      <c r="Q780" s="74">
        <f t="shared" si="457"/>
        <v>15.718999999999999</v>
      </c>
      <c r="R780" s="114">
        <v>17</v>
      </c>
      <c r="S780" s="129"/>
      <c r="T780" s="117">
        <f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15.413461538461537</v>
      </c>
      <c r="U780" s="117">
        <f>Lefty!T780</f>
        <v>17.46453846153846</v>
      </c>
    </row>
    <row r="781" spans="2:21">
      <c r="B781" s="114">
        <v>27</v>
      </c>
      <c r="C781" s="74">
        <f t="shared" si="426"/>
        <v>25</v>
      </c>
      <c r="D781" s="74">
        <f t="shared" si="427"/>
        <v>23</v>
      </c>
      <c r="E781" s="74">
        <f t="shared" si="428"/>
        <v>21</v>
      </c>
      <c r="F781" s="114">
        <v>19</v>
      </c>
      <c r="G781" s="74">
        <f t="shared" si="429"/>
        <v>17</v>
      </c>
      <c r="H781" s="74">
        <f t="shared" si="430"/>
        <v>15</v>
      </c>
      <c r="I781" s="74">
        <f t="shared" si="431"/>
        <v>13</v>
      </c>
      <c r="J781" s="114">
        <f t="shared" si="432"/>
        <v>11</v>
      </c>
      <c r="K781" s="74">
        <f t="shared" si="452"/>
        <v>9.5</v>
      </c>
      <c r="L781" s="114">
        <f t="shared" si="439"/>
        <v>8</v>
      </c>
      <c r="M781" s="115">
        <f t="shared" si="453"/>
        <v>9.4939999999999998</v>
      </c>
      <c r="N781" s="115">
        <f t="shared" si="454"/>
        <v>10.997</v>
      </c>
      <c r="O781" s="74">
        <f t="shared" si="455"/>
        <v>12.5</v>
      </c>
      <c r="P781" s="74">
        <f t="shared" si="456"/>
        <v>13.994</v>
      </c>
      <c r="Q781" s="74">
        <f t="shared" si="457"/>
        <v>15.488</v>
      </c>
      <c r="R781" s="114">
        <v>17</v>
      </c>
      <c r="S781" s="129"/>
      <c r="T781" s="117">
        <f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15.864461538461537</v>
      </c>
      <c r="U781" s="117">
        <f>Lefty!T781</f>
        <v>17.222538461538463</v>
      </c>
    </row>
    <row r="782" spans="2:21">
      <c r="B782" s="114">
        <v>28</v>
      </c>
      <c r="C782" s="74">
        <f t="shared" si="426"/>
        <v>25.75</v>
      </c>
      <c r="D782" s="74">
        <f t="shared" si="427"/>
        <v>23.5</v>
      </c>
      <c r="E782" s="74">
        <f t="shared" si="428"/>
        <v>21.25</v>
      </c>
      <c r="F782" s="114">
        <v>19</v>
      </c>
      <c r="G782" s="74">
        <f t="shared" si="429"/>
        <v>16.75</v>
      </c>
      <c r="H782" s="74">
        <f t="shared" si="430"/>
        <v>14.5</v>
      </c>
      <c r="I782" s="74">
        <f t="shared" si="431"/>
        <v>12.25</v>
      </c>
      <c r="J782" s="114">
        <f t="shared" si="432"/>
        <v>10</v>
      </c>
      <c r="K782" s="74">
        <f t="shared" si="452"/>
        <v>8.3125</v>
      </c>
      <c r="L782" s="114">
        <f t="shared" si="439"/>
        <v>6.625</v>
      </c>
      <c r="M782" s="115">
        <f t="shared" si="453"/>
        <v>8.3472500000000007</v>
      </c>
      <c r="N782" s="115">
        <f t="shared" si="454"/>
        <v>10.079875000000001</v>
      </c>
      <c r="O782" s="74">
        <f t="shared" si="455"/>
        <v>11.8125</v>
      </c>
      <c r="P782" s="74">
        <f t="shared" si="456"/>
        <v>13.534750000000001</v>
      </c>
      <c r="Q782" s="74">
        <f t="shared" si="457"/>
        <v>15.257</v>
      </c>
      <c r="R782" s="114">
        <v>17</v>
      </c>
      <c r="S782" s="129"/>
      <c r="T782" s="117">
        <f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15.613661538461537</v>
      </c>
      <c r="U782" s="117">
        <f>Lefty!T782</f>
        <v>17.121338461538461</v>
      </c>
    </row>
    <row r="783" spans="2:21">
      <c r="B783" s="114">
        <v>29</v>
      </c>
      <c r="C783" s="74">
        <f t="shared" si="426"/>
        <v>26.5</v>
      </c>
      <c r="D783" s="74">
        <f t="shared" si="427"/>
        <v>24</v>
      </c>
      <c r="E783" s="74">
        <f t="shared" si="428"/>
        <v>21.5</v>
      </c>
      <c r="F783" s="114">
        <v>19</v>
      </c>
      <c r="G783" s="74">
        <f t="shared" si="429"/>
        <v>16.5</v>
      </c>
      <c r="H783" s="74">
        <f t="shared" si="430"/>
        <v>14</v>
      </c>
      <c r="I783" s="74">
        <f t="shared" si="431"/>
        <v>11.5</v>
      </c>
      <c r="J783" s="114">
        <f t="shared" si="432"/>
        <v>9</v>
      </c>
      <c r="K783" s="74">
        <f t="shared" si="452"/>
        <v>7.125</v>
      </c>
      <c r="L783" s="114">
        <f t="shared" si="439"/>
        <v>5.25</v>
      </c>
      <c r="M783" s="115">
        <f t="shared" si="453"/>
        <v>7.2004999999999999</v>
      </c>
      <c r="N783" s="115">
        <f t="shared" si="454"/>
        <v>9.1627500000000008</v>
      </c>
      <c r="O783" s="74">
        <f t="shared" si="455"/>
        <v>11.125</v>
      </c>
      <c r="P783" s="74">
        <f t="shared" si="456"/>
        <v>13.075500000000002</v>
      </c>
      <c r="Q783" s="74">
        <f t="shared" si="457"/>
        <v>15.026</v>
      </c>
      <c r="R783" s="114">
        <v>17</v>
      </c>
      <c r="S783" s="129"/>
      <c r="T783" s="117">
        <f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15.437661538461537</v>
      </c>
      <c r="U783" s="117">
        <f>Lefty!T783</f>
        <v>16.998138461538463</v>
      </c>
    </row>
    <row r="784" spans="2:21">
      <c r="B784" s="114">
        <v>30</v>
      </c>
      <c r="C784" s="74">
        <f t="shared" si="426"/>
        <v>27.25</v>
      </c>
      <c r="D784" s="74">
        <f t="shared" si="427"/>
        <v>24.5</v>
      </c>
      <c r="E784" s="74">
        <f t="shared" si="428"/>
        <v>21.75</v>
      </c>
      <c r="F784" s="114">
        <v>19</v>
      </c>
      <c r="G784" s="74">
        <f t="shared" si="429"/>
        <v>16.25</v>
      </c>
      <c r="H784" s="74">
        <f t="shared" si="430"/>
        <v>13.5</v>
      </c>
      <c r="I784" s="74">
        <f t="shared" si="431"/>
        <v>10.75</v>
      </c>
      <c r="J784" s="114">
        <f t="shared" si="432"/>
        <v>8</v>
      </c>
      <c r="K784" s="74">
        <f t="shared" si="452"/>
        <v>5.9375</v>
      </c>
      <c r="L784" s="114">
        <f t="shared" si="439"/>
        <v>3.875</v>
      </c>
      <c r="M784" s="115">
        <f t="shared" si="453"/>
        <v>6.05375</v>
      </c>
      <c r="N784" s="115">
        <f t="shared" si="454"/>
        <v>8.2456250000000004</v>
      </c>
      <c r="O784" s="74">
        <f t="shared" si="455"/>
        <v>10.4375</v>
      </c>
      <c r="P784" s="74">
        <f t="shared" si="456"/>
        <v>12.616250000000001</v>
      </c>
      <c r="Q784" s="74">
        <f t="shared" si="457"/>
        <v>14.795</v>
      </c>
      <c r="R784" s="114">
        <v>17</v>
      </c>
      <c r="S784" s="129"/>
      <c r="T784" s="117">
        <f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15.285861538461539</v>
      </c>
      <c r="U784" s="117">
        <f>Lefty!T784</f>
        <v>17.08173846153846</v>
      </c>
    </row>
    <row r="785" spans="2:21">
      <c r="B785" s="114">
        <v>31</v>
      </c>
      <c r="C785" s="74">
        <f t="shared" si="426"/>
        <v>28</v>
      </c>
      <c r="D785" s="74">
        <f t="shared" si="427"/>
        <v>25</v>
      </c>
      <c r="E785" s="74">
        <f t="shared" si="428"/>
        <v>22</v>
      </c>
      <c r="F785" s="114">
        <v>19</v>
      </c>
      <c r="G785" s="74">
        <f t="shared" si="429"/>
        <v>16</v>
      </c>
      <c r="H785" s="74">
        <f t="shared" si="430"/>
        <v>13</v>
      </c>
      <c r="I785" s="74">
        <f t="shared" si="431"/>
        <v>10</v>
      </c>
      <c r="J785" s="114">
        <f t="shared" si="432"/>
        <v>7</v>
      </c>
      <c r="K785" s="74">
        <f t="shared" si="452"/>
        <v>4.75</v>
      </c>
      <c r="L785" s="114">
        <f t="shared" si="439"/>
        <v>2.5</v>
      </c>
      <c r="M785" s="115">
        <f t="shared" si="453"/>
        <v>4.907</v>
      </c>
      <c r="N785" s="115">
        <f t="shared" si="454"/>
        <v>7.3285</v>
      </c>
      <c r="O785" s="74">
        <f t="shared" si="455"/>
        <v>9.75</v>
      </c>
      <c r="P785" s="74">
        <f t="shared" si="456"/>
        <v>12.157</v>
      </c>
      <c r="Q785" s="74">
        <f t="shared" si="457"/>
        <v>14.564</v>
      </c>
      <c r="R785" s="114">
        <v>17</v>
      </c>
      <c r="S785" s="129"/>
      <c r="T785" s="117">
        <f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15.169261538461537</v>
      </c>
      <c r="U785" s="117">
        <f>Lefty!T785</f>
        <v>17.059738461538462</v>
      </c>
    </row>
    <row r="786" spans="2:21">
      <c r="B786" s="114">
        <v>32</v>
      </c>
      <c r="C786" s="74">
        <f t="shared" si="426"/>
        <v>28.75</v>
      </c>
      <c r="D786" s="74">
        <f t="shared" si="427"/>
        <v>25.5</v>
      </c>
      <c r="E786" s="74">
        <f t="shared" si="428"/>
        <v>22.25</v>
      </c>
      <c r="F786" s="114">
        <v>19</v>
      </c>
      <c r="G786" s="74">
        <f t="shared" si="429"/>
        <v>15.75</v>
      </c>
      <c r="H786" s="74">
        <f t="shared" si="430"/>
        <v>12.5</v>
      </c>
      <c r="I786" s="74">
        <f t="shared" si="431"/>
        <v>9.25</v>
      </c>
      <c r="J786" s="114">
        <f t="shared" si="432"/>
        <v>6</v>
      </c>
      <c r="K786" s="74">
        <f t="shared" si="452"/>
        <v>3.5625</v>
      </c>
      <c r="L786" s="114">
        <f t="shared" si="439"/>
        <v>1.125</v>
      </c>
      <c r="M786" s="115">
        <f t="shared" si="453"/>
        <v>3.7602500000000001</v>
      </c>
      <c r="N786" s="115">
        <f t="shared" si="454"/>
        <v>6.4113750000000005</v>
      </c>
      <c r="O786" s="74">
        <f t="shared" si="455"/>
        <v>9.0625</v>
      </c>
      <c r="P786" s="74">
        <f t="shared" si="456"/>
        <v>11.697750000000001</v>
      </c>
      <c r="Q786" s="74">
        <f t="shared" si="457"/>
        <v>14.333</v>
      </c>
      <c r="R786" s="114">
        <v>17</v>
      </c>
      <c r="S786" s="129"/>
      <c r="T786" s="126">
        <f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15.403718681318681</v>
      </c>
      <c r="U786" s="126">
        <f>Lefty!T786</f>
        <v>16.980852747252747</v>
      </c>
    </row>
    <row r="787" spans="2:21">
      <c r="B787" s="114"/>
      <c r="C787" s="74"/>
      <c r="D787" s="74"/>
      <c r="E787" s="74"/>
      <c r="F787" s="114"/>
      <c r="G787" s="74"/>
      <c r="H787" s="74"/>
      <c r="I787" s="74"/>
      <c r="J787" s="114"/>
      <c r="K787" s="74"/>
      <c r="L787" s="114"/>
      <c r="M787" s="115"/>
      <c r="N787" s="115"/>
      <c r="O787" s="74"/>
      <c r="P787" s="74"/>
      <c r="Q787" s="74"/>
      <c r="R787" s="114"/>
      <c r="S787" s="129"/>
    </row>
    <row r="788" spans="2:21">
      <c r="B788" s="114">
        <v>21</v>
      </c>
      <c r="C788" s="74">
        <f t="shared" si="426"/>
        <v>20.75</v>
      </c>
      <c r="D788" s="74">
        <f t="shared" si="427"/>
        <v>20.5</v>
      </c>
      <c r="E788" s="74">
        <f t="shared" si="428"/>
        <v>20.25</v>
      </c>
      <c r="F788" s="114">
        <v>20</v>
      </c>
      <c r="G788" s="74">
        <f t="shared" si="429"/>
        <v>19.75</v>
      </c>
      <c r="H788" s="74">
        <f t="shared" si="430"/>
        <v>19.5</v>
      </c>
      <c r="I788" s="74">
        <f t="shared" si="431"/>
        <v>19.25</v>
      </c>
      <c r="J788" s="114">
        <f t="shared" si="432"/>
        <v>19</v>
      </c>
      <c r="K788" s="74">
        <f t="shared" ref="K788:K800" si="458">SUM(0.5*(L788-J788),J788)</f>
        <v>18.75</v>
      </c>
      <c r="L788" s="114">
        <f>SUM(J788,J788,-H788)</f>
        <v>18.5</v>
      </c>
      <c r="M788" s="115">
        <f t="shared" ref="M788:M800" si="459">SUM(0.166*(R788-L788),L788)</f>
        <v>18.251000000000001</v>
      </c>
      <c r="N788" s="115">
        <f t="shared" ref="N788:N800" si="460">SUM(0.333*(R788-L788),L788)</f>
        <v>18.000499999999999</v>
      </c>
      <c r="O788" s="74">
        <f t="shared" ref="O788:O800" si="461">SUM(0.5*(R788-L788),L788)</f>
        <v>17.75</v>
      </c>
      <c r="P788" s="74">
        <f t="shared" ref="P788:P800" si="462">SUM(0.666*(R788-L788),L788)</f>
        <v>17.501000000000001</v>
      </c>
      <c r="Q788" s="74">
        <f t="shared" ref="Q788:Q800" si="463">SUM(0.832*(R788-L788),L788)</f>
        <v>17.251999999999999</v>
      </c>
      <c r="R788" s="114">
        <v>17</v>
      </c>
      <c r="S788" s="129"/>
      <c r="T788" s="117">
        <f>SUM((BN20+BO19+BO18+BP17+BP16+BQ15+BQ14+BR13+BR12+BS11+BS10+BT9+BT8+BU7+BU6+BV5+BV4)*-0.132,17)</f>
        <v>16.084461538461539</v>
      </c>
      <c r="U788" s="117">
        <f>Lefty!T788</f>
        <v>17.25553846153846</v>
      </c>
    </row>
    <row r="789" spans="2:21">
      <c r="B789" s="114">
        <v>22</v>
      </c>
      <c r="C789" s="74">
        <f t="shared" si="426"/>
        <v>21.5</v>
      </c>
      <c r="D789" s="74">
        <f t="shared" si="427"/>
        <v>21</v>
      </c>
      <c r="E789" s="74">
        <f t="shared" si="428"/>
        <v>20.5</v>
      </c>
      <c r="F789" s="114">
        <v>20</v>
      </c>
      <c r="G789" s="74">
        <f t="shared" si="429"/>
        <v>19.5</v>
      </c>
      <c r="H789" s="74">
        <f t="shared" si="430"/>
        <v>19</v>
      </c>
      <c r="I789" s="74">
        <f t="shared" si="431"/>
        <v>18.5</v>
      </c>
      <c r="J789" s="114">
        <f t="shared" si="432"/>
        <v>18</v>
      </c>
      <c r="K789" s="74">
        <f t="shared" si="458"/>
        <v>17.625</v>
      </c>
      <c r="L789" s="114">
        <f t="shared" si="439"/>
        <v>17.25</v>
      </c>
      <c r="M789" s="115">
        <f t="shared" si="459"/>
        <v>17.208500000000001</v>
      </c>
      <c r="N789" s="115">
        <f t="shared" si="460"/>
        <v>17.16675</v>
      </c>
      <c r="O789" s="74">
        <f t="shared" si="461"/>
        <v>17.125</v>
      </c>
      <c r="P789" s="74">
        <f t="shared" si="462"/>
        <v>17.083500000000001</v>
      </c>
      <c r="Q789" s="74">
        <f t="shared" si="463"/>
        <v>17.042000000000002</v>
      </c>
      <c r="R789" s="114">
        <v>17</v>
      </c>
      <c r="S789" s="129"/>
      <c r="T789" s="117">
        <f>SUM((BL20+BM19+BN18+BO17+BP16+BQ15+BR14+BS13+BT12+BU11+BV10+BV9+BV8+BV7+BV6+BV5+BV4)*-0.132,17)</f>
        <v>15.820461538461538</v>
      </c>
      <c r="U789" s="117">
        <f>Lefty!T789</f>
        <v>17.25553846153846</v>
      </c>
    </row>
    <row r="790" spans="2:21">
      <c r="B790" s="114">
        <v>23</v>
      </c>
      <c r="C790" s="74">
        <f t="shared" si="426"/>
        <v>22.25</v>
      </c>
      <c r="D790" s="74">
        <f t="shared" si="427"/>
        <v>21.5</v>
      </c>
      <c r="E790" s="74">
        <f t="shared" si="428"/>
        <v>20.75</v>
      </c>
      <c r="F790" s="114">
        <v>20</v>
      </c>
      <c r="G790" s="74">
        <f t="shared" si="429"/>
        <v>19.25</v>
      </c>
      <c r="H790" s="74">
        <f t="shared" si="430"/>
        <v>18.5</v>
      </c>
      <c r="I790" s="74">
        <f t="shared" si="431"/>
        <v>17.75</v>
      </c>
      <c r="J790" s="114">
        <f t="shared" si="432"/>
        <v>17</v>
      </c>
      <c r="K790" s="74">
        <f t="shared" si="458"/>
        <v>16.4375</v>
      </c>
      <c r="L790" s="114">
        <f t="shared" si="439"/>
        <v>15.875</v>
      </c>
      <c r="M790" s="115">
        <f t="shared" si="459"/>
        <v>16.06175</v>
      </c>
      <c r="N790" s="115">
        <f t="shared" si="460"/>
        <v>16.249625000000002</v>
      </c>
      <c r="O790" s="74">
        <f t="shared" si="461"/>
        <v>16.4375</v>
      </c>
      <c r="P790" s="74">
        <f t="shared" si="462"/>
        <v>16.62425</v>
      </c>
      <c r="Q790" s="74">
        <f t="shared" si="463"/>
        <v>16.811</v>
      </c>
      <c r="R790" s="114">
        <v>17</v>
      </c>
      <c r="S790" s="129"/>
      <c r="T790" s="117">
        <f>SUM((BJ20+BM18+BP16+BS14+BV12+BW11+BX10+BX9+BW8+BW7+BV6+BV5+BV4)*-0.132,(BK19+BL19+BN17+BO17+BQ15+BR15+BT13+BU13)*-0.132/2,17)</f>
        <v>15.688461538461537</v>
      </c>
      <c r="U790" s="117">
        <f>Lefty!T790</f>
        <v>16.859538461538463</v>
      </c>
    </row>
    <row r="791" spans="2:21">
      <c r="B791" s="114">
        <v>24</v>
      </c>
      <c r="C791" s="74">
        <f t="shared" si="426"/>
        <v>23</v>
      </c>
      <c r="D791" s="74">
        <f t="shared" si="427"/>
        <v>22</v>
      </c>
      <c r="E791" s="74">
        <f t="shared" si="428"/>
        <v>21</v>
      </c>
      <c r="F791" s="114">
        <v>20</v>
      </c>
      <c r="G791" s="74">
        <f t="shared" si="429"/>
        <v>19</v>
      </c>
      <c r="H791" s="74">
        <f t="shared" si="430"/>
        <v>18</v>
      </c>
      <c r="I791" s="74">
        <f t="shared" si="431"/>
        <v>17</v>
      </c>
      <c r="J791" s="114">
        <f t="shared" si="432"/>
        <v>16</v>
      </c>
      <c r="K791" s="74">
        <f t="shared" si="458"/>
        <v>15.25</v>
      </c>
      <c r="L791" s="114">
        <f t="shared" si="439"/>
        <v>14.5</v>
      </c>
      <c r="M791" s="115">
        <f t="shared" si="459"/>
        <v>14.914999999999999</v>
      </c>
      <c r="N791" s="115">
        <f t="shared" si="460"/>
        <v>15.3325</v>
      </c>
      <c r="O791" s="74">
        <f t="shared" si="461"/>
        <v>15.75</v>
      </c>
      <c r="P791" s="74">
        <f t="shared" si="462"/>
        <v>16.164999999999999</v>
      </c>
      <c r="Q791" s="74">
        <f t="shared" si="463"/>
        <v>16.579999999999998</v>
      </c>
      <c r="R791" s="114">
        <v>17</v>
      </c>
      <c r="S791" s="129"/>
      <c r="T791" s="117">
        <f>SUM((BI19+BJ19+BK18+BL18+BM17+BN17+BO16+BP16+BQ15+BR15+BS14+BT14+BU13+BV13+BW12+BX12+BY11+BZ11)*-0.132/2,(BH20+CA10+BZ9+BY8+BX7+BW6+BV5+BV4)*-0.132,17)</f>
        <v>15.754461538461538</v>
      </c>
      <c r="U791" s="117">
        <f>Lefty!T791</f>
        <v>17.321538461538463</v>
      </c>
    </row>
    <row r="792" spans="2:21">
      <c r="B792" s="114">
        <v>25</v>
      </c>
      <c r="C792" s="74">
        <f t="shared" si="426"/>
        <v>23.75</v>
      </c>
      <c r="D792" s="74">
        <f t="shared" si="427"/>
        <v>22.5</v>
      </c>
      <c r="E792" s="74">
        <f t="shared" si="428"/>
        <v>21.25</v>
      </c>
      <c r="F792" s="114">
        <v>20</v>
      </c>
      <c r="G792" s="74">
        <f t="shared" si="429"/>
        <v>18.75</v>
      </c>
      <c r="H792" s="74">
        <f t="shared" si="430"/>
        <v>17.5</v>
      </c>
      <c r="I792" s="74">
        <f t="shared" si="431"/>
        <v>16.25</v>
      </c>
      <c r="J792" s="114">
        <f t="shared" si="432"/>
        <v>15</v>
      </c>
      <c r="K792" s="74">
        <f t="shared" si="458"/>
        <v>14.0625</v>
      </c>
      <c r="L792" s="114">
        <f t="shared" si="439"/>
        <v>13.125</v>
      </c>
      <c r="M792" s="115">
        <f t="shared" si="459"/>
        <v>13.76825</v>
      </c>
      <c r="N792" s="115">
        <f t="shared" si="460"/>
        <v>14.415375000000001</v>
      </c>
      <c r="O792" s="74">
        <f t="shared" si="461"/>
        <v>15.0625</v>
      </c>
      <c r="P792" s="74">
        <f t="shared" si="462"/>
        <v>15.70575</v>
      </c>
      <c r="Q792" s="74">
        <f t="shared" si="463"/>
        <v>16.349</v>
      </c>
      <c r="R792" s="114">
        <v>17</v>
      </c>
      <c r="S792" s="129"/>
      <c r="T792" s="117">
        <f>SUM((BF20+BG20+BH19+BI19+BM17+BN17+BO16+BP16+BT14+BU14+BY12+BZ12+CA11+CB11+CC10+CD10+CC9+CB9+CA8+BZ8)*-0.132/2,(BJ18+BK18+BL18+BQ15+BR15+BS15+BV13+BW13+BX13)*-0.132/3,(BY7+BX6+BW5+BV4)*-0.132,17)</f>
        <v>15.842461538461539</v>
      </c>
      <c r="U792" s="117">
        <f>Lefty!T792</f>
        <v>17.123538461538462</v>
      </c>
    </row>
    <row r="793" spans="2:21">
      <c r="B793" s="114">
        <v>26</v>
      </c>
      <c r="C793" s="74">
        <f t="shared" si="426"/>
        <v>24.5</v>
      </c>
      <c r="D793" s="74">
        <f t="shared" si="427"/>
        <v>23</v>
      </c>
      <c r="E793" s="74">
        <f t="shared" si="428"/>
        <v>21.5</v>
      </c>
      <c r="F793" s="114">
        <v>20</v>
      </c>
      <c r="G793" s="74">
        <f t="shared" si="429"/>
        <v>18.5</v>
      </c>
      <c r="H793" s="74">
        <f t="shared" si="430"/>
        <v>17</v>
      </c>
      <c r="I793" s="74">
        <f t="shared" si="431"/>
        <v>15.5</v>
      </c>
      <c r="J793" s="114">
        <f t="shared" si="432"/>
        <v>14</v>
      </c>
      <c r="K793" s="74">
        <f t="shared" si="458"/>
        <v>12.875</v>
      </c>
      <c r="L793" s="114">
        <f t="shared" si="439"/>
        <v>11.75</v>
      </c>
      <c r="M793" s="115">
        <f t="shared" si="459"/>
        <v>12.621499999999999</v>
      </c>
      <c r="N793" s="115">
        <f t="shared" si="460"/>
        <v>13.498250000000001</v>
      </c>
      <c r="O793" s="74">
        <f t="shared" si="461"/>
        <v>14.375</v>
      </c>
      <c r="P793" s="74">
        <f t="shared" si="462"/>
        <v>15.246500000000001</v>
      </c>
      <c r="Q793" s="74">
        <f t="shared" si="463"/>
        <v>16.117999999999999</v>
      </c>
      <c r="R793" s="114">
        <v>17</v>
      </c>
      <c r="S793" s="129"/>
      <c r="T793" s="117">
        <f>SUM((BD20+BE20+BI18+BJ18)*-0.132/2,(BF19+BG19+BH19+BK17+BL17+BM17+BN16+BO16+BP16+BQ15+BR15+BS15+BT14+BU14+BV14+BW13+BX13+BY13+BZ12+CA12+CB12+CC11+CD11+CE11)*-0.132/3,(+CF10+CG10+CF9+CE9+CD8+CC8+CB7+CA7+BZ6+BY6+BX5+BW5)*-0.132/2,BV4*-0.132,17)</f>
        <v>15.688461538461537</v>
      </c>
      <c r="U793" s="117">
        <f>Lefty!T793</f>
        <v>17.145538461538461</v>
      </c>
    </row>
    <row r="794" spans="2:21">
      <c r="B794" s="114">
        <v>27</v>
      </c>
      <c r="C794" s="74">
        <f t="shared" si="426"/>
        <v>25.25</v>
      </c>
      <c r="D794" s="74">
        <f t="shared" si="427"/>
        <v>23.5</v>
      </c>
      <c r="E794" s="74">
        <f t="shared" si="428"/>
        <v>21.75</v>
      </c>
      <c r="F794" s="114">
        <v>20</v>
      </c>
      <c r="G794" s="74">
        <f t="shared" si="429"/>
        <v>18.25</v>
      </c>
      <c r="H794" s="74">
        <f t="shared" si="430"/>
        <v>16.5</v>
      </c>
      <c r="I794" s="74">
        <f t="shared" si="431"/>
        <v>14.75</v>
      </c>
      <c r="J794" s="114">
        <f t="shared" si="432"/>
        <v>13</v>
      </c>
      <c r="K794" s="74">
        <f t="shared" si="458"/>
        <v>11.6875</v>
      </c>
      <c r="L794" s="114">
        <f t="shared" si="439"/>
        <v>10.375</v>
      </c>
      <c r="M794" s="115">
        <f t="shared" si="459"/>
        <v>11.47475</v>
      </c>
      <c r="N794" s="115">
        <f t="shared" si="460"/>
        <v>12.581125</v>
      </c>
      <c r="O794" s="74">
        <f t="shared" si="461"/>
        <v>13.6875</v>
      </c>
      <c r="P794" s="74">
        <f t="shared" si="462"/>
        <v>14.78725</v>
      </c>
      <c r="Q794" s="74">
        <f t="shared" si="463"/>
        <v>15.887</v>
      </c>
      <c r="R794" s="114">
        <v>17</v>
      </c>
      <c r="S794" s="129"/>
      <c r="T794" s="117">
        <f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15.358461538461537</v>
      </c>
      <c r="U794" s="117">
        <f>Lefty!T794</f>
        <v>17.167538461538463</v>
      </c>
    </row>
    <row r="795" spans="2:21">
      <c r="B795" s="114">
        <v>28</v>
      </c>
      <c r="C795" s="74">
        <f t="shared" si="426"/>
        <v>26</v>
      </c>
      <c r="D795" s="74">
        <f t="shared" si="427"/>
        <v>24</v>
      </c>
      <c r="E795" s="74">
        <f t="shared" si="428"/>
        <v>22</v>
      </c>
      <c r="F795" s="114">
        <v>20</v>
      </c>
      <c r="G795" s="74">
        <f t="shared" si="429"/>
        <v>18</v>
      </c>
      <c r="H795" s="74">
        <f t="shared" si="430"/>
        <v>16</v>
      </c>
      <c r="I795" s="74">
        <f t="shared" si="431"/>
        <v>14</v>
      </c>
      <c r="J795" s="114">
        <f t="shared" si="432"/>
        <v>12</v>
      </c>
      <c r="K795" s="74">
        <f t="shared" si="458"/>
        <v>10.5</v>
      </c>
      <c r="L795" s="114">
        <f t="shared" si="439"/>
        <v>9</v>
      </c>
      <c r="M795" s="115">
        <f t="shared" si="459"/>
        <v>10.327999999999999</v>
      </c>
      <c r="N795" s="115">
        <f t="shared" si="460"/>
        <v>11.664</v>
      </c>
      <c r="O795" s="74">
        <f t="shared" si="461"/>
        <v>13</v>
      </c>
      <c r="P795" s="74">
        <f t="shared" si="462"/>
        <v>14.327999999999999</v>
      </c>
      <c r="Q795" s="74">
        <f t="shared" si="463"/>
        <v>15.655999999999999</v>
      </c>
      <c r="R795" s="114">
        <v>17</v>
      </c>
      <c r="S795" s="129"/>
      <c r="T795" s="117">
        <f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15.391461538461538</v>
      </c>
      <c r="U795" s="117">
        <f>Lefty!T795</f>
        <v>17.189538461538461</v>
      </c>
    </row>
    <row r="796" spans="2:21">
      <c r="B796" s="114">
        <v>29</v>
      </c>
      <c r="C796" s="74">
        <f t="shared" si="426"/>
        <v>26.75</v>
      </c>
      <c r="D796" s="74">
        <f t="shared" si="427"/>
        <v>24.5</v>
      </c>
      <c r="E796" s="74">
        <f t="shared" si="428"/>
        <v>22.25</v>
      </c>
      <c r="F796" s="114">
        <v>20</v>
      </c>
      <c r="G796" s="74">
        <f t="shared" si="429"/>
        <v>17.75</v>
      </c>
      <c r="H796" s="74">
        <f t="shared" si="430"/>
        <v>15.5</v>
      </c>
      <c r="I796" s="74">
        <f t="shared" si="431"/>
        <v>13.25</v>
      </c>
      <c r="J796" s="114">
        <f t="shared" si="432"/>
        <v>11</v>
      </c>
      <c r="K796" s="74">
        <f t="shared" si="458"/>
        <v>9.3125</v>
      </c>
      <c r="L796" s="114">
        <f t="shared" ref="L796:L854" si="464">SUM(J796,J796,-H796,0.25*ABS(J796-H796))</f>
        <v>7.625</v>
      </c>
      <c r="M796" s="115">
        <f t="shared" si="459"/>
        <v>9.1812500000000004</v>
      </c>
      <c r="N796" s="115">
        <f t="shared" si="460"/>
        <v>10.746874999999999</v>
      </c>
      <c r="O796" s="74">
        <f t="shared" si="461"/>
        <v>12.3125</v>
      </c>
      <c r="P796" s="74">
        <f t="shared" si="462"/>
        <v>13.86875</v>
      </c>
      <c r="Q796" s="74">
        <f t="shared" si="463"/>
        <v>15.425000000000001</v>
      </c>
      <c r="R796" s="114">
        <v>17</v>
      </c>
      <c r="S796" s="129"/>
      <c r="T796" s="117">
        <f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15.501461538461539</v>
      </c>
      <c r="U796" s="117">
        <f>Lefty!T796</f>
        <v>17.200538461538461</v>
      </c>
    </row>
    <row r="797" spans="2:21">
      <c r="B797" s="114">
        <v>30</v>
      </c>
      <c r="C797" s="74">
        <f t="shared" si="426"/>
        <v>27.5</v>
      </c>
      <c r="D797" s="74">
        <f t="shared" si="427"/>
        <v>25</v>
      </c>
      <c r="E797" s="74">
        <f t="shared" si="428"/>
        <v>22.5</v>
      </c>
      <c r="F797" s="114">
        <v>20</v>
      </c>
      <c r="G797" s="74">
        <f t="shared" si="429"/>
        <v>17.5</v>
      </c>
      <c r="H797" s="74">
        <f t="shared" si="430"/>
        <v>15</v>
      </c>
      <c r="I797" s="74">
        <f t="shared" si="431"/>
        <v>12.5</v>
      </c>
      <c r="J797" s="114">
        <f t="shared" si="432"/>
        <v>10</v>
      </c>
      <c r="K797" s="74">
        <f t="shared" si="458"/>
        <v>8.125</v>
      </c>
      <c r="L797" s="114">
        <f t="shared" si="464"/>
        <v>6.25</v>
      </c>
      <c r="M797" s="115">
        <f t="shared" si="459"/>
        <v>8.0344999999999995</v>
      </c>
      <c r="N797" s="115">
        <f t="shared" si="460"/>
        <v>9.8297500000000007</v>
      </c>
      <c r="O797" s="74">
        <f t="shared" si="461"/>
        <v>11.625</v>
      </c>
      <c r="P797" s="74">
        <f t="shared" si="462"/>
        <v>13.409500000000001</v>
      </c>
      <c r="Q797" s="74">
        <f t="shared" si="463"/>
        <v>15.193999999999999</v>
      </c>
      <c r="R797" s="114">
        <v>17</v>
      </c>
      <c r="S797" s="129"/>
      <c r="T797" s="117">
        <f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15.369461538461538</v>
      </c>
      <c r="U797" s="117">
        <f>Lefty!T797</f>
        <v>17.075138461538462</v>
      </c>
    </row>
    <row r="798" spans="2:21">
      <c r="B798" s="114">
        <v>31</v>
      </c>
      <c r="C798" s="74">
        <f t="shared" si="426"/>
        <v>28.25</v>
      </c>
      <c r="D798" s="74">
        <f t="shared" si="427"/>
        <v>25.5</v>
      </c>
      <c r="E798" s="74">
        <f t="shared" si="428"/>
        <v>22.75</v>
      </c>
      <c r="F798" s="114">
        <v>20</v>
      </c>
      <c r="G798" s="74">
        <f t="shared" si="429"/>
        <v>17.25</v>
      </c>
      <c r="H798" s="74">
        <f t="shared" si="430"/>
        <v>14.5</v>
      </c>
      <c r="I798" s="74">
        <f t="shared" si="431"/>
        <v>11.75</v>
      </c>
      <c r="J798" s="114">
        <f t="shared" si="432"/>
        <v>9</v>
      </c>
      <c r="K798" s="74">
        <f t="shared" si="458"/>
        <v>6.9375</v>
      </c>
      <c r="L798" s="114">
        <f t="shared" si="464"/>
        <v>4.875</v>
      </c>
      <c r="M798" s="115">
        <f t="shared" si="459"/>
        <v>6.8877500000000005</v>
      </c>
      <c r="N798" s="115">
        <f t="shared" si="460"/>
        <v>8.9126250000000002</v>
      </c>
      <c r="O798" s="74">
        <f t="shared" si="461"/>
        <v>10.9375</v>
      </c>
      <c r="P798" s="74">
        <f t="shared" si="462"/>
        <v>12.95025</v>
      </c>
      <c r="Q798" s="74">
        <f t="shared" si="463"/>
        <v>14.962999999999999</v>
      </c>
      <c r="R798" s="114">
        <v>17</v>
      </c>
      <c r="S798" s="129"/>
      <c r="T798" s="117">
        <f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15.138461538461538</v>
      </c>
      <c r="U798" s="117">
        <f>Lefty!T798</f>
        <v>17.009138461538463</v>
      </c>
    </row>
    <row r="799" spans="2:21">
      <c r="B799" s="114">
        <v>32</v>
      </c>
      <c r="C799" s="74">
        <f t="shared" si="426"/>
        <v>29</v>
      </c>
      <c r="D799" s="74">
        <f t="shared" si="427"/>
        <v>26</v>
      </c>
      <c r="E799" s="74">
        <f t="shared" si="428"/>
        <v>23</v>
      </c>
      <c r="F799" s="114">
        <v>20</v>
      </c>
      <c r="G799" s="74">
        <f t="shared" si="429"/>
        <v>17</v>
      </c>
      <c r="H799" s="74">
        <f t="shared" si="430"/>
        <v>14</v>
      </c>
      <c r="I799" s="74">
        <f t="shared" si="431"/>
        <v>11</v>
      </c>
      <c r="J799" s="114">
        <f t="shared" si="432"/>
        <v>8</v>
      </c>
      <c r="K799" s="74">
        <f t="shared" si="458"/>
        <v>5.75</v>
      </c>
      <c r="L799" s="114">
        <f t="shared" si="464"/>
        <v>3.5</v>
      </c>
      <c r="M799" s="115">
        <f t="shared" si="459"/>
        <v>5.7409999999999997</v>
      </c>
      <c r="N799" s="115">
        <f t="shared" si="460"/>
        <v>7.9954999999999998</v>
      </c>
      <c r="O799" s="74">
        <f t="shared" si="461"/>
        <v>10.25</v>
      </c>
      <c r="P799" s="74">
        <f t="shared" si="462"/>
        <v>12.491</v>
      </c>
      <c r="Q799" s="74">
        <f t="shared" si="463"/>
        <v>14.731999999999999</v>
      </c>
      <c r="R799" s="114">
        <v>17</v>
      </c>
      <c r="S799" s="129"/>
      <c r="T799" s="117">
        <f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15.140661538461538</v>
      </c>
      <c r="U799" s="117">
        <f>Lefty!T799</f>
        <v>16.980538461538462</v>
      </c>
    </row>
    <row r="800" spans="2:21">
      <c r="B800" s="114">
        <v>33</v>
      </c>
      <c r="C800" s="74">
        <f t="shared" si="426"/>
        <v>29.75</v>
      </c>
      <c r="D800" s="74">
        <f t="shared" si="427"/>
        <v>26.5</v>
      </c>
      <c r="E800" s="74">
        <f t="shared" si="428"/>
        <v>23.25</v>
      </c>
      <c r="F800" s="114">
        <v>20</v>
      </c>
      <c r="G800" s="74">
        <f t="shared" si="429"/>
        <v>16.75</v>
      </c>
      <c r="H800" s="74">
        <f t="shared" si="430"/>
        <v>13.5</v>
      </c>
      <c r="I800" s="74">
        <f t="shared" si="431"/>
        <v>10.25</v>
      </c>
      <c r="J800" s="114">
        <f t="shared" si="432"/>
        <v>7</v>
      </c>
      <c r="K800" s="74">
        <f t="shared" si="458"/>
        <v>4.5625</v>
      </c>
      <c r="L800" s="114">
        <f t="shared" si="464"/>
        <v>2.125</v>
      </c>
      <c r="M800" s="115">
        <f t="shared" si="459"/>
        <v>4.5942500000000006</v>
      </c>
      <c r="N800" s="115">
        <f t="shared" si="460"/>
        <v>7.0783750000000003</v>
      </c>
      <c r="O800" s="74">
        <f t="shared" si="461"/>
        <v>9.5625</v>
      </c>
      <c r="P800" s="74">
        <f t="shared" si="462"/>
        <v>12.031750000000001</v>
      </c>
      <c r="Q800" s="74">
        <f t="shared" si="463"/>
        <v>14.500999999999999</v>
      </c>
      <c r="R800" s="114">
        <v>17</v>
      </c>
      <c r="S800" s="129"/>
      <c r="T800" s="117">
        <f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15.301261538461537</v>
      </c>
      <c r="U800" s="117">
        <f>Lefty!T800</f>
        <v>16.991538461538461</v>
      </c>
    </row>
    <row r="801" spans="2:21">
      <c r="B801" s="114"/>
      <c r="C801" s="74"/>
      <c r="D801" s="74"/>
      <c r="E801" s="74"/>
      <c r="F801" s="114"/>
      <c r="G801" s="74"/>
      <c r="H801" s="74"/>
      <c r="I801" s="74"/>
      <c r="J801" s="114"/>
      <c r="K801" s="74"/>
      <c r="L801" s="114"/>
      <c r="M801" s="115"/>
      <c r="N801" s="115"/>
      <c r="O801" s="74"/>
      <c r="P801" s="74"/>
      <c r="Q801" s="74"/>
      <c r="R801" s="114"/>
      <c r="S801" s="129"/>
    </row>
    <row r="802" spans="2:21">
      <c r="B802" s="114">
        <v>23</v>
      </c>
      <c r="C802" s="74">
        <f t="shared" si="426"/>
        <v>22.5</v>
      </c>
      <c r="D802" s="74">
        <f t="shared" si="427"/>
        <v>22</v>
      </c>
      <c r="E802" s="74">
        <f t="shared" si="428"/>
        <v>21.5</v>
      </c>
      <c r="F802" s="114">
        <v>21</v>
      </c>
      <c r="G802" s="74">
        <f t="shared" si="429"/>
        <v>20.5</v>
      </c>
      <c r="H802" s="74">
        <f t="shared" si="430"/>
        <v>20</v>
      </c>
      <c r="I802" s="74">
        <f t="shared" si="431"/>
        <v>19.5</v>
      </c>
      <c r="J802" s="114">
        <f t="shared" si="432"/>
        <v>19</v>
      </c>
      <c r="K802" s="74">
        <f t="shared" ref="K802:K814" si="465">SUM(0.5*(L802-J802),J802)</f>
        <v>18.625</v>
      </c>
      <c r="L802" s="114">
        <f t="shared" si="464"/>
        <v>18.25</v>
      </c>
      <c r="M802" s="115">
        <f t="shared" ref="M802:M814" si="466">SUM(0.166*(R802-L802),L802)</f>
        <v>18.0425</v>
      </c>
      <c r="N802" s="115">
        <f t="shared" ref="N802:N814" si="467">SUM(0.333*(R802-L802),L802)</f>
        <v>17.833749999999998</v>
      </c>
      <c r="O802" s="74">
        <f t="shared" ref="O802:O814" si="468">SUM(0.5*(R802-L802),L802)</f>
        <v>17.625</v>
      </c>
      <c r="P802" s="74">
        <f t="shared" ref="P802:P814" si="469">SUM(0.666*(R802-L802),L802)</f>
        <v>17.4175</v>
      </c>
      <c r="Q802" s="74">
        <f t="shared" ref="Q802:Q814" si="470">SUM(0.832*(R802-L802),L802)</f>
        <v>17.21</v>
      </c>
      <c r="R802" s="114">
        <v>17</v>
      </c>
      <c r="S802" s="129"/>
      <c r="T802" s="117">
        <f>SUM((BJ20+BK19+BL18+BM17+BN16+BO15+BP14+BQ13+BR12+BS11+BT10+BT9+BU8+BU7+BV6+BV5+BV4)*-0.132,17)</f>
        <v>15.424461538461538</v>
      </c>
      <c r="U802" s="117">
        <f>Lefty!T802</f>
        <v>16.859538461538463</v>
      </c>
    </row>
    <row r="803" spans="2:21">
      <c r="B803" s="114">
        <v>24</v>
      </c>
      <c r="C803" s="74">
        <f t="shared" si="426"/>
        <v>23.25</v>
      </c>
      <c r="D803" s="74">
        <f t="shared" si="427"/>
        <v>22.5</v>
      </c>
      <c r="E803" s="74">
        <f t="shared" si="428"/>
        <v>21.75</v>
      </c>
      <c r="F803" s="114">
        <v>21</v>
      </c>
      <c r="G803" s="74">
        <f t="shared" si="429"/>
        <v>20.25</v>
      </c>
      <c r="H803" s="74">
        <f t="shared" si="430"/>
        <v>19.5</v>
      </c>
      <c r="I803" s="74">
        <f t="shared" si="431"/>
        <v>18.75</v>
      </c>
      <c r="J803" s="114">
        <f t="shared" si="432"/>
        <v>18</v>
      </c>
      <c r="K803" s="74">
        <f t="shared" si="465"/>
        <v>17.4375</v>
      </c>
      <c r="L803" s="114">
        <f t="shared" si="464"/>
        <v>16.875</v>
      </c>
      <c r="M803" s="115">
        <f t="shared" si="466"/>
        <v>16.89575</v>
      </c>
      <c r="N803" s="115">
        <f t="shared" si="467"/>
        <v>16.916625</v>
      </c>
      <c r="O803" s="74">
        <f t="shared" si="468"/>
        <v>16.9375</v>
      </c>
      <c r="P803" s="74">
        <f t="shared" si="469"/>
        <v>16.95825</v>
      </c>
      <c r="Q803" s="74">
        <f t="shared" si="470"/>
        <v>16.978999999999999</v>
      </c>
      <c r="R803" s="114">
        <v>17</v>
      </c>
      <c r="S803" s="129"/>
      <c r="T803" s="117">
        <f>SUM((BH20+BK18+BN16+BQ14+BT12+BU11+BV10+BV9+BV8+BV7+BV6+BV5+BV4)*-0.132,(BI19+BJ19+BL17+BM17+BO15+BP15+BR13+BS13)*-0.132/2,17)</f>
        <v>15.820461538461537</v>
      </c>
      <c r="U803" s="117">
        <f>Lefty!T803</f>
        <v>16.727538461538462</v>
      </c>
    </row>
    <row r="804" spans="2:21">
      <c r="B804" s="114">
        <v>25</v>
      </c>
      <c r="C804" s="74">
        <f t="shared" si="426"/>
        <v>24</v>
      </c>
      <c r="D804" s="74">
        <f t="shared" si="427"/>
        <v>23</v>
      </c>
      <c r="E804" s="74">
        <f t="shared" si="428"/>
        <v>22</v>
      </c>
      <c r="F804" s="114">
        <v>21</v>
      </c>
      <c r="G804" s="74">
        <f t="shared" si="429"/>
        <v>20</v>
      </c>
      <c r="H804" s="74">
        <f t="shared" si="430"/>
        <v>19</v>
      </c>
      <c r="I804" s="74">
        <f t="shared" si="431"/>
        <v>18</v>
      </c>
      <c r="J804" s="114">
        <f t="shared" si="432"/>
        <v>17</v>
      </c>
      <c r="K804" s="74">
        <f t="shared" si="465"/>
        <v>16.25</v>
      </c>
      <c r="L804" s="114">
        <f t="shared" si="464"/>
        <v>15.5</v>
      </c>
      <c r="M804" s="115">
        <f t="shared" si="466"/>
        <v>15.749000000000001</v>
      </c>
      <c r="N804" s="115">
        <f t="shared" si="467"/>
        <v>15.999499999999999</v>
      </c>
      <c r="O804" s="74">
        <f t="shared" si="468"/>
        <v>16.25</v>
      </c>
      <c r="P804" s="74">
        <f t="shared" si="469"/>
        <v>16.498999999999999</v>
      </c>
      <c r="Q804" s="74">
        <f t="shared" si="470"/>
        <v>16.748000000000001</v>
      </c>
      <c r="R804" s="114">
        <v>17</v>
      </c>
      <c r="S804" s="129"/>
      <c r="T804" s="117">
        <f>SUM((BG19+BH19+BI18+BJ18+BK17+BL17+BM16+BN16+BO15+BP15+BQ14+BR14+BS13+BT13+BU12+BV12+BW11+BX11)*-0.132/2,(BF20+BY10+BX9+BX8+BW7+BW6+BV5+BV4)*-0.132,17)</f>
        <v>15.424461538461538</v>
      </c>
      <c r="U804" s="117">
        <f>Lefty!T804</f>
        <v>16.793538461538461</v>
      </c>
    </row>
    <row r="805" spans="2:21">
      <c r="B805" s="114">
        <v>26</v>
      </c>
      <c r="C805" s="74">
        <f t="shared" si="426"/>
        <v>24.75</v>
      </c>
      <c r="D805" s="74">
        <f t="shared" si="427"/>
        <v>23.5</v>
      </c>
      <c r="E805" s="74">
        <f t="shared" si="428"/>
        <v>22.25</v>
      </c>
      <c r="F805" s="114">
        <v>21</v>
      </c>
      <c r="G805" s="74">
        <f t="shared" si="429"/>
        <v>19.75</v>
      </c>
      <c r="H805" s="74">
        <f t="shared" si="430"/>
        <v>18.5</v>
      </c>
      <c r="I805" s="74">
        <f t="shared" si="431"/>
        <v>17.25</v>
      </c>
      <c r="J805" s="114">
        <f t="shared" si="432"/>
        <v>16</v>
      </c>
      <c r="K805" s="74">
        <f t="shared" si="465"/>
        <v>15.0625</v>
      </c>
      <c r="L805" s="114">
        <f t="shared" si="464"/>
        <v>14.125</v>
      </c>
      <c r="M805" s="115">
        <f t="shared" si="466"/>
        <v>14.60225</v>
      </c>
      <c r="N805" s="115">
        <f t="shared" si="467"/>
        <v>15.082375000000001</v>
      </c>
      <c r="O805" s="74">
        <f t="shared" si="468"/>
        <v>15.5625</v>
      </c>
      <c r="P805" s="74">
        <f t="shared" si="469"/>
        <v>16.039750000000002</v>
      </c>
      <c r="Q805" s="74">
        <f t="shared" si="470"/>
        <v>16.516999999999999</v>
      </c>
      <c r="R805" s="114">
        <v>17</v>
      </c>
      <c r="S805" s="129"/>
      <c r="T805" s="117">
        <f>SUM((BD20+BE20+BF19+BG19++BK17+BL17+BM16+BN16+BR14+BS14+BW12+BX12+BY11+BZ11+CA10+CB10)*-0.132/2,(BH18+BI18+BJ18+BO15+BP15+BQ15+BT13+BU13+BV13)*-0.132/3,(CA9+BZ8+BY7+BX6+BW5+BV4)*-0.132,17)</f>
        <v>15.490461538461537</v>
      </c>
      <c r="U805" s="117">
        <f>Lefty!T805</f>
        <v>16.925538461538462</v>
      </c>
    </row>
    <row r="806" spans="2:21">
      <c r="B806" s="114">
        <v>27</v>
      </c>
      <c r="C806" s="74">
        <f t="shared" si="426"/>
        <v>25.5</v>
      </c>
      <c r="D806" s="74">
        <f t="shared" si="427"/>
        <v>24</v>
      </c>
      <c r="E806" s="74">
        <f t="shared" si="428"/>
        <v>22.5</v>
      </c>
      <c r="F806" s="114">
        <v>21</v>
      </c>
      <c r="G806" s="74">
        <f t="shared" si="429"/>
        <v>19.5</v>
      </c>
      <c r="H806" s="74">
        <f t="shared" si="430"/>
        <v>18</v>
      </c>
      <c r="I806" s="74">
        <f t="shared" si="431"/>
        <v>16.5</v>
      </c>
      <c r="J806" s="114">
        <f t="shared" si="432"/>
        <v>15</v>
      </c>
      <c r="K806" s="74">
        <f t="shared" si="465"/>
        <v>13.875</v>
      </c>
      <c r="L806" s="114">
        <f t="shared" si="464"/>
        <v>12.75</v>
      </c>
      <c r="M806" s="115">
        <f t="shared" si="466"/>
        <v>13.455500000000001</v>
      </c>
      <c r="N806" s="115">
        <f t="shared" si="467"/>
        <v>14.16525</v>
      </c>
      <c r="O806" s="74">
        <f t="shared" si="468"/>
        <v>14.875</v>
      </c>
      <c r="P806" s="74">
        <f t="shared" si="469"/>
        <v>15.580500000000001</v>
      </c>
      <c r="Q806" s="74">
        <f t="shared" si="470"/>
        <v>16.286000000000001</v>
      </c>
      <c r="R806" s="114">
        <v>17</v>
      </c>
      <c r="S806" s="129"/>
      <c r="T806" s="117">
        <f>SUM((BB20+BC20+BG18+BH18)*-0.132/2,(BD19+BE19+BF19+BI17+BJ17+BK17+BL16+BM16+BN16+BO15+BP15+BQ15+BR14+BS14+BT14+BU13+BV13+BW13+BX12+BY12+BZ12+CA11+CB11+CC11)*-0.132/3,(CD10+CE10+CD9+CC9+CB8+CA8+BZ7+BY7)*-0.132/2,(BX6+BW5+BV4)*-0.132,17)</f>
        <v>15.204461538461537</v>
      </c>
      <c r="U806" s="117">
        <f>Lefty!T806</f>
        <v>17.123538461538462</v>
      </c>
    </row>
    <row r="807" spans="2:21">
      <c r="B807" s="114">
        <v>28</v>
      </c>
      <c r="C807" s="74">
        <f t="shared" si="426"/>
        <v>26.25</v>
      </c>
      <c r="D807" s="74">
        <f t="shared" si="427"/>
        <v>24.5</v>
      </c>
      <c r="E807" s="74">
        <f t="shared" si="428"/>
        <v>22.75</v>
      </c>
      <c r="F807" s="114">
        <v>21</v>
      </c>
      <c r="G807" s="74">
        <f t="shared" si="429"/>
        <v>19.25</v>
      </c>
      <c r="H807" s="74">
        <f t="shared" si="430"/>
        <v>17.5</v>
      </c>
      <c r="I807" s="74">
        <f t="shared" si="431"/>
        <v>15.75</v>
      </c>
      <c r="J807" s="114">
        <f t="shared" si="432"/>
        <v>14</v>
      </c>
      <c r="K807" s="74">
        <f t="shared" si="465"/>
        <v>12.6875</v>
      </c>
      <c r="L807" s="114">
        <f t="shared" si="464"/>
        <v>11.375</v>
      </c>
      <c r="M807" s="115">
        <f t="shared" si="466"/>
        <v>12.30875</v>
      </c>
      <c r="N807" s="115">
        <f t="shared" si="467"/>
        <v>13.248125</v>
      </c>
      <c r="O807" s="74">
        <f t="shared" si="468"/>
        <v>14.1875</v>
      </c>
      <c r="P807" s="74">
        <f t="shared" si="469"/>
        <v>15.12125</v>
      </c>
      <c r="Q807" s="74">
        <f t="shared" si="470"/>
        <v>16.055</v>
      </c>
      <c r="R807" s="114">
        <v>17</v>
      </c>
      <c r="S807" s="129"/>
      <c r="T807" s="117">
        <f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15.380461538461539</v>
      </c>
      <c r="U807" s="117">
        <f>Lefty!T807</f>
        <v>17.266538461538463</v>
      </c>
    </row>
    <row r="808" spans="2:21">
      <c r="B808" s="114">
        <v>29</v>
      </c>
      <c r="C808" s="74">
        <f t="shared" si="426"/>
        <v>27</v>
      </c>
      <c r="D808" s="74">
        <f t="shared" si="427"/>
        <v>25</v>
      </c>
      <c r="E808" s="74">
        <f t="shared" si="428"/>
        <v>23</v>
      </c>
      <c r="F808" s="114">
        <v>21</v>
      </c>
      <c r="G808" s="74">
        <f t="shared" si="429"/>
        <v>19</v>
      </c>
      <c r="H808" s="74">
        <f t="shared" si="430"/>
        <v>17</v>
      </c>
      <c r="I808" s="74">
        <f t="shared" si="431"/>
        <v>15</v>
      </c>
      <c r="J808" s="114">
        <f t="shared" si="432"/>
        <v>13</v>
      </c>
      <c r="K808" s="74">
        <f t="shared" si="465"/>
        <v>11.5</v>
      </c>
      <c r="L808" s="114">
        <f t="shared" si="464"/>
        <v>10</v>
      </c>
      <c r="M808" s="115">
        <f t="shared" si="466"/>
        <v>11.162000000000001</v>
      </c>
      <c r="N808" s="115">
        <f t="shared" si="467"/>
        <v>12.331</v>
      </c>
      <c r="O808" s="74">
        <f t="shared" si="468"/>
        <v>13.5</v>
      </c>
      <c r="P808" s="74">
        <f t="shared" si="469"/>
        <v>14.661999999999999</v>
      </c>
      <c r="Q808" s="74">
        <f t="shared" si="470"/>
        <v>15.824</v>
      </c>
      <c r="R808" s="114">
        <v>17</v>
      </c>
      <c r="S808" s="129"/>
      <c r="T808" s="117">
        <f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15.303461538461537</v>
      </c>
      <c r="U808" s="117">
        <f>Lefty!T808</f>
        <v>17.266538461538463</v>
      </c>
    </row>
    <row r="809" spans="2:21">
      <c r="B809" s="114">
        <v>30</v>
      </c>
      <c r="C809" s="74">
        <f t="shared" si="426"/>
        <v>27.75</v>
      </c>
      <c r="D809" s="74">
        <f t="shared" si="427"/>
        <v>25.5</v>
      </c>
      <c r="E809" s="74">
        <f t="shared" si="428"/>
        <v>23.25</v>
      </c>
      <c r="F809" s="114">
        <v>21</v>
      </c>
      <c r="G809" s="74">
        <f t="shared" si="429"/>
        <v>18.75</v>
      </c>
      <c r="H809" s="74">
        <f t="shared" si="430"/>
        <v>16.5</v>
      </c>
      <c r="I809" s="74">
        <f t="shared" si="431"/>
        <v>14.25</v>
      </c>
      <c r="J809" s="114">
        <f t="shared" si="432"/>
        <v>12</v>
      </c>
      <c r="K809" s="74">
        <f t="shared" si="465"/>
        <v>10.3125</v>
      </c>
      <c r="L809" s="114">
        <f t="shared" si="464"/>
        <v>8.625</v>
      </c>
      <c r="M809" s="115">
        <f t="shared" si="466"/>
        <v>10.01525</v>
      </c>
      <c r="N809" s="115">
        <f t="shared" si="467"/>
        <v>11.413875000000001</v>
      </c>
      <c r="O809" s="74">
        <f t="shared" si="468"/>
        <v>12.8125</v>
      </c>
      <c r="P809" s="74">
        <f t="shared" si="469"/>
        <v>14.20275</v>
      </c>
      <c r="Q809" s="74">
        <f t="shared" si="470"/>
        <v>15.593</v>
      </c>
      <c r="R809" s="114">
        <v>17</v>
      </c>
      <c r="S809" s="129"/>
      <c r="T809" s="117">
        <f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15.318861538461539</v>
      </c>
      <c r="U809" s="117">
        <f>Lefty!T809</f>
        <v>17.231338461538463</v>
      </c>
    </row>
    <row r="810" spans="2:21">
      <c r="B810" s="114">
        <v>31</v>
      </c>
      <c r="C810" s="74">
        <f t="shared" si="426"/>
        <v>28.5</v>
      </c>
      <c r="D810" s="74">
        <f t="shared" si="427"/>
        <v>26</v>
      </c>
      <c r="E810" s="74">
        <f t="shared" si="428"/>
        <v>23.5</v>
      </c>
      <c r="F810" s="114">
        <v>21</v>
      </c>
      <c r="G810" s="74">
        <f t="shared" si="429"/>
        <v>18.5</v>
      </c>
      <c r="H810" s="74">
        <f t="shared" si="430"/>
        <v>16</v>
      </c>
      <c r="I810" s="74">
        <f t="shared" si="431"/>
        <v>13.5</v>
      </c>
      <c r="J810" s="114">
        <f t="shared" si="432"/>
        <v>11</v>
      </c>
      <c r="K810" s="74">
        <f t="shared" si="465"/>
        <v>9.125</v>
      </c>
      <c r="L810" s="114">
        <f t="shared" si="464"/>
        <v>7.25</v>
      </c>
      <c r="M810" s="115">
        <f t="shared" si="466"/>
        <v>8.8685000000000009</v>
      </c>
      <c r="N810" s="115">
        <f t="shared" si="467"/>
        <v>10.49675</v>
      </c>
      <c r="O810" s="74">
        <f t="shared" si="468"/>
        <v>12.125</v>
      </c>
      <c r="P810" s="74">
        <f t="shared" si="469"/>
        <v>13.743500000000001</v>
      </c>
      <c r="Q810" s="74">
        <f t="shared" si="470"/>
        <v>15.362</v>
      </c>
      <c r="R810" s="114">
        <v>17</v>
      </c>
      <c r="S810" s="129"/>
      <c r="T810" s="117">
        <f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15.347461538461538</v>
      </c>
      <c r="U810" s="117">
        <f>Lefty!T810</f>
        <v>17.134538461538462</v>
      </c>
    </row>
    <row r="811" spans="2:21">
      <c r="B811" s="114">
        <v>32</v>
      </c>
      <c r="C811" s="74">
        <f t="shared" si="426"/>
        <v>29.25</v>
      </c>
      <c r="D811" s="74">
        <f t="shared" si="427"/>
        <v>26.5</v>
      </c>
      <c r="E811" s="74">
        <f t="shared" si="428"/>
        <v>23.75</v>
      </c>
      <c r="F811" s="114">
        <v>21</v>
      </c>
      <c r="G811" s="74">
        <f t="shared" si="429"/>
        <v>18.25</v>
      </c>
      <c r="H811" s="74">
        <f t="shared" si="430"/>
        <v>15.5</v>
      </c>
      <c r="I811" s="74">
        <f t="shared" si="431"/>
        <v>12.75</v>
      </c>
      <c r="J811" s="114">
        <f t="shared" si="432"/>
        <v>10</v>
      </c>
      <c r="K811" s="74">
        <f t="shared" si="465"/>
        <v>7.9375</v>
      </c>
      <c r="L811" s="114">
        <f t="shared" si="464"/>
        <v>5.875</v>
      </c>
      <c r="M811" s="115">
        <f t="shared" si="466"/>
        <v>7.7217500000000001</v>
      </c>
      <c r="N811" s="115">
        <f t="shared" si="467"/>
        <v>9.5796250000000001</v>
      </c>
      <c r="O811" s="74">
        <f t="shared" si="468"/>
        <v>11.4375</v>
      </c>
      <c r="P811" s="74">
        <f t="shared" si="469"/>
        <v>13.28425</v>
      </c>
      <c r="Q811" s="74">
        <f t="shared" si="470"/>
        <v>15.131</v>
      </c>
      <c r="R811" s="114">
        <v>17</v>
      </c>
      <c r="S811" s="129"/>
      <c r="T811" s="117">
        <f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15.301261538461537</v>
      </c>
      <c r="U811" s="117">
        <f>Lefty!T811</f>
        <v>17.009138461538463</v>
      </c>
    </row>
    <row r="812" spans="2:21">
      <c r="B812" s="114">
        <v>33</v>
      </c>
      <c r="C812" s="74">
        <f t="shared" si="426"/>
        <v>30</v>
      </c>
      <c r="D812" s="74">
        <f t="shared" si="427"/>
        <v>27</v>
      </c>
      <c r="E812" s="74">
        <f t="shared" si="428"/>
        <v>24</v>
      </c>
      <c r="F812" s="114">
        <v>21</v>
      </c>
      <c r="G812" s="74">
        <f t="shared" si="429"/>
        <v>18</v>
      </c>
      <c r="H812" s="74">
        <f t="shared" si="430"/>
        <v>15</v>
      </c>
      <c r="I812" s="74">
        <f t="shared" si="431"/>
        <v>12</v>
      </c>
      <c r="J812" s="114">
        <f t="shared" si="432"/>
        <v>9</v>
      </c>
      <c r="K812" s="74">
        <f t="shared" si="465"/>
        <v>6.75</v>
      </c>
      <c r="L812" s="114">
        <f t="shared" si="464"/>
        <v>4.5</v>
      </c>
      <c r="M812" s="115">
        <f t="shared" si="466"/>
        <v>6.5750000000000002</v>
      </c>
      <c r="N812" s="115">
        <f t="shared" si="467"/>
        <v>8.6625000000000014</v>
      </c>
      <c r="O812" s="74">
        <f t="shared" si="468"/>
        <v>10.75</v>
      </c>
      <c r="P812" s="74">
        <f t="shared" si="469"/>
        <v>12.825000000000001</v>
      </c>
      <c r="Q812" s="74">
        <f t="shared" si="470"/>
        <v>14.9</v>
      </c>
      <c r="R812" s="114">
        <v>17</v>
      </c>
      <c r="S812" s="129"/>
      <c r="T812" s="117">
        <f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15.186861538461539</v>
      </c>
      <c r="U812" s="117">
        <f>Lefty!T812</f>
        <v>16.905738461538462</v>
      </c>
    </row>
    <row r="813" spans="2:21">
      <c r="B813" s="114">
        <v>34</v>
      </c>
      <c r="C813" s="74">
        <f t="shared" si="426"/>
        <v>30.75</v>
      </c>
      <c r="D813" s="74">
        <f t="shared" si="427"/>
        <v>27.5</v>
      </c>
      <c r="E813" s="74">
        <f t="shared" si="428"/>
        <v>24.25</v>
      </c>
      <c r="F813" s="114">
        <v>21</v>
      </c>
      <c r="G813" s="74">
        <f t="shared" si="429"/>
        <v>17.75</v>
      </c>
      <c r="H813" s="74">
        <f t="shared" si="430"/>
        <v>14.5</v>
      </c>
      <c r="I813" s="74">
        <f t="shared" si="431"/>
        <v>11.25</v>
      </c>
      <c r="J813" s="114">
        <f t="shared" si="432"/>
        <v>8</v>
      </c>
      <c r="K813" s="74">
        <f t="shared" si="465"/>
        <v>5.5625</v>
      </c>
      <c r="L813" s="114">
        <f t="shared" si="464"/>
        <v>3.125</v>
      </c>
      <c r="M813" s="115">
        <f t="shared" si="466"/>
        <v>5.4282500000000002</v>
      </c>
      <c r="N813" s="115">
        <f t="shared" si="467"/>
        <v>7.7453750000000001</v>
      </c>
      <c r="O813" s="74">
        <f t="shared" si="468"/>
        <v>10.0625</v>
      </c>
      <c r="P813" s="74">
        <f t="shared" si="469"/>
        <v>12.36575</v>
      </c>
      <c r="Q813" s="74">
        <f t="shared" si="470"/>
        <v>14.668999999999999</v>
      </c>
      <c r="R813" s="114">
        <v>17</v>
      </c>
      <c r="S813" s="129"/>
      <c r="T813" s="117">
        <f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15.264804395604395</v>
      </c>
      <c r="U813" s="117">
        <f>Lefty!T813</f>
        <v>16.850424175824177</v>
      </c>
    </row>
    <row r="814" spans="2:21">
      <c r="B814" s="114">
        <v>35</v>
      </c>
      <c r="C814" s="74">
        <f t="shared" si="426"/>
        <v>31.5</v>
      </c>
      <c r="D814" s="74">
        <f t="shared" si="427"/>
        <v>28</v>
      </c>
      <c r="E814" s="74">
        <f t="shared" si="428"/>
        <v>24.5</v>
      </c>
      <c r="F814" s="114">
        <v>21</v>
      </c>
      <c r="G814" s="74">
        <f t="shared" si="429"/>
        <v>17.5</v>
      </c>
      <c r="H814" s="74">
        <f t="shared" si="430"/>
        <v>14</v>
      </c>
      <c r="I814" s="74">
        <f t="shared" si="431"/>
        <v>10.5</v>
      </c>
      <c r="J814" s="114">
        <f t="shared" si="432"/>
        <v>7</v>
      </c>
      <c r="K814" s="74">
        <f t="shared" si="465"/>
        <v>4.375</v>
      </c>
      <c r="L814" s="114">
        <f t="shared" si="464"/>
        <v>1.75</v>
      </c>
      <c r="M814" s="115">
        <f t="shared" si="466"/>
        <v>4.2815000000000003</v>
      </c>
      <c r="N814" s="115">
        <f t="shared" si="467"/>
        <v>6.8282500000000006</v>
      </c>
      <c r="O814" s="74">
        <f t="shared" si="468"/>
        <v>9.375</v>
      </c>
      <c r="P814" s="74">
        <f t="shared" si="469"/>
        <v>11.906500000000001</v>
      </c>
      <c r="Q814" s="74">
        <f t="shared" si="470"/>
        <v>14.437999999999999</v>
      </c>
      <c r="R814" s="114">
        <v>17</v>
      </c>
      <c r="S814" s="129"/>
      <c r="T814" s="126">
        <f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15.356575824175824</v>
      </c>
      <c r="U814" s="126">
        <f>Lefty!T814</f>
        <v>16.573538461538462</v>
      </c>
    </row>
    <row r="815" spans="2:21">
      <c r="B815" s="114"/>
      <c r="C815" s="74"/>
      <c r="D815" s="74"/>
      <c r="E815" s="74"/>
      <c r="F815" s="114"/>
      <c r="G815" s="74"/>
      <c r="H815" s="74"/>
      <c r="I815" s="74"/>
      <c r="J815" s="114"/>
      <c r="K815" s="74"/>
      <c r="L815" s="114"/>
      <c r="M815" s="115"/>
      <c r="N815" s="115"/>
      <c r="O815" s="74"/>
      <c r="P815" s="74"/>
      <c r="Q815" s="74"/>
      <c r="R815" s="114"/>
      <c r="S815" s="129"/>
    </row>
    <row r="816" spans="2:21">
      <c r="B816" s="114">
        <v>24</v>
      </c>
      <c r="C816" s="74">
        <f t="shared" si="426"/>
        <v>23.5</v>
      </c>
      <c r="D816" s="74">
        <f t="shared" si="427"/>
        <v>23</v>
      </c>
      <c r="E816" s="74">
        <f t="shared" si="428"/>
        <v>22.5</v>
      </c>
      <c r="F816" s="114">
        <v>22</v>
      </c>
      <c r="G816" s="74">
        <f t="shared" si="429"/>
        <v>21.5</v>
      </c>
      <c r="H816" s="74">
        <f t="shared" si="430"/>
        <v>21</v>
      </c>
      <c r="I816" s="74">
        <f t="shared" si="431"/>
        <v>20.5</v>
      </c>
      <c r="J816" s="114">
        <f t="shared" si="432"/>
        <v>20</v>
      </c>
      <c r="K816" s="74">
        <f t="shared" ref="K816:K829" si="471">SUM(0.5*(L816-J816),J816)</f>
        <v>19.625</v>
      </c>
      <c r="L816" s="114">
        <f t="shared" si="464"/>
        <v>19.25</v>
      </c>
      <c r="M816" s="115">
        <f t="shared" ref="M816:M829" si="472">SUM(0.166*(R816-L816),L816)</f>
        <v>18.8765</v>
      </c>
      <c r="N816" s="115">
        <f t="shared" ref="N816:N829" si="473">SUM(0.333*(R816-L816),L816)</f>
        <v>18.50075</v>
      </c>
      <c r="O816" s="74">
        <f t="shared" ref="O816:O829" si="474">SUM(0.5*(R816-L816),L816)</f>
        <v>18.125</v>
      </c>
      <c r="P816" s="74">
        <f t="shared" ref="P816:P829" si="475">SUM(0.666*(R816-L816),L816)</f>
        <v>17.7515</v>
      </c>
      <c r="Q816" s="74">
        <f t="shared" ref="Q816:Q829" si="476">SUM(0.832*(R816-L816),L816)</f>
        <v>17.378</v>
      </c>
      <c r="R816" s="114">
        <v>17</v>
      </c>
      <c r="S816" s="129"/>
      <c r="T816" s="117">
        <f>SUM((BH20+BI19+BJ18+BK17+BL16+BM15+BN14+BO13+BP12+BQ11+BR10+BS9+BS8+BT7+BT6+BU5+BV4)*-0.132,17)</f>
        <v>15.952461538461538</v>
      </c>
      <c r="U816" s="117">
        <f>Lefty!T816</f>
        <v>16.859538461538463</v>
      </c>
    </row>
    <row r="817" spans="2:21">
      <c r="B817" s="114">
        <v>25</v>
      </c>
      <c r="C817" s="74">
        <f t="shared" si="426"/>
        <v>24.25</v>
      </c>
      <c r="D817" s="74">
        <f t="shared" si="427"/>
        <v>23.5</v>
      </c>
      <c r="E817" s="74">
        <f t="shared" si="428"/>
        <v>22.75</v>
      </c>
      <c r="F817" s="114">
        <v>22</v>
      </c>
      <c r="G817" s="74">
        <f t="shared" si="429"/>
        <v>21.25</v>
      </c>
      <c r="H817" s="74">
        <f t="shared" si="430"/>
        <v>20.5</v>
      </c>
      <c r="I817" s="74">
        <f t="shared" si="431"/>
        <v>19.75</v>
      </c>
      <c r="J817" s="114">
        <f t="shared" si="432"/>
        <v>19</v>
      </c>
      <c r="K817" s="74">
        <f t="shared" si="471"/>
        <v>18.4375</v>
      </c>
      <c r="L817" s="114">
        <f t="shared" si="464"/>
        <v>17.875</v>
      </c>
      <c r="M817" s="115">
        <f t="shared" si="472"/>
        <v>17.729749999999999</v>
      </c>
      <c r="N817" s="115">
        <f t="shared" si="473"/>
        <v>17.583625000000001</v>
      </c>
      <c r="O817" s="74">
        <f t="shared" si="474"/>
        <v>17.4375</v>
      </c>
      <c r="P817" s="74">
        <f t="shared" si="475"/>
        <v>17.292249999999999</v>
      </c>
      <c r="Q817" s="74">
        <f t="shared" si="476"/>
        <v>17.146999999999998</v>
      </c>
      <c r="R817" s="114">
        <v>17</v>
      </c>
      <c r="S817" s="129"/>
      <c r="T817" s="117">
        <f>SUM((BF20+BI18+BL16+BO14+BR12+BS11+BT10+BT9+BT8+BU7+BU6+BV5+BV4)*-0.132,(BG19+BH19+BJ17+BK17+BM15+BN15+BP13+BQ13)*-0.132/2,17)</f>
        <v>15.622461538461538</v>
      </c>
      <c r="U817" s="117">
        <f>Lefty!T817</f>
        <v>16.793538461538461</v>
      </c>
    </row>
    <row r="818" spans="2:21">
      <c r="B818" s="114">
        <v>26</v>
      </c>
      <c r="C818" s="74">
        <f t="shared" si="426"/>
        <v>25</v>
      </c>
      <c r="D818" s="74">
        <f t="shared" si="427"/>
        <v>24</v>
      </c>
      <c r="E818" s="74">
        <f t="shared" si="428"/>
        <v>23</v>
      </c>
      <c r="F818" s="114">
        <v>22</v>
      </c>
      <c r="G818" s="74">
        <f t="shared" si="429"/>
        <v>21</v>
      </c>
      <c r="H818" s="74">
        <f t="shared" si="430"/>
        <v>20</v>
      </c>
      <c r="I818" s="74">
        <f t="shared" si="431"/>
        <v>19</v>
      </c>
      <c r="J818" s="114">
        <f t="shared" si="432"/>
        <v>18</v>
      </c>
      <c r="K818" s="74">
        <f t="shared" si="471"/>
        <v>17.25</v>
      </c>
      <c r="L818" s="114">
        <f t="shared" si="464"/>
        <v>16.5</v>
      </c>
      <c r="M818" s="115">
        <f t="shared" si="472"/>
        <v>16.582999999999998</v>
      </c>
      <c r="N818" s="115">
        <f t="shared" si="473"/>
        <v>16.666499999999999</v>
      </c>
      <c r="O818" s="74">
        <f t="shared" si="474"/>
        <v>16.75</v>
      </c>
      <c r="P818" s="74">
        <f t="shared" si="475"/>
        <v>16.832999999999998</v>
      </c>
      <c r="Q818" s="74">
        <f t="shared" si="476"/>
        <v>16.916</v>
      </c>
      <c r="R818" s="114">
        <v>17</v>
      </c>
      <c r="S818" s="129"/>
      <c r="T818" s="117">
        <f>SUM((BE19+BF19+BG18+BH18+BI17+BJ17+BK16+BL16+BM15+BN15+BO14+BP14+BQ13+BR13+BS12+BT12+BU11+BV11)*-0.132/2,(BD20+BW10+BW9+BW8+BW7+BV6+BV5+BV4)*-0.132,17)</f>
        <v>15.160461538461536</v>
      </c>
      <c r="U818" s="117">
        <f>Lefty!T818</f>
        <v>16.529538461538461</v>
      </c>
    </row>
    <row r="819" spans="2:21">
      <c r="B819" s="114">
        <v>27</v>
      </c>
      <c r="C819" s="74">
        <f t="shared" si="426"/>
        <v>25.75</v>
      </c>
      <c r="D819" s="74">
        <f t="shared" si="427"/>
        <v>24.5</v>
      </c>
      <c r="E819" s="74">
        <f t="shared" si="428"/>
        <v>23.25</v>
      </c>
      <c r="F819" s="114">
        <v>22</v>
      </c>
      <c r="G819" s="74">
        <f t="shared" si="429"/>
        <v>20.75</v>
      </c>
      <c r="H819" s="74">
        <f t="shared" si="430"/>
        <v>19.5</v>
      </c>
      <c r="I819" s="74">
        <f t="shared" si="431"/>
        <v>18.25</v>
      </c>
      <c r="J819" s="114">
        <f t="shared" si="432"/>
        <v>17</v>
      </c>
      <c r="K819" s="74">
        <f t="shared" si="471"/>
        <v>16.0625</v>
      </c>
      <c r="L819" s="114">
        <f t="shared" si="464"/>
        <v>15.125</v>
      </c>
      <c r="M819" s="115">
        <f t="shared" si="472"/>
        <v>15.436249999999999</v>
      </c>
      <c r="N819" s="115">
        <f t="shared" si="473"/>
        <v>15.749375000000001</v>
      </c>
      <c r="O819" s="74">
        <f t="shared" si="474"/>
        <v>16.0625</v>
      </c>
      <c r="P819" s="74">
        <f t="shared" si="475"/>
        <v>16.373750000000001</v>
      </c>
      <c r="Q819" s="74">
        <f t="shared" si="476"/>
        <v>16.684999999999999</v>
      </c>
      <c r="R819" s="114">
        <v>17</v>
      </c>
      <c r="S819" s="129"/>
      <c r="T819" s="117">
        <f>SUM((BB20+BC20+BD19+BE19+BI17+BJ17+BK16+BL16)*-0.132/2,(BF18+BG18+BH18+BM15+BN15+BO15+BR13+BS13+BT13)*-0.132/3,(BP14+BQ14+BU12+BV12+BW11+BX11+BY10+BZ10)*-0.132/2,(BY9+BX8+BW7+BW6+BV5+BV4)*-0.132,17)</f>
        <v>15.006461538461537</v>
      </c>
      <c r="U819" s="117">
        <f>Lefty!T819</f>
        <v>16.617538461538462</v>
      </c>
    </row>
    <row r="820" spans="2:21">
      <c r="B820" s="114">
        <v>28</v>
      </c>
      <c r="C820" s="74">
        <f t="shared" si="426"/>
        <v>26.5</v>
      </c>
      <c r="D820" s="74">
        <f t="shared" si="427"/>
        <v>25</v>
      </c>
      <c r="E820" s="74">
        <f t="shared" si="428"/>
        <v>23.5</v>
      </c>
      <c r="F820" s="114">
        <v>22</v>
      </c>
      <c r="G820" s="74">
        <f t="shared" si="429"/>
        <v>20.5</v>
      </c>
      <c r="H820" s="74">
        <f t="shared" si="430"/>
        <v>19</v>
      </c>
      <c r="I820" s="74">
        <f t="shared" si="431"/>
        <v>17.5</v>
      </c>
      <c r="J820" s="114">
        <f t="shared" si="432"/>
        <v>16</v>
      </c>
      <c r="K820" s="74">
        <f t="shared" si="471"/>
        <v>14.875</v>
      </c>
      <c r="L820" s="114">
        <f t="shared" si="464"/>
        <v>13.75</v>
      </c>
      <c r="M820" s="115">
        <f t="shared" si="472"/>
        <v>14.2895</v>
      </c>
      <c r="N820" s="115">
        <f t="shared" si="473"/>
        <v>14.83225</v>
      </c>
      <c r="O820" s="74">
        <f t="shared" si="474"/>
        <v>15.375</v>
      </c>
      <c r="P820" s="74">
        <f t="shared" si="475"/>
        <v>15.9145</v>
      </c>
      <c r="Q820" s="74">
        <f t="shared" si="476"/>
        <v>16.454000000000001</v>
      </c>
      <c r="R820" s="114">
        <v>17</v>
      </c>
      <c r="S820" s="129"/>
      <c r="T820" s="117">
        <f>SUM((AZ20+BA20+BE18+BF18)*-0.132/2,(BB19+BC19+BD19+BG17+BH17+BI17+BJ16+BK16+BL16+BM15+BN15+BO15+BP14+BQ14+BR14+BS13+BT13+BU13+BV12+BW12+BX12+BY11+BZ11+CA11)*-0.132/3,(CB10+CC10+CB9+CA9)*-0.132/2,(BZ8+BY7+BX6+BW5+BV4)*-0.132,17)</f>
        <v>15.424461538461538</v>
      </c>
      <c r="U820" s="117">
        <f>Lefty!T820</f>
        <v>17.057538461538464</v>
      </c>
    </row>
    <row r="821" spans="2:21">
      <c r="B821" s="114">
        <v>29</v>
      </c>
      <c r="C821" s="74">
        <f t="shared" si="426"/>
        <v>27.25</v>
      </c>
      <c r="D821" s="74">
        <f t="shared" si="427"/>
        <v>25.5</v>
      </c>
      <c r="E821" s="74">
        <f t="shared" si="428"/>
        <v>23.75</v>
      </c>
      <c r="F821" s="114">
        <v>22</v>
      </c>
      <c r="G821" s="74">
        <f t="shared" si="429"/>
        <v>20.25</v>
      </c>
      <c r="H821" s="74">
        <f t="shared" si="430"/>
        <v>18.5</v>
      </c>
      <c r="I821" s="74">
        <f t="shared" si="431"/>
        <v>16.75</v>
      </c>
      <c r="J821" s="114">
        <f t="shared" si="432"/>
        <v>15</v>
      </c>
      <c r="K821" s="74">
        <f t="shared" si="471"/>
        <v>13.6875</v>
      </c>
      <c r="L821" s="114">
        <f t="shared" si="464"/>
        <v>12.375</v>
      </c>
      <c r="M821" s="115">
        <f t="shared" si="472"/>
        <v>13.142749999999999</v>
      </c>
      <c r="N821" s="115">
        <f t="shared" si="473"/>
        <v>13.915125</v>
      </c>
      <c r="O821" s="74">
        <f t="shared" si="474"/>
        <v>14.6875</v>
      </c>
      <c r="P821" s="74">
        <f t="shared" si="475"/>
        <v>15.455249999999999</v>
      </c>
      <c r="Q821" s="74">
        <f t="shared" si="476"/>
        <v>16.222999999999999</v>
      </c>
      <c r="R821" s="114">
        <v>17</v>
      </c>
      <c r="S821" s="129"/>
      <c r="T821" s="117">
        <f>SUM((AX20+AY20+AZ20+BA19+BB19+BC19+BD18+BE18+BF18+BG17+BH17+BI17+BJ16+BK16+BL16+BQ14+BR14+BS14+BX12+BY12+BZ12+CA11+CB11+CC11)*-0.132/3,(BM15+BN15+BO15+BP15+BT13+BU13+BV13+BW13)*-0.132/4,(CD10+CE10+CD9+CC9+CB8+CA8+BZ7+BY7)*-0.132/2,(BX6+BW5+BV4)*-0.132,17)</f>
        <v>15.369461538461538</v>
      </c>
      <c r="U821" s="117">
        <f>Lefty!T821</f>
        <v>17.145538461538461</v>
      </c>
    </row>
    <row r="822" spans="2:21">
      <c r="B822" s="114">
        <v>30</v>
      </c>
      <c r="C822" s="74">
        <f t="shared" si="426"/>
        <v>28</v>
      </c>
      <c r="D822" s="74">
        <f t="shared" si="427"/>
        <v>26</v>
      </c>
      <c r="E822" s="74">
        <f t="shared" si="428"/>
        <v>24</v>
      </c>
      <c r="F822" s="114">
        <v>22</v>
      </c>
      <c r="G822" s="74">
        <f t="shared" si="429"/>
        <v>20</v>
      </c>
      <c r="H822" s="74">
        <f t="shared" si="430"/>
        <v>18</v>
      </c>
      <c r="I822" s="74">
        <f t="shared" si="431"/>
        <v>16</v>
      </c>
      <c r="J822" s="114">
        <f t="shared" si="432"/>
        <v>14</v>
      </c>
      <c r="K822" s="74">
        <f t="shared" si="471"/>
        <v>12.5</v>
      </c>
      <c r="L822" s="114">
        <f t="shared" si="464"/>
        <v>11</v>
      </c>
      <c r="M822" s="115">
        <f t="shared" si="472"/>
        <v>11.996</v>
      </c>
      <c r="N822" s="115">
        <f t="shared" si="473"/>
        <v>12.998000000000001</v>
      </c>
      <c r="O822" s="74">
        <f t="shared" si="474"/>
        <v>14</v>
      </c>
      <c r="P822" s="74">
        <f t="shared" si="475"/>
        <v>14.996</v>
      </c>
      <c r="Q822" s="74">
        <f t="shared" si="476"/>
        <v>15.992000000000001</v>
      </c>
      <c r="R822" s="114">
        <v>17</v>
      </c>
      <c r="S822" s="129"/>
      <c r="T822" s="117">
        <f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15.314461538461538</v>
      </c>
      <c r="U822" s="117">
        <f>Lefty!T822</f>
        <v>17.211538461538463</v>
      </c>
    </row>
    <row r="823" spans="2:21">
      <c r="B823" s="114">
        <v>31</v>
      </c>
      <c r="C823" s="74">
        <f t="shared" si="426"/>
        <v>28.75</v>
      </c>
      <c r="D823" s="74">
        <f t="shared" si="427"/>
        <v>26.5</v>
      </c>
      <c r="E823" s="74">
        <f t="shared" si="428"/>
        <v>24.25</v>
      </c>
      <c r="F823" s="114">
        <v>22</v>
      </c>
      <c r="G823" s="74">
        <f t="shared" si="429"/>
        <v>19.75</v>
      </c>
      <c r="H823" s="74">
        <f t="shared" si="430"/>
        <v>17.5</v>
      </c>
      <c r="I823" s="74">
        <f t="shared" si="431"/>
        <v>15.25</v>
      </c>
      <c r="J823" s="114">
        <f t="shared" si="432"/>
        <v>13</v>
      </c>
      <c r="K823" s="74">
        <f t="shared" si="471"/>
        <v>11.3125</v>
      </c>
      <c r="L823" s="114">
        <f t="shared" si="464"/>
        <v>9.625</v>
      </c>
      <c r="M823" s="115">
        <f t="shared" si="472"/>
        <v>10.84925</v>
      </c>
      <c r="N823" s="115">
        <f t="shared" si="473"/>
        <v>12.080875000000001</v>
      </c>
      <c r="O823" s="74">
        <f t="shared" si="474"/>
        <v>13.3125</v>
      </c>
      <c r="P823" s="74">
        <f t="shared" si="475"/>
        <v>14.536750000000001</v>
      </c>
      <c r="Q823" s="74">
        <f t="shared" si="476"/>
        <v>15.760999999999999</v>
      </c>
      <c r="R823" s="114">
        <v>17</v>
      </c>
      <c r="S823" s="129"/>
      <c r="T823" s="117">
        <f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15.103261538461538</v>
      </c>
      <c r="U823" s="117">
        <f>Lefty!T823</f>
        <v>17.288538461538462</v>
      </c>
    </row>
    <row r="824" spans="2:21">
      <c r="B824" s="114">
        <v>32</v>
      </c>
      <c r="C824" s="74">
        <f t="shared" si="426"/>
        <v>29.5</v>
      </c>
      <c r="D824" s="74">
        <f t="shared" si="427"/>
        <v>27</v>
      </c>
      <c r="E824" s="74">
        <f t="shared" si="428"/>
        <v>24.5</v>
      </c>
      <c r="F824" s="114">
        <v>22</v>
      </c>
      <c r="G824" s="74">
        <f t="shared" si="429"/>
        <v>19.5</v>
      </c>
      <c r="H824" s="74">
        <f t="shared" si="430"/>
        <v>17</v>
      </c>
      <c r="I824" s="74">
        <f t="shared" si="431"/>
        <v>14.5</v>
      </c>
      <c r="J824" s="114">
        <f t="shared" si="432"/>
        <v>12</v>
      </c>
      <c r="K824" s="74">
        <f t="shared" si="471"/>
        <v>10.125</v>
      </c>
      <c r="L824" s="114">
        <f t="shared" si="464"/>
        <v>8.25</v>
      </c>
      <c r="M824" s="115">
        <f t="shared" si="472"/>
        <v>9.7025000000000006</v>
      </c>
      <c r="N824" s="115">
        <f t="shared" si="473"/>
        <v>11.16375</v>
      </c>
      <c r="O824" s="74">
        <f t="shared" si="474"/>
        <v>12.625</v>
      </c>
      <c r="P824" s="74">
        <f t="shared" si="475"/>
        <v>14.077500000000001</v>
      </c>
      <c r="Q824" s="74">
        <f t="shared" si="476"/>
        <v>15.53</v>
      </c>
      <c r="R824" s="114">
        <v>17</v>
      </c>
      <c r="S824" s="129"/>
      <c r="T824" s="117">
        <f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15.472861538461538</v>
      </c>
      <c r="U824" s="117">
        <f>Lefty!T824</f>
        <v>17.013538461538463</v>
      </c>
    </row>
    <row r="825" spans="2:21">
      <c r="B825" s="114">
        <v>33</v>
      </c>
      <c r="C825" s="74">
        <f t="shared" si="426"/>
        <v>30.25</v>
      </c>
      <c r="D825" s="74">
        <f t="shared" si="427"/>
        <v>27.5</v>
      </c>
      <c r="E825" s="74">
        <f t="shared" si="428"/>
        <v>24.75</v>
      </c>
      <c r="F825" s="114">
        <v>22</v>
      </c>
      <c r="G825" s="74">
        <f t="shared" si="429"/>
        <v>19.25</v>
      </c>
      <c r="H825" s="74">
        <f t="shared" si="430"/>
        <v>16.5</v>
      </c>
      <c r="I825" s="74">
        <f t="shared" si="431"/>
        <v>13.75</v>
      </c>
      <c r="J825" s="114">
        <f t="shared" si="432"/>
        <v>11</v>
      </c>
      <c r="K825" s="74">
        <f t="shared" si="471"/>
        <v>8.9375</v>
      </c>
      <c r="L825" s="114">
        <f t="shared" si="464"/>
        <v>6.875</v>
      </c>
      <c r="M825" s="115">
        <f t="shared" si="472"/>
        <v>8.5557499999999997</v>
      </c>
      <c r="N825" s="115">
        <f t="shared" si="473"/>
        <v>10.246625</v>
      </c>
      <c r="O825" s="74">
        <f t="shared" si="474"/>
        <v>11.9375</v>
      </c>
      <c r="P825" s="74">
        <f t="shared" si="475"/>
        <v>13.61825</v>
      </c>
      <c r="Q825" s="74">
        <f t="shared" si="476"/>
        <v>15.298999999999999</v>
      </c>
      <c r="R825" s="114">
        <v>17</v>
      </c>
      <c r="S825" s="129"/>
      <c r="T825" s="117">
        <f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15.501461538461538</v>
      </c>
      <c r="U825" s="117">
        <f>Lefty!T825</f>
        <v>16.965138461538462</v>
      </c>
    </row>
    <row r="826" spans="2:21">
      <c r="B826" s="114">
        <v>34</v>
      </c>
      <c r="C826" s="74">
        <f t="shared" si="426"/>
        <v>31</v>
      </c>
      <c r="D826" s="74">
        <f t="shared" si="427"/>
        <v>28</v>
      </c>
      <c r="E826" s="74">
        <f t="shared" si="428"/>
        <v>25</v>
      </c>
      <c r="F826" s="114">
        <v>22</v>
      </c>
      <c r="G826" s="74">
        <f t="shared" si="429"/>
        <v>19</v>
      </c>
      <c r="H826" s="74">
        <f t="shared" si="430"/>
        <v>16</v>
      </c>
      <c r="I826" s="74">
        <f t="shared" si="431"/>
        <v>13</v>
      </c>
      <c r="J826" s="114">
        <f t="shared" si="432"/>
        <v>10</v>
      </c>
      <c r="K826" s="74">
        <f t="shared" si="471"/>
        <v>7.75</v>
      </c>
      <c r="L826" s="114">
        <f t="shared" si="464"/>
        <v>5.5</v>
      </c>
      <c r="M826" s="115">
        <f t="shared" si="472"/>
        <v>7.4089999999999998</v>
      </c>
      <c r="N826" s="115">
        <f t="shared" si="473"/>
        <v>9.3294999999999995</v>
      </c>
      <c r="O826" s="74">
        <f t="shared" si="474"/>
        <v>11.25</v>
      </c>
      <c r="P826" s="74">
        <f t="shared" si="475"/>
        <v>13.159000000000001</v>
      </c>
      <c r="Q826" s="74">
        <f t="shared" si="476"/>
        <v>15.068</v>
      </c>
      <c r="R826" s="114">
        <v>17</v>
      </c>
      <c r="S826" s="129"/>
      <c r="T826" s="117">
        <f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15.301261538461539</v>
      </c>
      <c r="U826" s="117">
        <f>Lefty!T826</f>
        <v>16.687938461538462</v>
      </c>
    </row>
    <row r="827" spans="2:21">
      <c r="B827" s="114">
        <v>35</v>
      </c>
      <c r="C827" s="74">
        <f t="shared" ref="C827:C891" si="477">SUM(0.25*(F827-B827),B827)</f>
        <v>31.75</v>
      </c>
      <c r="D827" s="74">
        <f t="shared" ref="D827:D891" si="478">SUM(0.5*(F827-B827)+B827)</f>
        <v>28.5</v>
      </c>
      <c r="E827" s="74">
        <f t="shared" ref="E827:E891" si="479">SUM(0.75*(F827-B827),B827)</f>
        <v>25.25</v>
      </c>
      <c r="F827" s="114">
        <v>22</v>
      </c>
      <c r="G827" s="74">
        <f t="shared" ref="G827:G891" si="480">SUM(0.25*(J827-F827),F827)</f>
        <v>18.75</v>
      </c>
      <c r="H827" s="74">
        <f t="shared" ref="H827:H891" si="481">SUM(0.5*(J827-F827),F827)</f>
        <v>15.5</v>
      </c>
      <c r="I827" s="74">
        <f t="shared" ref="I827:I891" si="482">SUM(0.75*(J827-F827),F827)</f>
        <v>12.25</v>
      </c>
      <c r="J827" s="114">
        <f t="shared" ref="J827:J891" si="483">SUM(F827,-B827,F827)</f>
        <v>9</v>
      </c>
      <c r="K827" s="74">
        <f t="shared" si="471"/>
        <v>6.5625</v>
      </c>
      <c r="L827" s="114">
        <f t="shared" si="464"/>
        <v>4.125</v>
      </c>
      <c r="M827" s="115">
        <f t="shared" si="472"/>
        <v>6.2622499999999999</v>
      </c>
      <c r="N827" s="115">
        <f t="shared" si="473"/>
        <v>8.4123750000000008</v>
      </c>
      <c r="O827" s="74">
        <f t="shared" si="474"/>
        <v>10.5625</v>
      </c>
      <c r="P827" s="74">
        <f t="shared" si="475"/>
        <v>12.69975</v>
      </c>
      <c r="Q827" s="74">
        <f t="shared" si="476"/>
        <v>14.837</v>
      </c>
      <c r="R827" s="114">
        <v>17</v>
      </c>
      <c r="S827" s="129"/>
      <c r="T827" s="117">
        <f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15.295290109890109</v>
      </c>
      <c r="U827" s="117">
        <f>Lefty!T827</f>
        <v>16.580138461538461</v>
      </c>
    </row>
    <row r="828" spans="2:21">
      <c r="B828" s="114">
        <v>36</v>
      </c>
      <c r="C828" s="74">
        <f t="shared" si="477"/>
        <v>32.5</v>
      </c>
      <c r="D828" s="74">
        <f t="shared" si="478"/>
        <v>29</v>
      </c>
      <c r="E828" s="74">
        <f t="shared" si="479"/>
        <v>25.5</v>
      </c>
      <c r="F828" s="114">
        <v>22</v>
      </c>
      <c r="G828" s="74">
        <f t="shared" si="480"/>
        <v>18.5</v>
      </c>
      <c r="H828" s="74">
        <f t="shared" si="481"/>
        <v>15</v>
      </c>
      <c r="I828" s="74">
        <f t="shared" si="482"/>
        <v>11.5</v>
      </c>
      <c r="J828" s="114">
        <f t="shared" si="483"/>
        <v>8</v>
      </c>
      <c r="K828" s="74">
        <f t="shared" si="471"/>
        <v>5.375</v>
      </c>
      <c r="L828" s="114">
        <f t="shared" si="464"/>
        <v>2.75</v>
      </c>
      <c r="M828" s="115">
        <f t="shared" si="472"/>
        <v>5.1154999999999999</v>
      </c>
      <c r="N828" s="115">
        <f t="shared" si="473"/>
        <v>7.4952500000000004</v>
      </c>
      <c r="O828" s="74">
        <f t="shared" si="474"/>
        <v>9.875</v>
      </c>
      <c r="P828" s="74">
        <f t="shared" si="475"/>
        <v>12.240500000000001</v>
      </c>
      <c r="Q828" s="74">
        <f t="shared" si="476"/>
        <v>14.606</v>
      </c>
      <c r="R828" s="114">
        <v>17</v>
      </c>
      <c r="S828" s="129"/>
      <c r="T828" s="117">
        <f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15.281147252747253</v>
      </c>
      <c r="U828" s="117">
        <f>Lefty!T828</f>
        <v>16.369252747252748</v>
      </c>
    </row>
    <row r="829" spans="2:21">
      <c r="B829" s="114">
        <v>37</v>
      </c>
      <c r="C829" s="74">
        <f t="shared" si="477"/>
        <v>33.25</v>
      </c>
      <c r="D829" s="74">
        <f t="shared" si="478"/>
        <v>29.5</v>
      </c>
      <c r="E829" s="74">
        <f t="shared" si="479"/>
        <v>25.75</v>
      </c>
      <c r="F829" s="114">
        <v>22</v>
      </c>
      <c r="G829" s="74">
        <f t="shared" si="480"/>
        <v>18.25</v>
      </c>
      <c r="H829" s="74">
        <f t="shared" si="481"/>
        <v>14.5</v>
      </c>
      <c r="I829" s="74">
        <f t="shared" si="482"/>
        <v>10.75</v>
      </c>
      <c r="J829" s="114">
        <f t="shared" si="483"/>
        <v>7</v>
      </c>
      <c r="K829" s="74">
        <f t="shared" si="471"/>
        <v>4.1875</v>
      </c>
      <c r="L829" s="114">
        <f t="shared" si="464"/>
        <v>1.375</v>
      </c>
      <c r="M829" s="115">
        <f t="shared" si="472"/>
        <v>3.96875</v>
      </c>
      <c r="N829" s="115">
        <f t="shared" si="473"/>
        <v>6.578125</v>
      </c>
      <c r="O829" s="74">
        <f t="shared" si="474"/>
        <v>9.1875</v>
      </c>
      <c r="P829" s="74">
        <f t="shared" si="475"/>
        <v>11.78125</v>
      </c>
      <c r="Q829" s="74">
        <f t="shared" si="476"/>
        <v>14.375</v>
      </c>
      <c r="R829" s="114">
        <v>17</v>
      </c>
      <c r="S829" s="129"/>
      <c r="T829" s="126">
        <f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15.458247252747253</v>
      </c>
      <c r="U829" s="126">
        <f>Lefty!T829</f>
        <v>16.280309890109891</v>
      </c>
    </row>
    <row r="830" spans="2:21">
      <c r="B830" s="114"/>
      <c r="C830" s="74"/>
      <c r="D830" s="74"/>
      <c r="E830" s="74"/>
      <c r="F830" s="114"/>
      <c r="G830" s="74"/>
      <c r="H830" s="74"/>
      <c r="I830" s="74"/>
      <c r="J830" s="114"/>
      <c r="K830" s="74"/>
      <c r="L830" s="114"/>
      <c r="M830" s="115"/>
      <c r="N830" s="115"/>
      <c r="O830" s="74"/>
      <c r="P830" s="74"/>
      <c r="Q830" s="74"/>
      <c r="R830" s="114"/>
      <c r="S830" s="129"/>
    </row>
    <row r="831" spans="2:21">
      <c r="B831" s="114">
        <v>25</v>
      </c>
      <c r="C831" s="74">
        <f t="shared" si="477"/>
        <v>24.5</v>
      </c>
      <c r="D831" s="74">
        <f t="shared" si="478"/>
        <v>24</v>
      </c>
      <c r="E831" s="74">
        <f t="shared" si="479"/>
        <v>23.5</v>
      </c>
      <c r="F831" s="114">
        <v>23</v>
      </c>
      <c r="G831" s="74">
        <f t="shared" si="480"/>
        <v>22.5</v>
      </c>
      <c r="H831" s="74">
        <f t="shared" si="481"/>
        <v>22</v>
      </c>
      <c r="I831" s="74">
        <f t="shared" si="482"/>
        <v>21.5</v>
      </c>
      <c r="J831" s="114">
        <f t="shared" si="483"/>
        <v>21</v>
      </c>
      <c r="K831" s="74">
        <f t="shared" ref="K831:K845" si="484">SUM(0.5*(L831-J831),J831)</f>
        <v>20.5</v>
      </c>
      <c r="L831" s="114">
        <f>SUM(J831,J831,-H831)</f>
        <v>20</v>
      </c>
      <c r="M831" s="115">
        <f t="shared" ref="M831:M845" si="485">SUM(0.166*(R831-L831),L831)</f>
        <v>19.501999999999999</v>
      </c>
      <c r="N831" s="115">
        <f t="shared" ref="N831:N845" si="486">SUM(0.333*(R831-L831),L831)</f>
        <v>19.001000000000001</v>
      </c>
      <c r="O831" s="74">
        <f t="shared" ref="O831:O845" si="487">SUM(0.5*(R831-L831),L831)</f>
        <v>18.5</v>
      </c>
      <c r="P831" s="74">
        <f t="shared" ref="P831:P845" si="488">SUM(0.666*(R831-L831),L831)</f>
        <v>18.001999999999999</v>
      </c>
      <c r="Q831" s="74">
        <f t="shared" ref="Q831:Q845" si="489">SUM(0.832*(R831-L831),L831)</f>
        <v>17.504000000000001</v>
      </c>
      <c r="R831" s="114">
        <v>17</v>
      </c>
      <c r="S831" s="129"/>
      <c r="T831" s="117">
        <f>SUM((BF20+BG19+BH18+BI17+BJ16+BK15+BL14+BM13+BN12+BO11+BP10+BQ9+BR8+BS7+BT6+BU5+BV4)*-0.132,17)</f>
        <v>15.160461538461536</v>
      </c>
      <c r="U831" s="117">
        <f>Lefty!T831</f>
        <v>16.727538461538462</v>
      </c>
    </row>
    <row r="832" spans="2:21">
      <c r="B832" s="114">
        <v>26</v>
      </c>
      <c r="C832" s="74">
        <f t="shared" si="477"/>
        <v>25.25</v>
      </c>
      <c r="D832" s="74">
        <f t="shared" si="478"/>
        <v>24.5</v>
      </c>
      <c r="E832" s="74">
        <f t="shared" si="479"/>
        <v>23.75</v>
      </c>
      <c r="F832" s="114">
        <v>23</v>
      </c>
      <c r="G832" s="74">
        <f t="shared" si="480"/>
        <v>22.25</v>
      </c>
      <c r="H832" s="74">
        <f t="shared" si="481"/>
        <v>21.5</v>
      </c>
      <c r="I832" s="74">
        <f t="shared" si="482"/>
        <v>20.75</v>
      </c>
      <c r="J832" s="114">
        <f t="shared" si="483"/>
        <v>20</v>
      </c>
      <c r="K832" s="74">
        <f t="shared" si="484"/>
        <v>19.4375</v>
      </c>
      <c r="L832" s="114">
        <f t="shared" si="464"/>
        <v>18.875</v>
      </c>
      <c r="M832" s="115">
        <f t="shared" si="485"/>
        <v>18.563749999999999</v>
      </c>
      <c r="N832" s="115">
        <f t="shared" si="486"/>
        <v>18.250624999999999</v>
      </c>
      <c r="O832" s="74">
        <f t="shared" si="487"/>
        <v>17.9375</v>
      </c>
      <c r="P832" s="74">
        <f t="shared" si="488"/>
        <v>17.626249999999999</v>
      </c>
      <c r="Q832" s="74">
        <f t="shared" si="489"/>
        <v>17.315000000000001</v>
      </c>
      <c r="R832" s="114">
        <v>17</v>
      </c>
      <c r="S832" s="129"/>
      <c r="T832" s="117">
        <f>SUM((BD20+BG18+BJ16+BM14+BP12+BQ11+BR10+BS9+BS8+BT7+BT6+BU5+BV4)*-0.132,(BE19+BF19+BH17+BI17+BK15+BL15+BN13+BO13)*-0.132/2,17)</f>
        <v>15.556461538461537</v>
      </c>
      <c r="U832" s="117">
        <f>Lefty!T832</f>
        <v>16.595538461538464</v>
      </c>
    </row>
    <row r="833" spans="2:21">
      <c r="B833" s="114">
        <v>27</v>
      </c>
      <c r="C833" s="74">
        <f t="shared" si="477"/>
        <v>26</v>
      </c>
      <c r="D833" s="74">
        <f t="shared" si="478"/>
        <v>25</v>
      </c>
      <c r="E833" s="74">
        <f t="shared" si="479"/>
        <v>24</v>
      </c>
      <c r="F833" s="114">
        <v>23</v>
      </c>
      <c r="G833" s="74">
        <f t="shared" si="480"/>
        <v>22</v>
      </c>
      <c r="H833" s="74">
        <f t="shared" si="481"/>
        <v>21</v>
      </c>
      <c r="I833" s="74">
        <f t="shared" si="482"/>
        <v>20</v>
      </c>
      <c r="J833" s="114">
        <f t="shared" si="483"/>
        <v>19</v>
      </c>
      <c r="K833" s="74">
        <f t="shared" si="484"/>
        <v>18.25</v>
      </c>
      <c r="L833" s="114">
        <f t="shared" si="464"/>
        <v>17.5</v>
      </c>
      <c r="M833" s="115">
        <f t="shared" si="485"/>
        <v>17.417000000000002</v>
      </c>
      <c r="N833" s="115">
        <f t="shared" si="486"/>
        <v>17.333500000000001</v>
      </c>
      <c r="O833" s="74">
        <f t="shared" si="487"/>
        <v>17.25</v>
      </c>
      <c r="P833" s="74">
        <f t="shared" si="488"/>
        <v>17.167000000000002</v>
      </c>
      <c r="Q833" s="74">
        <f t="shared" si="489"/>
        <v>17.084</v>
      </c>
      <c r="R833" s="114">
        <v>17</v>
      </c>
      <c r="S833" s="129"/>
      <c r="T833" s="117">
        <f>SUM((BC19+BD19+BE18+BF18+BG17+BH17+BI16+BJ16+BK15+BL15+BM14+BN14+BO13+BP13+BQ12+BR12+BS11+BT11)*-0.132/2,(BB20+BU10+BU9+BU8+BU7+BV6+BV5+BV4)*-0.132,17)</f>
        <v>14.896461538461537</v>
      </c>
      <c r="U833" s="117">
        <f>Lefty!T833</f>
        <v>16.925538461538462</v>
      </c>
    </row>
    <row r="834" spans="2:21">
      <c r="B834" s="114">
        <v>28</v>
      </c>
      <c r="C834" s="74">
        <f t="shared" si="477"/>
        <v>26.75</v>
      </c>
      <c r="D834" s="74">
        <f t="shared" si="478"/>
        <v>25.5</v>
      </c>
      <c r="E834" s="74">
        <f t="shared" si="479"/>
        <v>24.25</v>
      </c>
      <c r="F834" s="114">
        <v>23</v>
      </c>
      <c r="G834" s="74">
        <f t="shared" si="480"/>
        <v>21.75</v>
      </c>
      <c r="H834" s="74">
        <f t="shared" si="481"/>
        <v>20.5</v>
      </c>
      <c r="I834" s="74">
        <f t="shared" si="482"/>
        <v>19.25</v>
      </c>
      <c r="J834" s="114">
        <f t="shared" si="483"/>
        <v>18</v>
      </c>
      <c r="K834" s="74">
        <f t="shared" si="484"/>
        <v>17.0625</v>
      </c>
      <c r="L834" s="114">
        <f t="shared" si="464"/>
        <v>16.125</v>
      </c>
      <c r="M834" s="115">
        <f t="shared" si="485"/>
        <v>16.270250000000001</v>
      </c>
      <c r="N834" s="115">
        <f t="shared" si="486"/>
        <v>16.416374999999999</v>
      </c>
      <c r="O834" s="74">
        <f t="shared" si="487"/>
        <v>16.5625</v>
      </c>
      <c r="P834" s="74">
        <f t="shared" si="488"/>
        <v>16.707750000000001</v>
      </c>
      <c r="Q834" s="74">
        <f t="shared" si="489"/>
        <v>16.853000000000002</v>
      </c>
      <c r="R834" s="114">
        <v>17</v>
      </c>
      <c r="S834" s="129"/>
      <c r="T834" s="117">
        <f>SUM((AZ20+BA20+BB19+BC19+BG17+BH17+BI16+BJ16+BN14+BO14+BS12+BT12+BU11+BV11+BW10+BX10)*-0.132/2,(BD18+BE18+BF18+BK15+BL15+BM15+BP13+BQ13+BR13)*-0.132/3,(BW9+BW8+BW7+BV6+BV5+BV4)*-0.132,17)</f>
        <v>15.182461538461537</v>
      </c>
      <c r="U834" s="117">
        <f>Lefty!T834</f>
        <v>16.463538461538462</v>
      </c>
    </row>
    <row r="835" spans="2:21">
      <c r="B835" s="114">
        <v>29</v>
      </c>
      <c r="C835" s="74">
        <f t="shared" si="477"/>
        <v>27.5</v>
      </c>
      <c r="D835" s="74">
        <f t="shared" si="478"/>
        <v>26</v>
      </c>
      <c r="E835" s="74">
        <f t="shared" si="479"/>
        <v>24.5</v>
      </c>
      <c r="F835" s="114">
        <v>23</v>
      </c>
      <c r="G835" s="74">
        <f t="shared" si="480"/>
        <v>21.5</v>
      </c>
      <c r="H835" s="74">
        <f t="shared" si="481"/>
        <v>20</v>
      </c>
      <c r="I835" s="74">
        <f t="shared" si="482"/>
        <v>18.5</v>
      </c>
      <c r="J835" s="114">
        <f t="shared" si="483"/>
        <v>17</v>
      </c>
      <c r="K835" s="74">
        <f t="shared" si="484"/>
        <v>15.875</v>
      </c>
      <c r="L835" s="114">
        <f t="shared" si="464"/>
        <v>14.75</v>
      </c>
      <c r="M835" s="115">
        <f t="shared" si="485"/>
        <v>15.1235</v>
      </c>
      <c r="N835" s="115">
        <f t="shared" si="486"/>
        <v>15.49925</v>
      </c>
      <c r="O835" s="74">
        <f t="shared" si="487"/>
        <v>15.875</v>
      </c>
      <c r="P835" s="74">
        <f t="shared" si="488"/>
        <v>16.2485</v>
      </c>
      <c r="Q835" s="74">
        <f t="shared" si="489"/>
        <v>16.622</v>
      </c>
      <c r="R835" s="114">
        <v>17</v>
      </c>
      <c r="S835" s="129"/>
      <c r="T835" s="117">
        <f>SUM((AX20+AY20+BC18+BD18)*-0.132/2,(AZ19+BA19+BB19+BE17+BF17+BG17+BH16+BI16+BJ16+BK15+BL15+BM15+BN14+BO14+BP14+BQ13+BR13+BS13+BT12+BU12+BV12+BW11+BX11+BY11)*-0.132/3,(BZ10+CA10)*-0.132/2,(BZ9+BY8+BX7+BW6+BV5+BV4)*-0.132,17)</f>
        <v>15.072461538461537</v>
      </c>
      <c r="U835" s="117">
        <f>Lefty!T835</f>
        <v>16.991538461538461</v>
      </c>
    </row>
    <row r="836" spans="2:21">
      <c r="B836" s="114">
        <v>30</v>
      </c>
      <c r="C836" s="74">
        <f t="shared" si="477"/>
        <v>28.25</v>
      </c>
      <c r="D836" s="74">
        <f t="shared" si="478"/>
        <v>26.5</v>
      </c>
      <c r="E836" s="74">
        <f t="shared" si="479"/>
        <v>24.75</v>
      </c>
      <c r="F836" s="114">
        <v>23</v>
      </c>
      <c r="G836" s="74">
        <f t="shared" si="480"/>
        <v>21.25</v>
      </c>
      <c r="H836" s="74">
        <f t="shared" si="481"/>
        <v>19.5</v>
      </c>
      <c r="I836" s="74">
        <f t="shared" si="482"/>
        <v>17.75</v>
      </c>
      <c r="J836" s="114">
        <f t="shared" si="483"/>
        <v>16</v>
      </c>
      <c r="K836" s="74">
        <f t="shared" si="484"/>
        <v>14.6875</v>
      </c>
      <c r="L836" s="114">
        <f t="shared" si="464"/>
        <v>13.375</v>
      </c>
      <c r="M836" s="115">
        <f t="shared" si="485"/>
        <v>13.976749999999999</v>
      </c>
      <c r="N836" s="115">
        <f t="shared" si="486"/>
        <v>14.582125</v>
      </c>
      <c r="O836" s="74">
        <f t="shared" si="487"/>
        <v>15.1875</v>
      </c>
      <c r="P836" s="74">
        <f t="shared" si="488"/>
        <v>15.789249999999999</v>
      </c>
      <c r="Q836" s="74">
        <f t="shared" si="489"/>
        <v>16.390999999999998</v>
      </c>
      <c r="R836" s="114">
        <v>17</v>
      </c>
      <c r="S836" s="129"/>
      <c r="T836" s="117">
        <f>SUM((AV20+AW20+AX20+AY19+AZ19+BA19+BB18+BC18+BD18+BE17+BF17+BG17+BH16+BI16+BJ16+BO14+BP14+BQ14+BV12+BW12+BX12+BY11+BZ11+CA11)*-0.132/3,(BK15+BL15+BM15+BN15+BR13+BS13+BT13+BU13)*-0.132/4,(CB10+CC10+CB9+CA9)*-0.132/2,(BZ8+BY7+BX6+BW5+BV4)*-0.132,17)</f>
        <v>15.303461538461539</v>
      </c>
      <c r="U836" s="117">
        <f>Lefty!T836</f>
        <v>16.870538461538462</v>
      </c>
    </row>
    <row r="837" spans="2:21">
      <c r="B837" s="114">
        <v>31</v>
      </c>
      <c r="C837" s="74">
        <f t="shared" si="477"/>
        <v>29</v>
      </c>
      <c r="D837" s="74">
        <f t="shared" si="478"/>
        <v>27</v>
      </c>
      <c r="E837" s="74">
        <f t="shared" si="479"/>
        <v>25</v>
      </c>
      <c r="F837" s="114">
        <v>23</v>
      </c>
      <c r="G837" s="74">
        <f t="shared" si="480"/>
        <v>21</v>
      </c>
      <c r="H837" s="74">
        <f t="shared" si="481"/>
        <v>19</v>
      </c>
      <c r="I837" s="74">
        <f t="shared" si="482"/>
        <v>17</v>
      </c>
      <c r="J837" s="114">
        <f t="shared" si="483"/>
        <v>15</v>
      </c>
      <c r="K837" s="74">
        <f t="shared" si="484"/>
        <v>13.5</v>
      </c>
      <c r="L837" s="114">
        <f t="shared" si="464"/>
        <v>12</v>
      </c>
      <c r="M837" s="115">
        <f t="shared" si="485"/>
        <v>12.83</v>
      </c>
      <c r="N837" s="115">
        <f t="shared" si="486"/>
        <v>13.664999999999999</v>
      </c>
      <c r="O837" s="74">
        <f t="shared" si="487"/>
        <v>14.5</v>
      </c>
      <c r="P837" s="74">
        <f t="shared" si="488"/>
        <v>15.33</v>
      </c>
      <c r="Q837" s="74">
        <f t="shared" si="489"/>
        <v>16.16</v>
      </c>
      <c r="R837" s="114">
        <v>17</v>
      </c>
      <c r="S837" s="129"/>
      <c r="T837" s="117">
        <f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15.391461538461538</v>
      </c>
      <c r="U837" s="117">
        <f>Lefty!T837</f>
        <v>17.068538461538463</v>
      </c>
    </row>
    <row r="838" spans="2:21">
      <c r="B838" s="114">
        <v>32</v>
      </c>
      <c r="C838" s="74">
        <f t="shared" si="477"/>
        <v>29.75</v>
      </c>
      <c r="D838" s="74">
        <f t="shared" si="478"/>
        <v>27.5</v>
      </c>
      <c r="E838" s="74">
        <f t="shared" si="479"/>
        <v>25.25</v>
      </c>
      <c r="F838" s="114">
        <v>23</v>
      </c>
      <c r="G838" s="74">
        <f t="shared" si="480"/>
        <v>20.75</v>
      </c>
      <c r="H838" s="74">
        <f t="shared" si="481"/>
        <v>18.5</v>
      </c>
      <c r="I838" s="74">
        <f t="shared" si="482"/>
        <v>16.25</v>
      </c>
      <c r="J838" s="114">
        <f t="shared" si="483"/>
        <v>14</v>
      </c>
      <c r="K838" s="74">
        <f t="shared" si="484"/>
        <v>12.3125</v>
      </c>
      <c r="L838" s="114">
        <f t="shared" si="464"/>
        <v>10.625</v>
      </c>
      <c r="M838" s="115">
        <f t="shared" si="485"/>
        <v>11.683250000000001</v>
      </c>
      <c r="N838" s="115">
        <f t="shared" si="486"/>
        <v>12.747875000000001</v>
      </c>
      <c r="O838" s="74">
        <f t="shared" si="487"/>
        <v>13.8125</v>
      </c>
      <c r="P838" s="74">
        <f t="shared" si="488"/>
        <v>14.870750000000001</v>
      </c>
      <c r="Q838" s="74">
        <f t="shared" si="489"/>
        <v>15.928999999999998</v>
      </c>
      <c r="R838" s="114">
        <v>17</v>
      </c>
      <c r="S838" s="129"/>
      <c r="T838" s="117">
        <f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15.404661538461539</v>
      </c>
      <c r="U838" s="117">
        <f>Lefty!T838</f>
        <v>16.934338461538463</v>
      </c>
    </row>
    <row r="839" spans="2:21">
      <c r="B839" s="114">
        <v>33</v>
      </c>
      <c r="C839" s="74">
        <f t="shared" si="477"/>
        <v>30.5</v>
      </c>
      <c r="D839" s="74">
        <f t="shared" si="478"/>
        <v>28</v>
      </c>
      <c r="E839" s="74">
        <f t="shared" si="479"/>
        <v>25.5</v>
      </c>
      <c r="F839" s="114">
        <v>23</v>
      </c>
      <c r="G839" s="74">
        <f t="shared" si="480"/>
        <v>20.5</v>
      </c>
      <c r="H839" s="74">
        <f t="shared" si="481"/>
        <v>18</v>
      </c>
      <c r="I839" s="74">
        <f t="shared" si="482"/>
        <v>15.5</v>
      </c>
      <c r="J839" s="114">
        <f t="shared" si="483"/>
        <v>13</v>
      </c>
      <c r="K839" s="74">
        <f t="shared" si="484"/>
        <v>11.125</v>
      </c>
      <c r="L839" s="114">
        <f t="shared" si="464"/>
        <v>9.25</v>
      </c>
      <c r="M839" s="115">
        <f t="shared" si="485"/>
        <v>10.5365</v>
      </c>
      <c r="N839" s="115">
        <f t="shared" si="486"/>
        <v>11.83075</v>
      </c>
      <c r="O839" s="74">
        <f t="shared" si="487"/>
        <v>13.125</v>
      </c>
      <c r="P839" s="74">
        <f t="shared" si="488"/>
        <v>14.4115</v>
      </c>
      <c r="Q839" s="74">
        <f t="shared" si="489"/>
        <v>15.698</v>
      </c>
      <c r="R839" s="114">
        <v>17</v>
      </c>
      <c r="S839" s="129"/>
      <c r="T839" s="117">
        <f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15.349661538461538</v>
      </c>
      <c r="U839" s="117">
        <f>Lefty!T839</f>
        <v>17.028938461538463</v>
      </c>
    </row>
    <row r="840" spans="2:21">
      <c r="B840" s="114">
        <v>34</v>
      </c>
      <c r="C840" s="74">
        <f t="shared" si="477"/>
        <v>31.25</v>
      </c>
      <c r="D840" s="74">
        <f t="shared" si="478"/>
        <v>28.5</v>
      </c>
      <c r="E840" s="74">
        <f t="shared" si="479"/>
        <v>25.75</v>
      </c>
      <c r="F840" s="114">
        <v>23</v>
      </c>
      <c r="G840" s="74">
        <f t="shared" si="480"/>
        <v>20.25</v>
      </c>
      <c r="H840" s="74">
        <f t="shared" si="481"/>
        <v>17.5</v>
      </c>
      <c r="I840" s="74">
        <f t="shared" si="482"/>
        <v>14.75</v>
      </c>
      <c r="J840" s="114">
        <f t="shared" si="483"/>
        <v>12</v>
      </c>
      <c r="K840" s="74">
        <f t="shared" si="484"/>
        <v>9.9375</v>
      </c>
      <c r="L840" s="114">
        <f t="shared" si="464"/>
        <v>7.875</v>
      </c>
      <c r="M840" s="115">
        <f t="shared" si="485"/>
        <v>9.3897499999999994</v>
      </c>
      <c r="N840" s="115">
        <f t="shared" si="486"/>
        <v>10.913625</v>
      </c>
      <c r="O840" s="74">
        <f t="shared" si="487"/>
        <v>12.4375</v>
      </c>
      <c r="P840" s="74">
        <f t="shared" si="488"/>
        <v>13.952249999999999</v>
      </c>
      <c r="Q840" s="74">
        <f t="shared" si="489"/>
        <v>15.466999999999999</v>
      </c>
      <c r="R840" s="114">
        <v>17</v>
      </c>
      <c r="S840" s="129"/>
      <c r="T840" s="117">
        <f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15.442061538461539</v>
      </c>
      <c r="U840" s="117">
        <f>Lefty!T840</f>
        <v>16.745138461538463</v>
      </c>
    </row>
    <row r="841" spans="2:21">
      <c r="B841" s="114">
        <v>35</v>
      </c>
      <c r="C841" s="74">
        <f t="shared" si="477"/>
        <v>32</v>
      </c>
      <c r="D841" s="74">
        <f t="shared" si="478"/>
        <v>29</v>
      </c>
      <c r="E841" s="74">
        <f t="shared" si="479"/>
        <v>26</v>
      </c>
      <c r="F841" s="114">
        <v>23</v>
      </c>
      <c r="G841" s="74">
        <f t="shared" si="480"/>
        <v>20</v>
      </c>
      <c r="H841" s="74">
        <f t="shared" si="481"/>
        <v>17</v>
      </c>
      <c r="I841" s="74">
        <f t="shared" si="482"/>
        <v>14</v>
      </c>
      <c r="J841" s="114">
        <f t="shared" si="483"/>
        <v>11</v>
      </c>
      <c r="K841" s="74">
        <f t="shared" si="484"/>
        <v>8.75</v>
      </c>
      <c r="L841" s="114">
        <f t="shared" si="464"/>
        <v>6.5</v>
      </c>
      <c r="M841" s="115">
        <f t="shared" si="485"/>
        <v>8.2430000000000003</v>
      </c>
      <c r="N841" s="115">
        <f t="shared" si="486"/>
        <v>9.9965000000000011</v>
      </c>
      <c r="O841" s="74">
        <f t="shared" si="487"/>
        <v>11.75</v>
      </c>
      <c r="P841" s="74">
        <f t="shared" si="488"/>
        <v>13.493</v>
      </c>
      <c r="Q841" s="74">
        <f t="shared" si="489"/>
        <v>15.235999999999999</v>
      </c>
      <c r="R841" s="114">
        <v>17</v>
      </c>
      <c r="S841" s="129"/>
      <c r="T841" s="117">
        <f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15.468461538461538</v>
      </c>
      <c r="U841" s="117">
        <f>Lefty!T841</f>
        <v>16.591138461538463</v>
      </c>
    </row>
    <row r="842" spans="2:21">
      <c r="B842" s="114">
        <v>36</v>
      </c>
      <c r="C842" s="74">
        <f t="shared" si="477"/>
        <v>32.75</v>
      </c>
      <c r="D842" s="74">
        <f t="shared" si="478"/>
        <v>29.5</v>
      </c>
      <c r="E842" s="74">
        <f t="shared" si="479"/>
        <v>26.25</v>
      </c>
      <c r="F842" s="114">
        <v>23</v>
      </c>
      <c r="G842" s="74">
        <f t="shared" si="480"/>
        <v>19.75</v>
      </c>
      <c r="H842" s="74">
        <f t="shared" si="481"/>
        <v>16.5</v>
      </c>
      <c r="I842" s="74">
        <f t="shared" si="482"/>
        <v>13.25</v>
      </c>
      <c r="J842" s="114">
        <f t="shared" si="483"/>
        <v>10</v>
      </c>
      <c r="K842" s="74">
        <f t="shared" si="484"/>
        <v>7.5625</v>
      </c>
      <c r="L842" s="114">
        <f t="shared" si="464"/>
        <v>5.125</v>
      </c>
      <c r="M842" s="115">
        <f t="shared" si="485"/>
        <v>7.0962500000000004</v>
      </c>
      <c r="N842" s="115">
        <f t="shared" si="486"/>
        <v>9.0793750000000006</v>
      </c>
      <c r="O842" s="74">
        <f t="shared" si="487"/>
        <v>11.0625</v>
      </c>
      <c r="P842" s="74">
        <f t="shared" si="488"/>
        <v>13.033750000000001</v>
      </c>
      <c r="Q842" s="74">
        <f t="shared" si="489"/>
        <v>15.004999999999999</v>
      </c>
      <c r="R842" s="114">
        <v>17</v>
      </c>
      <c r="S842" s="129"/>
      <c r="T842" s="117">
        <f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15.310061538461538</v>
      </c>
      <c r="U842" s="117">
        <f>Lefty!T842</f>
        <v>16.346624175824175</v>
      </c>
    </row>
    <row r="843" spans="2:21">
      <c r="B843" s="114">
        <v>37</v>
      </c>
      <c r="C843" s="74">
        <f t="shared" si="477"/>
        <v>33.5</v>
      </c>
      <c r="D843" s="74">
        <f t="shared" si="478"/>
        <v>30</v>
      </c>
      <c r="E843" s="74">
        <f t="shared" si="479"/>
        <v>26.5</v>
      </c>
      <c r="F843" s="114">
        <v>23</v>
      </c>
      <c r="G843" s="74">
        <f t="shared" si="480"/>
        <v>19.5</v>
      </c>
      <c r="H843" s="74">
        <f t="shared" si="481"/>
        <v>16</v>
      </c>
      <c r="I843" s="74">
        <f t="shared" si="482"/>
        <v>12.5</v>
      </c>
      <c r="J843" s="114">
        <f t="shared" si="483"/>
        <v>9</v>
      </c>
      <c r="K843" s="74">
        <f t="shared" si="484"/>
        <v>6.375</v>
      </c>
      <c r="L843" s="114">
        <f t="shared" si="464"/>
        <v>3.75</v>
      </c>
      <c r="M843" s="115">
        <f t="shared" si="485"/>
        <v>5.9495000000000005</v>
      </c>
      <c r="N843" s="115">
        <f t="shared" si="486"/>
        <v>8.1622500000000002</v>
      </c>
      <c r="O843" s="74">
        <f t="shared" si="487"/>
        <v>10.375</v>
      </c>
      <c r="P843" s="74">
        <f t="shared" si="488"/>
        <v>12.5745</v>
      </c>
      <c r="Q843" s="74">
        <f t="shared" si="489"/>
        <v>14.773999999999999</v>
      </c>
      <c r="R843" s="114">
        <v>17</v>
      </c>
      <c r="S843" s="129"/>
      <c r="T843" s="117">
        <f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15.440175824175824</v>
      </c>
      <c r="U843" s="117">
        <f>Lefty!T843</f>
        <v>16.136995604395604</v>
      </c>
    </row>
    <row r="844" spans="2:21">
      <c r="B844" s="114">
        <v>38</v>
      </c>
      <c r="C844" s="74">
        <f t="shared" si="477"/>
        <v>34.25</v>
      </c>
      <c r="D844" s="74">
        <f t="shared" si="478"/>
        <v>30.5</v>
      </c>
      <c r="E844" s="74">
        <f t="shared" si="479"/>
        <v>26.75</v>
      </c>
      <c r="F844" s="114">
        <v>23</v>
      </c>
      <c r="G844" s="74">
        <f t="shared" si="480"/>
        <v>19.25</v>
      </c>
      <c r="H844" s="74">
        <f t="shared" si="481"/>
        <v>15.5</v>
      </c>
      <c r="I844" s="74">
        <f t="shared" si="482"/>
        <v>11.75</v>
      </c>
      <c r="J844" s="114">
        <f t="shared" si="483"/>
        <v>8</v>
      </c>
      <c r="K844" s="74">
        <f t="shared" si="484"/>
        <v>5.1875</v>
      </c>
      <c r="L844" s="114">
        <f t="shared" si="464"/>
        <v>2.375</v>
      </c>
      <c r="M844" s="115">
        <f t="shared" si="485"/>
        <v>4.8027499999999996</v>
      </c>
      <c r="N844" s="115">
        <f t="shared" si="486"/>
        <v>7.2451250000000007</v>
      </c>
      <c r="O844" s="74">
        <f t="shared" si="487"/>
        <v>9.6875</v>
      </c>
      <c r="P844" s="74">
        <f t="shared" si="488"/>
        <v>12.115250000000001</v>
      </c>
      <c r="Q844" s="74">
        <f t="shared" si="489"/>
        <v>14.542999999999999</v>
      </c>
      <c r="R844" s="114">
        <v>17</v>
      </c>
      <c r="S844" s="129"/>
      <c r="T844" s="117">
        <f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15.526447252747253</v>
      </c>
      <c r="U844" s="117">
        <f>Lefty!T844</f>
        <v>16.065181318681319</v>
      </c>
    </row>
    <row r="845" spans="2:21">
      <c r="B845" s="114">
        <v>39</v>
      </c>
      <c r="C845" s="74">
        <f t="shared" si="477"/>
        <v>35</v>
      </c>
      <c r="D845" s="74">
        <f t="shared" si="478"/>
        <v>31</v>
      </c>
      <c r="E845" s="74">
        <f t="shared" si="479"/>
        <v>27</v>
      </c>
      <c r="F845" s="114">
        <v>23</v>
      </c>
      <c r="G845" s="74">
        <f t="shared" si="480"/>
        <v>19</v>
      </c>
      <c r="H845" s="74">
        <f t="shared" si="481"/>
        <v>15</v>
      </c>
      <c r="I845" s="74">
        <f t="shared" si="482"/>
        <v>11</v>
      </c>
      <c r="J845" s="114">
        <f t="shared" si="483"/>
        <v>7</v>
      </c>
      <c r="K845" s="74">
        <f t="shared" si="484"/>
        <v>4</v>
      </c>
      <c r="L845" s="114">
        <f t="shared" si="464"/>
        <v>1</v>
      </c>
      <c r="M845" s="115">
        <f t="shared" si="485"/>
        <v>3.6560000000000001</v>
      </c>
      <c r="N845" s="115">
        <f t="shared" si="486"/>
        <v>6.3280000000000003</v>
      </c>
      <c r="O845" s="74">
        <f t="shared" si="487"/>
        <v>9</v>
      </c>
      <c r="P845" s="74">
        <f t="shared" si="488"/>
        <v>11.656000000000001</v>
      </c>
      <c r="Q845" s="74">
        <f t="shared" si="489"/>
        <v>14.311999999999999</v>
      </c>
      <c r="R845" s="114">
        <v>17</v>
      </c>
      <c r="S845" s="129"/>
      <c r="T845" s="126">
        <f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15.823132967032967</v>
      </c>
      <c r="U845" s="126">
        <f>Lefty!T845</f>
        <v>15.93978131868132</v>
      </c>
    </row>
    <row r="846" spans="2:21">
      <c r="B846" s="114"/>
      <c r="C846" s="74"/>
      <c r="D846" s="74"/>
      <c r="E846" s="74"/>
      <c r="F846" s="114"/>
      <c r="G846" s="74"/>
      <c r="H846" s="74"/>
      <c r="I846" s="74"/>
      <c r="J846" s="114"/>
      <c r="K846" s="74"/>
      <c r="L846" s="114"/>
      <c r="M846" s="115"/>
      <c r="N846" s="115"/>
      <c r="O846" s="74"/>
      <c r="P846" s="74"/>
      <c r="Q846" s="74"/>
      <c r="R846" s="114"/>
      <c r="S846" s="129"/>
    </row>
    <row r="847" spans="2:21">
      <c r="B847" s="114">
        <v>27</v>
      </c>
      <c r="C847" s="74">
        <f t="shared" si="477"/>
        <v>26.25</v>
      </c>
      <c r="D847" s="74">
        <f t="shared" si="478"/>
        <v>25.5</v>
      </c>
      <c r="E847" s="74">
        <f t="shared" si="479"/>
        <v>24.75</v>
      </c>
      <c r="F847" s="114">
        <v>24</v>
      </c>
      <c r="G847" s="74">
        <f t="shared" si="480"/>
        <v>23.25</v>
      </c>
      <c r="H847" s="74">
        <f t="shared" si="481"/>
        <v>22.5</v>
      </c>
      <c r="I847" s="74">
        <f t="shared" si="482"/>
        <v>21.75</v>
      </c>
      <c r="J847" s="114">
        <f t="shared" si="483"/>
        <v>21</v>
      </c>
      <c r="K847" s="74">
        <f t="shared" ref="K847:K859" si="490">SUM(0.5*(L847-J847),J847)</f>
        <v>20.4375</v>
      </c>
      <c r="L847" s="114">
        <f t="shared" si="464"/>
        <v>19.875</v>
      </c>
      <c r="M847" s="115">
        <f t="shared" ref="M847:M859" si="491">SUM(0.166*(R847-L847),L847)</f>
        <v>19.397749999999998</v>
      </c>
      <c r="N847" s="115">
        <f t="shared" ref="N847:N859" si="492">SUM(0.333*(R847-L847),L847)</f>
        <v>18.917625000000001</v>
      </c>
      <c r="O847" s="74">
        <f t="shared" ref="O847:O859" si="493">SUM(0.5*(R847-L847),L847)</f>
        <v>18.4375</v>
      </c>
      <c r="P847" s="74">
        <f t="shared" ref="P847:P859" si="494">SUM(0.666*(R847-L847),L847)</f>
        <v>17.960249999999998</v>
      </c>
      <c r="Q847" s="74">
        <f t="shared" ref="Q847:Q859" si="495">SUM(0.832*(R847-L847),L847)</f>
        <v>17.483000000000001</v>
      </c>
      <c r="R847" s="114">
        <v>17</v>
      </c>
      <c r="S847" s="129"/>
      <c r="T847" s="117">
        <f>SUM((BB20+BE18+BH16+BK14+BN12+BO11+BP10+BQ9+BR8+BS7+BT6+BU5+BV4)*-0.132,(BC19+BD19+BF17+BG17+BI15+BJ15+BL13+BM13)*-0.132/2,17)</f>
        <v>15.160461538461538</v>
      </c>
      <c r="U847" s="117">
        <f>Lefty!T847</f>
        <v>16.595538461538464</v>
      </c>
    </row>
    <row r="848" spans="2:21">
      <c r="B848" s="114">
        <v>28</v>
      </c>
      <c r="C848" s="74">
        <f t="shared" si="477"/>
        <v>27</v>
      </c>
      <c r="D848" s="74">
        <f t="shared" si="478"/>
        <v>26</v>
      </c>
      <c r="E848" s="74">
        <f t="shared" si="479"/>
        <v>25</v>
      </c>
      <c r="F848" s="114">
        <v>24</v>
      </c>
      <c r="G848" s="74">
        <f t="shared" si="480"/>
        <v>23</v>
      </c>
      <c r="H848" s="74">
        <f t="shared" si="481"/>
        <v>22</v>
      </c>
      <c r="I848" s="74">
        <f t="shared" si="482"/>
        <v>21</v>
      </c>
      <c r="J848" s="114">
        <f t="shared" si="483"/>
        <v>20</v>
      </c>
      <c r="K848" s="74">
        <f t="shared" si="490"/>
        <v>19.25</v>
      </c>
      <c r="L848" s="114">
        <f t="shared" si="464"/>
        <v>18.5</v>
      </c>
      <c r="M848" s="115">
        <f t="shared" si="491"/>
        <v>18.251000000000001</v>
      </c>
      <c r="N848" s="115">
        <f t="shared" si="492"/>
        <v>18.000499999999999</v>
      </c>
      <c r="O848" s="74">
        <f t="shared" si="493"/>
        <v>17.75</v>
      </c>
      <c r="P848" s="74">
        <f t="shared" si="494"/>
        <v>17.501000000000001</v>
      </c>
      <c r="Q848" s="74">
        <f t="shared" si="495"/>
        <v>17.251999999999999</v>
      </c>
      <c r="R848" s="114">
        <v>17</v>
      </c>
      <c r="S848" s="129"/>
      <c r="T848" s="117">
        <f>SUM((BA19+BB19+BC18+BD18+BE17+BF17+BG16+BH16+BI15+BJ15+BK14+BL14+BM13+BN13+BO12+BP12+BQ11+BR11)*-0.132/2,(AZ20+BS10+BT9+BT8+BU7+BU6+BV5+BV4)*-0.132,17)</f>
        <v>14.830461538461538</v>
      </c>
      <c r="U848" s="117">
        <f>Lefty!T848</f>
        <v>16.661538461538463</v>
      </c>
    </row>
    <row r="849" spans="2:21">
      <c r="B849" s="114">
        <v>29</v>
      </c>
      <c r="C849" s="74">
        <f t="shared" si="477"/>
        <v>27.75</v>
      </c>
      <c r="D849" s="74">
        <f t="shared" si="478"/>
        <v>26.5</v>
      </c>
      <c r="E849" s="74">
        <f t="shared" si="479"/>
        <v>25.25</v>
      </c>
      <c r="F849" s="114">
        <v>24</v>
      </c>
      <c r="G849" s="74">
        <f t="shared" si="480"/>
        <v>22.75</v>
      </c>
      <c r="H849" s="74">
        <f t="shared" si="481"/>
        <v>21.5</v>
      </c>
      <c r="I849" s="74">
        <f t="shared" si="482"/>
        <v>20.25</v>
      </c>
      <c r="J849" s="114">
        <f t="shared" si="483"/>
        <v>19</v>
      </c>
      <c r="K849" s="74">
        <f t="shared" si="490"/>
        <v>18.0625</v>
      </c>
      <c r="L849" s="114">
        <f t="shared" si="464"/>
        <v>17.125</v>
      </c>
      <c r="M849" s="115">
        <f t="shared" si="491"/>
        <v>17.10425</v>
      </c>
      <c r="N849" s="115">
        <f t="shared" si="492"/>
        <v>17.083375</v>
      </c>
      <c r="O849" s="74">
        <f t="shared" si="493"/>
        <v>17.0625</v>
      </c>
      <c r="P849" s="74">
        <f t="shared" si="494"/>
        <v>17.04175</v>
      </c>
      <c r="Q849" s="74">
        <f t="shared" si="495"/>
        <v>17.021000000000001</v>
      </c>
      <c r="R849" s="114">
        <v>17</v>
      </c>
      <c r="S849" s="129"/>
      <c r="T849" s="117">
        <f>SUM((AX20+AY20+AZ19+BA19+BE17+BF17+BG16+BH16+BL14+BM14++++BQ12+BR12+BS11+BT11+BU10+BV10)*-0.132/2,(BB18+BC18+BD18+BI15+BJ15+BK15+BN13+BO13+BP13)*-0.132/3,(BV9+BV8+BV7+BV6+BV5+BV4)*-0.132,17)</f>
        <v>14.896461538461539</v>
      </c>
      <c r="U849" s="117">
        <f>Lefty!T849</f>
        <v>16.683538461538461</v>
      </c>
    </row>
    <row r="850" spans="2:21">
      <c r="B850" s="114">
        <v>30</v>
      </c>
      <c r="C850" s="74">
        <f t="shared" si="477"/>
        <v>28.5</v>
      </c>
      <c r="D850" s="74">
        <f t="shared" si="478"/>
        <v>27</v>
      </c>
      <c r="E850" s="74">
        <f t="shared" si="479"/>
        <v>25.5</v>
      </c>
      <c r="F850" s="114">
        <v>24</v>
      </c>
      <c r="G850" s="74">
        <f t="shared" si="480"/>
        <v>22.5</v>
      </c>
      <c r="H850" s="74">
        <f t="shared" si="481"/>
        <v>21</v>
      </c>
      <c r="I850" s="74">
        <f t="shared" si="482"/>
        <v>19.5</v>
      </c>
      <c r="J850" s="114">
        <f t="shared" si="483"/>
        <v>18</v>
      </c>
      <c r="K850" s="74">
        <f t="shared" si="490"/>
        <v>16.875</v>
      </c>
      <c r="L850" s="114">
        <f t="shared" si="464"/>
        <v>15.75</v>
      </c>
      <c r="M850" s="115">
        <f t="shared" si="491"/>
        <v>15.9575</v>
      </c>
      <c r="N850" s="115">
        <f t="shared" si="492"/>
        <v>16.166250000000002</v>
      </c>
      <c r="O850" s="74">
        <f t="shared" si="493"/>
        <v>16.375</v>
      </c>
      <c r="P850" s="74">
        <f t="shared" si="494"/>
        <v>16.5825</v>
      </c>
      <c r="Q850" s="74">
        <f t="shared" si="495"/>
        <v>16.79</v>
      </c>
      <c r="R850" s="114">
        <v>17</v>
      </c>
      <c r="S850" s="129"/>
      <c r="T850" s="117">
        <f>SUM((AV20+AW20+BA18+BB18)*-0.132/2,(AX19+AY19+AZ19+BC17+BD17+BE17+BF16+BG16+BH16+BI15+BJ15+BK15+BL14+BM14+BN14+BO13+BP13+BQ13+BR12+BS12+BT12+BU11+BV11+BW11)*-0.132/3,(BX10+BY10)*-0.132/2,(BX9+BX8+BW7+BW6+BV5+BV4)*-0.132,17)</f>
        <v>15.138461538461538</v>
      </c>
      <c r="U850" s="117">
        <f>Lefty!T850</f>
        <v>16.485538461538461</v>
      </c>
    </row>
    <row r="851" spans="2:21">
      <c r="B851" s="114">
        <v>31</v>
      </c>
      <c r="C851" s="74">
        <f t="shared" si="477"/>
        <v>29.25</v>
      </c>
      <c r="D851" s="74">
        <f t="shared" si="478"/>
        <v>27.5</v>
      </c>
      <c r="E851" s="74">
        <f t="shared" si="479"/>
        <v>25.75</v>
      </c>
      <c r="F851" s="114">
        <v>24</v>
      </c>
      <c r="G851" s="74">
        <f t="shared" si="480"/>
        <v>22.25</v>
      </c>
      <c r="H851" s="74">
        <f t="shared" si="481"/>
        <v>20.5</v>
      </c>
      <c r="I851" s="74">
        <f t="shared" si="482"/>
        <v>18.75</v>
      </c>
      <c r="J851" s="114">
        <f t="shared" si="483"/>
        <v>17</v>
      </c>
      <c r="K851" s="74">
        <f t="shared" si="490"/>
        <v>15.6875</v>
      </c>
      <c r="L851" s="114">
        <f t="shared" si="464"/>
        <v>14.375</v>
      </c>
      <c r="M851" s="115">
        <f t="shared" si="491"/>
        <v>14.810750000000001</v>
      </c>
      <c r="N851" s="115">
        <f t="shared" si="492"/>
        <v>15.249124999999999</v>
      </c>
      <c r="O851" s="74">
        <f t="shared" si="493"/>
        <v>15.6875</v>
      </c>
      <c r="P851" s="74">
        <f t="shared" si="494"/>
        <v>16.123249999999999</v>
      </c>
      <c r="Q851" s="74">
        <f t="shared" si="495"/>
        <v>16.559000000000001</v>
      </c>
      <c r="R851" s="114">
        <v>17</v>
      </c>
      <c r="S851" s="129"/>
      <c r="T851" s="117">
        <f>SUM((AT20+AU20+AV20+AW19+AX19+AY19+AZ18+BA18+BB18+BC17+BD17+BE17+BF16+BG16+BH16+BM14+BN14+BO14+BT12+BU12+BV12+BW11+BX11+BY11)*-0.132/3,(BI15+BJ15+BK15+BL15+BP13+BQ13+BR13+BS13)*-0.132/4,(BZ10+CA10)*-0.132/2,(BZ9+BY8+BX7+BW6+BV5+BV4)*-0.132,17)</f>
        <v>15.094461538461537</v>
      </c>
      <c r="U851" s="117">
        <f>Lefty!T851</f>
        <v>16.870538461538462</v>
      </c>
    </row>
    <row r="852" spans="2:21">
      <c r="B852" s="114">
        <v>32</v>
      </c>
      <c r="C852" s="74">
        <f t="shared" si="477"/>
        <v>30</v>
      </c>
      <c r="D852" s="74">
        <f t="shared" si="478"/>
        <v>28</v>
      </c>
      <c r="E852" s="74">
        <f t="shared" si="479"/>
        <v>26</v>
      </c>
      <c r="F852" s="114">
        <v>24</v>
      </c>
      <c r="G852" s="74">
        <f t="shared" si="480"/>
        <v>22</v>
      </c>
      <c r="H852" s="74">
        <f t="shared" si="481"/>
        <v>20</v>
      </c>
      <c r="I852" s="74">
        <f t="shared" si="482"/>
        <v>18</v>
      </c>
      <c r="J852" s="114">
        <f t="shared" si="483"/>
        <v>16</v>
      </c>
      <c r="K852" s="74">
        <f t="shared" si="490"/>
        <v>14.5</v>
      </c>
      <c r="L852" s="114">
        <f t="shared" si="464"/>
        <v>13</v>
      </c>
      <c r="M852" s="115">
        <f t="shared" si="491"/>
        <v>13.664</v>
      </c>
      <c r="N852" s="115">
        <f t="shared" si="492"/>
        <v>14.332000000000001</v>
      </c>
      <c r="O852" s="74">
        <f t="shared" si="493"/>
        <v>15</v>
      </c>
      <c r="P852" s="74">
        <f t="shared" si="494"/>
        <v>15.664</v>
      </c>
      <c r="Q852" s="74">
        <f t="shared" si="495"/>
        <v>16.327999999999999</v>
      </c>
      <c r="R852" s="114">
        <v>17</v>
      </c>
      <c r="S852" s="129"/>
      <c r="T852" s="117">
        <f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15.380461538461539</v>
      </c>
      <c r="U852" s="117">
        <f>Lefty!T852</f>
        <v>16.727538461538462</v>
      </c>
    </row>
    <row r="853" spans="2:21">
      <c r="B853" s="114">
        <v>33</v>
      </c>
      <c r="C853" s="74">
        <f t="shared" si="477"/>
        <v>30.75</v>
      </c>
      <c r="D853" s="74">
        <f t="shared" si="478"/>
        <v>28.5</v>
      </c>
      <c r="E853" s="74">
        <f t="shared" si="479"/>
        <v>26.25</v>
      </c>
      <c r="F853" s="114">
        <v>24</v>
      </c>
      <c r="G853" s="74">
        <f t="shared" si="480"/>
        <v>21.75</v>
      </c>
      <c r="H853" s="74">
        <f t="shared" si="481"/>
        <v>19.5</v>
      </c>
      <c r="I853" s="74">
        <f t="shared" si="482"/>
        <v>17.25</v>
      </c>
      <c r="J853" s="114">
        <f t="shared" si="483"/>
        <v>15</v>
      </c>
      <c r="K853" s="74">
        <f t="shared" si="490"/>
        <v>13.3125</v>
      </c>
      <c r="L853" s="114">
        <f t="shared" si="464"/>
        <v>11.625</v>
      </c>
      <c r="M853" s="115">
        <f t="shared" si="491"/>
        <v>12.517250000000001</v>
      </c>
      <c r="N853" s="115">
        <f t="shared" si="492"/>
        <v>13.414875</v>
      </c>
      <c r="O853" s="74">
        <f t="shared" si="493"/>
        <v>14.3125</v>
      </c>
      <c r="P853" s="74">
        <f t="shared" si="494"/>
        <v>15.204750000000001</v>
      </c>
      <c r="Q853" s="74">
        <f t="shared" si="495"/>
        <v>16.097000000000001</v>
      </c>
      <c r="R853" s="114">
        <v>17</v>
      </c>
      <c r="S853" s="129"/>
      <c r="T853" s="117">
        <f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15.33206153846154</v>
      </c>
      <c r="U853" s="117">
        <f>Lefty!T853</f>
        <v>16.846338461538462</v>
      </c>
    </row>
    <row r="854" spans="2:21">
      <c r="B854" s="114">
        <v>34</v>
      </c>
      <c r="C854" s="74">
        <f t="shared" si="477"/>
        <v>31.5</v>
      </c>
      <c r="D854" s="74">
        <f t="shared" si="478"/>
        <v>29</v>
      </c>
      <c r="E854" s="74">
        <f t="shared" si="479"/>
        <v>26.5</v>
      </c>
      <c r="F854" s="114">
        <v>24</v>
      </c>
      <c r="G854" s="74">
        <f t="shared" si="480"/>
        <v>21.5</v>
      </c>
      <c r="H854" s="74">
        <f t="shared" si="481"/>
        <v>19</v>
      </c>
      <c r="I854" s="74">
        <f t="shared" si="482"/>
        <v>16.5</v>
      </c>
      <c r="J854" s="114">
        <f t="shared" si="483"/>
        <v>14</v>
      </c>
      <c r="K854" s="74">
        <f t="shared" si="490"/>
        <v>12.125</v>
      </c>
      <c r="L854" s="114">
        <f t="shared" si="464"/>
        <v>10.25</v>
      </c>
      <c r="M854" s="115">
        <f t="shared" si="491"/>
        <v>11.3705</v>
      </c>
      <c r="N854" s="115">
        <f t="shared" si="492"/>
        <v>12.49775</v>
      </c>
      <c r="O854" s="74">
        <f t="shared" si="493"/>
        <v>13.625</v>
      </c>
      <c r="P854" s="74">
        <f t="shared" si="494"/>
        <v>14.7455</v>
      </c>
      <c r="Q854" s="74">
        <f t="shared" si="495"/>
        <v>15.866</v>
      </c>
      <c r="R854" s="114">
        <v>17</v>
      </c>
      <c r="S854" s="129"/>
      <c r="T854" s="117">
        <f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15.285861538461539</v>
      </c>
      <c r="U854" s="117">
        <f>Lefty!T854</f>
        <v>16.795738461538463</v>
      </c>
    </row>
    <row r="855" spans="2:21">
      <c r="B855" s="114">
        <v>35</v>
      </c>
      <c r="C855" s="74">
        <f t="shared" si="477"/>
        <v>32.25</v>
      </c>
      <c r="D855" s="74">
        <f t="shared" si="478"/>
        <v>29.5</v>
      </c>
      <c r="E855" s="74">
        <f t="shared" si="479"/>
        <v>26.75</v>
      </c>
      <c r="F855" s="114">
        <v>24</v>
      </c>
      <c r="G855" s="74">
        <f t="shared" si="480"/>
        <v>21.25</v>
      </c>
      <c r="H855" s="74">
        <f t="shared" si="481"/>
        <v>18.5</v>
      </c>
      <c r="I855" s="74">
        <f t="shared" si="482"/>
        <v>15.75</v>
      </c>
      <c r="J855" s="114">
        <f t="shared" si="483"/>
        <v>13</v>
      </c>
      <c r="K855" s="74">
        <f t="shared" si="490"/>
        <v>10.9375</v>
      </c>
      <c r="L855" s="114">
        <f t="shared" ref="L855:L917" si="496">SUM(J855,J855,-H855,0.25*ABS(J855-H855))</f>
        <v>8.875</v>
      </c>
      <c r="M855" s="115">
        <f t="shared" si="491"/>
        <v>10.223750000000001</v>
      </c>
      <c r="N855" s="115">
        <f t="shared" si="492"/>
        <v>11.580625</v>
      </c>
      <c r="O855" s="74">
        <f t="shared" si="493"/>
        <v>12.9375</v>
      </c>
      <c r="P855" s="74">
        <f t="shared" si="494"/>
        <v>14.286249999999999</v>
      </c>
      <c r="Q855" s="74">
        <f t="shared" si="495"/>
        <v>15.635</v>
      </c>
      <c r="R855" s="114">
        <v>17</v>
      </c>
      <c r="S855" s="129"/>
      <c r="T855" s="117">
        <f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15.534461538461539</v>
      </c>
      <c r="U855" s="117">
        <f>Lefty!T855</f>
        <v>16.709938461538464</v>
      </c>
    </row>
    <row r="856" spans="2:21">
      <c r="B856" s="114">
        <v>36</v>
      </c>
      <c r="C856" s="74">
        <f t="shared" si="477"/>
        <v>33</v>
      </c>
      <c r="D856" s="74">
        <f t="shared" si="478"/>
        <v>30</v>
      </c>
      <c r="E856" s="74">
        <f t="shared" si="479"/>
        <v>27</v>
      </c>
      <c r="F856" s="114">
        <v>24</v>
      </c>
      <c r="G856" s="74">
        <f t="shared" si="480"/>
        <v>21</v>
      </c>
      <c r="H856" s="74">
        <f t="shared" si="481"/>
        <v>18</v>
      </c>
      <c r="I856" s="74">
        <f t="shared" si="482"/>
        <v>15</v>
      </c>
      <c r="J856" s="114">
        <f t="shared" si="483"/>
        <v>12</v>
      </c>
      <c r="K856" s="74">
        <f t="shared" si="490"/>
        <v>9.75</v>
      </c>
      <c r="L856" s="114">
        <f t="shared" si="496"/>
        <v>7.5</v>
      </c>
      <c r="M856" s="115">
        <f t="shared" si="491"/>
        <v>9.077</v>
      </c>
      <c r="N856" s="115">
        <f t="shared" si="492"/>
        <v>10.663499999999999</v>
      </c>
      <c r="O856" s="74">
        <f t="shared" si="493"/>
        <v>12.25</v>
      </c>
      <c r="P856" s="74">
        <f t="shared" si="494"/>
        <v>13.827</v>
      </c>
      <c r="Q856" s="74">
        <f t="shared" si="495"/>
        <v>15.404</v>
      </c>
      <c r="R856" s="114">
        <v>17</v>
      </c>
      <c r="S856" s="129"/>
      <c r="T856" s="117">
        <f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15.774261538461539</v>
      </c>
      <c r="U856" s="117">
        <f>Lefty!T856</f>
        <v>16.278738461538463</v>
      </c>
    </row>
    <row r="857" spans="2:21">
      <c r="B857" s="114">
        <v>37</v>
      </c>
      <c r="C857" s="74">
        <f t="shared" si="477"/>
        <v>33.75</v>
      </c>
      <c r="D857" s="74">
        <f t="shared" si="478"/>
        <v>30.5</v>
      </c>
      <c r="E857" s="74">
        <f t="shared" si="479"/>
        <v>27.25</v>
      </c>
      <c r="F857" s="114">
        <v>24</v>
      </c>
      <c r="G857" s="74">
        <f t="shared" si="480"/>
        <v>20.75</v>
      </c>
      <c r="H857" s="74">
        <f t="shared" si="481"/>
        <v>17.5</v>
      </c>
      <c r="I857" s="74">
        <f t="shared" si="482"/>
        <v>14.25</v>
      </c>
      <c r="J857" s="114">
        <f t="shared" si="483"/>
        <v>11</v>
      </c>
      <c r="K857" s="74">
        <f t="shared" si="490"/>
        <v>8.5625</v>
      </c>
      <c r="L857" s="114">
        <f t="shared" si="496"/>
        <v>6.125</v>
      </c>
      <c r="M857" s="115">
        <f t="shared" si="491"/>
        <v>7.93025</v>
      </c>
      <c r="N857" s="115">
        <f t="shared" si="492"/>
        <v>9.7463750000000005</v>
      </c>
      <c r="O857" s="74">
        <f t="shared" si="493"/>
        <v>11.5625</v>
      </c>
      <c r="P857" s="74">
        <f t="shared" si="494"/>
        <v>13.367750000000001</v>
      </c>
      <c r="Q857" s="74">
        <f t="shared" si="495"/>
        <v>15.173</v>
      </c>
      <c r="R857" s="114">
        <v>17</v>
      </c>
      <c r="S857" s="129"/>
      <c r="T857" s="117">
        <f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15.726175824175824</v>
      </c>
      <c r="U857" s="117">
        <f>Lefty!T857</f>
        <v>16.174709890109892</v>
      </c>
    </row>
    <row r="858" spans="2:21">
      <c r="B858" s="114">
        <v>38</v>
      </c>
      <c r="C858" s="74">
        <f t="shared" si="477"/>
        <v>34.5</v>
      </c>
      <c r="D858" s="74">
        <f t="shared" si="478"/>
        <v>31</v>
      </c>
      <c r="E858" s="74">
        <f t="shared" si="479"/>
        <v>27.5</v>
      </c>
      <c r="F858" s="114">
        <v>24</v>
      </c>
      <c r="G858" s="74">
        <f t="shared" si="480"/>
        <v>20.5</v>
      </c>
      <c r="H858" s="74">
        <f t="shared" si="481"/>
        <v>17</v>
      </c>
      <c r="I858" s="74">
        <f t="shared" si="482"/>
        <v>13.5</v>
      </c>
      <c r="J858" s="114">
        <f t="shared" si="483"/>
        <v>10</v>
      </c>
      <c r="K858" s="74">
        <f t="shared" si="490"/>
        <v>7.375</v>
      </c>
      <c r="L858" s="114">
        <f t="shared" si="496"/>
        <v>4.75</v>
      </c>
      <c r="M858" s="115">
        <f t="shared" si="491"/>
        <v>6.7835000000000001</v>
      </c>
      <c r="N858" s="115">
        <f t="shared" si="492"/>
        <v>8.82925</v>
      </c>
      <c r="O858" s="74">
        <f t="shared" si="493"/>
        <v>10.875</v>
      </c>
      <c r="P858" s="74">
        <f t="shared" si="494"/>
        <v>12.9085</v>
      </c>
      <c r="Q858" s="74">
        <f t="shared" si="495"/>
        <v>14.942</v>
      </c>
      <c r="R858" s="114">
        <v>17</v>
      </c>
      <c r="S858" s="129"/>
      <c r="T858" s="117">
        <f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15.639747252747252</v>
      </c>
      <c r="U858" s="117">
        <f>Lefty!T858</f>
        <v>15.894995604395605</v>
      </c>
    </row>
    <row r="859" spans="2:21">
      <c r="B859" s="114">
        <v>39</v>
      </c>
      <c r="C859" s="74">
        <f t="shared" si="477"/>
        <v>35.25</v>
      </c>
      <c r="D859" s="74">
        <f t="shared" si="478"/>
        <v>31.5</v>
      </c>
      <c r="E859" s="74">
        <f t="shared" si="479"/>
        <v>27.75</v>
      </c>
      <c r="F859" s="114">
        <v>24</v>
      </c>
      <c r="G859" s="74">
        <f t="shared" si="480"/>
        <v>20.25</v>
      </c>
      <c r="H859" s="74">
        <f t="shared" si="481"/>
        <v>16.5</v>
      </c>
      <c r="I859" s="74">
        <f t="shared" si="482"/>
        <v>12.75</v>
      </c>
      <c r="J859" s="114">
        <f t="shared" si="483"/>
        <v>9</v>
      </c>
      <c r="K859" s="74">
        <f t="shared" si="490"/>
        <v>6.1875</v>
      </c>
      <c r="L859" s="114">
        <f t="shared" si="496"/>
        <v>3.375</v>
      </c>
      <c r="M859" s="115">
        <f t="shared" si="491"/>
        <v>5.6367500000000001</v>
      </c>
      <c r="N859" s="115">
        <f t="shared" si="492"/>
        <v>7.9121250000000005</v>
      </c>
      <c r="O859" s="74">
        <f t="shared" si="493"/>
        <v>10.1875</v>
      </c>
      <c r="P859" s="74">
        <f t="shared" si="494"/>
        <v>12.449250000000001</v>
      </c>
      <c r="Q859" s="74">
        <f t="shared" si="495"/>
        <v>14.711</v>
      </c>
      <c r="R859" s="114">
        <v>17</v>
      </c>
      <c r="S859" s="129"/>
      <c r="T859" s="117">
        <f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15.715332967032968</v>
      </c>
      <c r="U859" s="117">
        <f>Lefty!T859</f>
        <v>15.866552747252747</v>
      </c>
    </row>
    <row r="860" spans="2:21">
      <c r="B860" s="114"/>
      <c r="C860" s="74"/>
      <c r="D860" s="74"/>
      <c r="E860" s="74"/>
      <c r="F860" s="114"/>
      <c r="G860" s="74"/>
      <c r="H860" s="74"/>
      <c r="I860" s="74"/>
      <c r="J860" s="114"/>
      <c r="K860" s="74"/>
      <c r="L860" s="114"/>
      <c r="M860" s="115"/>
      <c r="N860" s="115"/>
      <c r="O860" s="74"/>
      <c r="P860" s="74"/>
      <c r="Q860" s="74"/>
      <c r="R860" s="114"/>
      <c r="S860" s="129"/>
    </row>
    <row r="861" spans="2:21">
      <c r="B861" s="114">
        <v>28</v>
      </c>
      <c r="C861" s="74">
        <f t="shared" si="477"/>
        <v>27.25</v>
      </c>
      <c r="D861" s="74">
        <f t="shared" si="478"/>
        <v>26.5</v>
      </c>
      <c r="E861" s="74">
        <f t="shared" si="479"/>
        <v>25.75</v>
      </c>
      <c r="F861" s="114">
        <v>25</v>
      </c>
      <c r="G861" s="74">
        <f t="shared" si="480"/>
        <v>24.25</v>
      </c>
      <c r="H861" s="74">
        <f t="shared" si="481"/>
        <v>23.5</v>
      </c>
      <c r="I861" s="74">
        <f t="shared" si="482"/>
        <v>22.75</v>
      </c>
      <c r="J861" s="114">
        <f t="shared" si="483"/>
        <v>22</v>
      </c>
      <c r="K861" s="74">
        <f t="shared" ref="K861:K872" si="497">SUM(0.5*(L861-J861),J861)</f>
        <v>21.4375</v>
      </c>
      <c r="L861" s="114">
        <f t="shared" si="496"/>
        <v>20.875</v>
      </c>
      <c r="M861" s="115">
        <f t="shared" ref="M861:M872" si="498">SUM(0.166*(R861-L861),L861)</f>
        <v>20.231750000000002</v>
      </c>
      <c r="N861" s="115">
        <f t="shared" ref="N861:N872" si="499">SUM(0.333*(R861-L861),L861)</f>
        <v>19.584624999999999</v>
      </c>
      <c r="O861" s="74">
        <f t="shared" ref="O861:O872" si="500">SUM(0.5*(R861-L861),L861)</f>
        <v>18.9375</v>
      </c>
      <c r="P861" s="74">
        <f t="shared" ref="P861:P872" si="501">SUM(0.666*(R861-L861),L861)</f>
        <v>18.294249999999998</v>
      </c>
      <c r="Q861" s="74">
        <f t="shared" ref="Q861:Q872" si="502">SUM(0.832*(R861-L861),L861)</f>
        <v>17.651</v>
      </c>
      <c r="R861" s="114">
        <v>17</v>
      </c>
      <c r="S861" s="129"/>
      <c r="T861" s="117">
        <f>SUM((AZ20+BC18+BF16+BI14+BL12++BO10)*-0.132,(BA19+BB19+BD17+BE17+BG15+BH15+BJ13+BK13+BM11+BN11)*-0.132/2,(BP9+BQ8+BR7+BS6+BT5)*-0.132,(BU4+BV4)*-0.132/2,17)</f>
        <v>14.96246153846154</v>
      </c>
      <c r="U861" s="117">
        <f>Lefty!T861</f>
        <v>16.991538461538461</v>
      </c>
    </row>
    <row r="862" spans="2:21">
      <c r="B862" s="114">
        <v>29</v>
      </c>
      <c r="C862" s="74">
        <f t="shared" si="477"/>
        <v>28</v>
      </c>
      <c r="D862" s="74">
        <f t="shared" si="478"/>
        <v>27</v>
      </c>
      <c r="E862" s="74">
        <f t="shared" si="479"/>
        <v>26</v>
      </c>
      <c r="F862" s="114">
        <v>25</v>
      </c>
      <c r="G862" s="74">
        <f t="shared" si="480"/>
        <v>24</v>
      </c>
      <c r="H862" s="74">
        <f t="shared" si="481"/>
        <v>23</v>
      </c>
      <c r="I862" s="74">
        <f t="shared" si="482"/>
        <v>22</v>
      </c>
      <c r="J862" s="114">
        <f t="shared" si="483"/>
        <v>21</v>
      </c>
      <c r="K862" s="74">
        <f t="shared" si="497"/>
        <v>20.25</v>
      </c>
      <c r="L862" s="114">
        <f t="shared" si="496"/>
        <v>19.5</v>
      </c>
      <c r="M862" s="115">
        <f t="shared" si="498"/>
        <v>19.085000000000001</v>
      </c>
      <c r="N862" s="115">
        <f t="shared" si="499"/>
        <v>18.6675</v>
      </c>
      <c r="O862" s="74">
        <f t="shared" si="500"/>
        <v>18.25</v>
      </c>
      <c r="P862" s="74">
        <f t="shared" si="501"/>
        <v>17.835000000000001</v>
      </c>
      <c r="Q862" s="74">
        <f t="shared" si="502"/>
        <v>17.420000000000002</v>
      </c>
      <c r="R862" s="114">
        <v>17</v>
      </c>
      <c r="S862" s="129"/>
      <c r="T862" s="117">
        <f>SUM((AY19+AZ19+BA18+BB18+BC17+BD17+BE16+BF16+BG15+BH15+BI14+BJ14+BK13+BL13+BM12+BN12+BO11+BP11)*-0.132/2,(AX20+BQ10+BR9+BR8+BS7+BT6+BU5+BV4)*-0.132,17)</f>
        <v>15.160461538461538</v>
      </c>
      <c r="U862" s="117">
        <f>Lefty!T862</f>
        <v>16.727538461538462</v>
      </c>
    </row>
    <row r="863" spans="2:21">
      <c r="B863" s="114">
        <v>30</v>
      </c>
      <c r="C863" s="74">
        <f t="shared" si="477"/>
        <v>28.75</v>
      </c>
      <c r="D863" s="74">
        <f t="shared" si="478"/>
        <v>27.5</v>
      </c>
      <c r="E863" s="74">
        <f t="shared" si="479"/>
        <v>26.25</v>
      </c>
      <c r="F863" s="114">
        <v>25</v>
      </c>
      <c r="G863" s="74">
        <f t="shared" si="480"/>
        <v>23.75</v>
      </c>
      <c r="H863" s="74">
        <f t="shared" si="481"/>
        <v>22.5</v>
      </c>
      <c r="I863" s="74">
        <f t="shared" si="482"/>
        <v>21.25</v>
      </c>
      <c r="J863" s="114">
        <f t="shared" si="483"/>
        <v>20</v>
      </c>
      <c r="K863" s="74">
        <f t="shared" si="497"/>
        <v>19.0625</v>
      </c>
      <c r="L863" s="114">
        <f t="shared" si="496"/>
        <v>18.125</v>
      </c>
      <c r="M863" s="115">
        <f t="shared" si="498"/>
        <v>17.93825</v>
      </c>
      <c r="N863" s="115">
        <f t="shared" si="499"/>
        <v>17.750374999999998</v>
      </c>
      <c r="O863" s="74">
        <f t="shared" si="500"/>
        <v>17.5625</v>
      </c>
      <c r="P863" s="74">
        <f t="shared" si="501"/>
        <v>17.37575</v>
      </c>
      <c r="Q863" s="74">
        <f t="shared" si="502"/>
        <v>17.189</v>
      </c>
      <c r="R863" s="114">
        <v>17</v>
      </c>
      <c r="S863" s="129"/>
      <c r="T863" s="117">
        <f>SUM((AV20+AW20+AX19+AY19+BC17+BD17+BE16+BF16+BJ14+BK14+BO12+BP12+BQ11+BR11+BS10+BT10)*-0.132/2,(AZ18+BA18+BB18+BG15+BH15+BI15+BL13+BM13+BN13)*-0.132/3,(BU9+BU8+BU7+BV6+BV5+BV4)*-0.132,17)</f>
        <v>15.270461538461538</v>
      </c>
      <c r="U863" s="117">
        <f>Lefty!T863</f>
        <v>16.727538461538462</v>
      </c>
    </row>
    <row r="864" spans="2:21">
      <c r="B864" s="114">
        <v>31</v>
      </c>
      <c r="C864" s="74">
        <f t="shared" si="477"/>
        <v>29.5</v>
      </c>
      <c r="D864" s="74">
        <f t="shared" si="478"/>
        <v>28</v>
      </c>
      <c r="E864" s="74">
        <f t="shared" si="479"/>
        <v>26.5</v>
      </c>
      <c r="F864" s="114">
        <v>25</v>
      </c>
      <c r="G864" s="74">
        <f t="shared" si="480"/>
        <v>23.5</v>
      </c>
      <c r="H864" s="74">
        <f t="shared" si="481"/>
        <v>22</v>
      </c>
      <c r="I864" s="74">
        <f t="shared" si="482"/>
        <v>20.5</v>
      </c>
      <c r="J864" s="114">
        <f t="shared" si="483"/>
        <v>19</v>
      </c>
      <c r="K864" s="74">
        <f t="shared" si="497"/>
        <v>17.875</v>
      </c>
      <c r="L864" s="114">
        <f t="shared" si="496"/>
        <v>16.75</v>
      </c>
      <c r="M864" s="115">
        <f t="shared" si="498"/>
        <v>16.791499999999999</v>
      </c>
      <c r="N864" s="115">
        <f t="shared" si="499"/>
        <v>16.83325</v>
      </c>
      <c r="O864" s="74">
        <f t="shared" si="500"/>
        <v>16.875</v>
      </c>
      <c r="P864" s="74">
        <f t="shared" si="501"/>
        <v>16.916499999999999</v>
      </c>
      <c r="Q864" s="74">
        <f t="shared" si="502"/>
        <v>16.957999999999998</v>
      </c>
      <c r="R864" s="114">
        <v>17</v>
      </c>
      <c r="S864" s="129"/>
      <c r="T864" s="117">
        <f>SUM((AT20+AU20+AY18+AZ18)*-0.132/2,(AV19+AW19+AX19+BA17+BB17+BC17+BD16+BE16+BF16+BG15+BH15+BI15+BJ14+BK14+BL14+BM13+BN13+BO13+BP12+BQ12+BR12+BS11+BT11+BU11)*-0.132/3,(BV10+BW10)*-0.132/2,(BW9+BW8+BV7+BV6+BV5+BV4)*-0.132,17)</f>
        <v>15.182461538461538</v>
      </c>
      <c r="U864" s="117">
        <f>Lefty!T864</f>
        <v>16.463538461538462</v>
      </c>
    </row>
    <row r="865" spans="2:21">
      <c r="B865" s="114">
        <v>32</v>
      </c>
      <c r="C865" s="74">
        <f t="shared" si="477"/>
        <v>30.25</v>
      </c>
      <c r="D865" s="74">
        <f t="shared" si="478"/>
        <v>28.5</v>
      </c>
      <c r="E865" s="74">
        <f t="shared" si="479"/>
        <v>26.75</v>
      </c>
      <c r="F865" s="114">
        <v>25</v>
      </c>
      <c r="G865" s="74">
        <f t="shared" si="480"/>
        <v>23.25</v>
      </c>
      <c r="H865" s="74">
        <f t="shared" si="481"/>
        <v>21.5</v>
      </c>
      <c r="I865" s="74">
        <f t="shared" si="482"/>
        <v>19.75</v>
      </c>
      <c r="J865" s="114">
        <f t="shared" si="483"/>
        <v>18</v>
      </c>
      <c r="K865" s="74">
        <f t="shared" si="497"/>
        <v>16.6875</v>
      </c>
      <c r="L865" s="114">
        <f t="shared" si="496"/>
        <v>15.375</v>
      </c>
      <c r="M865" s="115">
        <f t="shared" si="498"/>
        <v>15.64475</v>
      </c>
      <c r="N865" s="115">
        <f t="shared" si="499"/>
        <v>15.916125000000001</v>
      </c>
      <c r="O865" s="74">
        <f t="shared" si="500"/>
        <v>16.1875</v>
      </c>
      <c r="P865" s="74">
        <f t="shared" si="501"/>
        <v>16.457250000000002</v>
      </c>
      <c r="Q865" s="74">
        <f t="shared" si="502"/>
        <v>16.727</v>
      </c>
      <c r="R865" s="114">
        <v>17</v>
      </c>
      <c r="S865" s="129"/>
      <c r="T865" s="117">
        <f>SUM((AR20+AS20+AT20+AU19+AV19+AW19+AX18+AY18+AZ18+BA17+BB17+BC17+BD16+BE16+BF16+BK14+BL14+BM14+BR12+BS12+BT12+BU11+BV11+BW11)*-0.132/3,(BG15+BH15+BI15+BJ15+BN13+BO13+BP13+BQ13)*-0.132/4,(BX10+BY10)*-0.132/2,(BX9+BX8+BW7+BW6+BV5+BV4)*-0.132,17)</f>
        <v>15.215461538461538</v>
      </c>
      <c r="U865" s="117">
        <f>Lefty!T865</f>
        <v>16.265538461538462</v>
      </c>
    </row>
    <row r="866" spans="2:21">
      <c r="B866" s="114">
        <v>33</v>
      </c>
      <c r="C866" s="74">
        <f t="shared" si="477"/>
        <v>31</v>
      </c>
      <c r="D866" s="74">
        <f t="shared" si="478"/>
        <v>29</v>
      </c>
      <c r="E866" s="74">
        <f t="shared" si="479"/>
        <v>27</v>
      </c>
      <c r="F866" s="114">
        <v>25</v>
      </c>
      <c r="G866" s="74">
        <f t="shared" si="480"/>
        <v>23</v>
      </c>
      <c r="H866" s="74">
        <f t="shared" si="481"/>
        <v>21</v>
      </c>
      <c r="I866" s="74">
        <f t="shared" si="482"/>
        <v>19</v>
      </c>
      <c r="J866" s="114">
        <f t="shared" si="483"/>
        <v>17</v>
      </c>
      <c r="K866" s="74">
        <f t="shared" si="497"/>
        <v>15.5</v>
      </c>
      <c r="L866" s="114">
        <f t="shared" si="496"/>
        <v>14</v>
      </c>
      <c r="M866" s="115">
        <f t="shared" si="498"/>
        <v>14.497999999999999</v>
      </c>
      <c r="N866" s="115">
        <f t="shared" si="499"/>
        <v>14.999000000000001</v>
      </c>
      <c r="O866" s="74">
        <f t="shared" si="500"/>
        <v>15.5</v>
      </c>
      <c r="P866" s="74">
        <f t="shared" si="501"/>
        <v>15.998000000000001</v>
      </c>
      <c r="Q866" s="74">
        <f t="shared" si="502"/>
        <v>16.495999999999999</v>
      </c>
      <c r="R866" s="114">
        <v>17</v>
      </c>
      <c r="S866" s="129"/>
      <c r="T866" s="117">
        <f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15.369461538461538</v>
      </c>
      <c r="U866" s="117">
        <f>Lefty!T866</f>
        <v>16.628538461538461</v>
      </c>
    </row>
    <row r="867" spans="2:21">
      <c r="B867" s="114">
        <v>34</v>
      </c>
      <c r="C867" s="74">
        <f t="shared" si="477"/>
        <v>31.75</v>
      </c>
      <c r="D867" s="74">
        <f t="shared" si="478"/>
        <v>29.5</v>
      </c>
      <c r="E867" s="74">
        <f t="shared" si="479"/>
        <v>27.25</v>
      </c>
      <c r="F867" s="114">
        <v>25</v>
      </c>
      <c r="G867" s="74">
        <f t="shared" si="480"/>
        <v>22.75</v>
      </c>
      <c r="H867" s="74">
        <f t="shared" si="481"/>
        <v>20.5</v>
      </c>
      <c r="I867" s="74">
        <f t="shared" si="482"/>
        <v>18.25</v>
      </c>
      <c r="J867" s="114">
        <f t="shared" si="483"/>
        <v>16</v>
      </c>
      <c r="K867" s="74">
        <f t="shared" si="497"/>
        <v>14.3125</v>
      </c>
      <c r="L867" s="114">
        <f t="shared" si="496"/>
        <v>12.625</v>
      </c>
      <c r="M867" s="115">
        <f t="shared" si="498"/>
        <v>13.35125</v>
      </c>
      <c r="N867" s="115">
        <f t="shared" si="499"/>
        <v>14.081875</v>
      </c>
      <c r="O867" s="74">
        <f t="shared" si="500"/>
        <v>14.8125</v>
      </c>
      <c r="P867" s="74">
        <f t="shared" si="501"/>
        <v>15.53875</v>
      </c>
      <c r="Q867" s="74">
        <f t="shared" si="502"/>
        <v>16.265000000000001</v>
      </c>
      <c r="R867" s="114">
        <v>17</v>
      </c>
      <c r="S867" s="129"/>
      <c r="T867" s="117">
        <f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15.536661538461539</v>
      </c>
      <c r="U867" s="117">
        <f>Lefty!T867</f>
        <v>16.461338461538464</v>
      </c>
    </row>
    <row r="868" spans="2:21">
      <c r="B868" s="114">
        <v>35</v>
      </c>
      <c r="C868" s="74">
        <f t="shared" si="477"/>
        <v>32.5</v>
      </c>
      <c r="D868" s="74">
        <f t="shared" si="478"/>
        <v>30</v>
      </c>
      <c r="E868" s="74">
        <f t="shared" si="479"/>
        <v>27.5</v>
      </c>
      <c r="F868" s="114">
        <v>25</v>
      </c>
      <c r="G868" s="74">
        <f t="shared" si="480"/>
        <v>22.5</v>
      </c>
      <c r="H868" s="74">
        <f t="shared" si="481"/>
        <v>20</v>
      </c>
      <c r="I868" s="74">
        <f t="shared" si="482"/>
        <v>17.5</v>
      </c>
      <c r="J868" s="114">
        <f t="shared" si="483"/>
        <v>15</v>
      </c>
      <c r="K868" s="74">
        <f t="shared" si="497"/>
        <v>13.125</v>
      </c>
      <c r="L868" s="114">
        <f t="shared" si="496"/>
        <v>11.25</v>
      </c>
      <c r="M868" s="115">
        <f t="shared" si="498"/>
        <v>12.204499999999999</v>
      </c>
      <c r="N868" s="115">
        <f t="shared" si="499"/>
        <v>13.16475</v>
      </c>
      <c r="O868" s="74">
        <f t="shared" si="500"/>
        <v>14.125</v>
      </c>
      <c r="P868" s="74">
        <f t="shared" si="501"/>
        <v>15.079499999999999</v>
      </c>
      <c r="Q868" s="74">
        <f t="shared" si="502"/>
        <v>16.033999999999999</v>
      </c>
      <c r="R868" s="114">
        <v>17</v>
      </c>
      <c r="S868" s="129"/>
      <c r="T868" s="117">
        <f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15.576261538461539</v>
      </c>
      <c r="U868" s="117">
        <f>Lefty!T868</f>
        <v>16.397538461538463</v>
      </c>
    </row>
    <row r="869" spans="2:21">
      <c r="B869" s="114">
        <v>36</v>
      </c>
      <c r="C869" s="74">
        <f t="shared" si="477"/>
        <v>33.25</v>
      </c>
      <c r="D869" s="74">
        <f t="shared" si="478"/>
        <v>30.5</v>
      </c>
      <c r="E869" s="74">
        <f t="shared" si="479"/>
        <v>27.75</v>
      </c>
      <c r="F869" s="114">
        <v>25</v>
      </c>
      <c r="G869" s="74">
        <f t="shared" si="480"/>
        <v>22.25</v>
      </c>
      <c r="H869" s="74">
        <f t="shared" si="481"/>
        <v>19.5</v>
      </c>
      <c r="I869" s="74">
        <f t="shared" si="482"/>
        <v>16.75</v>
      </c>
      <c r="J869" s="114">
        <f t="shared" si="483"/>
        <v>14</v>
      </c>
      <c r="K869" s="74">
        <f t="shared" si="497"/>
        <v>11.9375</v>
      </c>
      <c r="L869" s="114">
        <f t="shared" si="496"/>
        <v>9.875</v>
      </c>
      <c r="M869" s="115">
        <f t="shared" si="498"/>
        <v>11.05775</v>
      </c>
      <c r="N869" s="115">
        <f t="shared" si="499"/>
        <v>12.247624999999999</v>
      </c>
      <c r="O869" s="74">
        <f t="shared" si="500"/>
        <v>13.4375</v>
      </c>
      <c r="P869" s="74">
        <f t="shared" si="501"/>
        <v>14.62025</v>
      </c>
      <c r="Q869" s="74">
        <f t="shared" si="502"/>
        <v>15.803000000000001</v>
      </c>
      <c r="R869" s="114">
        <v>17</v>
      </c>
      <c r="S869" s="129"/>
      <c r="T869" s="117">
        <f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15.71706153846154</v>
      </c>
      <c r="U869" s="117">
        <f>Lefty!T869</f>
        <v>16.353538461538463</v>
      </c>
    </row>
    <row r="870" spans="2:21">
      <c r="B870" s="114">
        <v>37</v>
      </c>
      <c r="C870" s="74">
        <f t="shared" si="477"/>
        <v>34</v>
      </c>
      <c r="D870" s="74">
        <f t="shared" si="478"/>
        <v>31</v>
      </c>
      <c r="E870" s="74">
        <f t="shared" si="479"/>
        <v>28</v>
      </c>
      <c r="F870" s="114">
        <v>25</v>
      </c>
      <c r="G870" s="74">
        <f t="shared" si="480"/>
        <v>22</v>
      </c>
      <c r="H870" s="74">
        <f t="shared" si="481"/>
        <v>19</v>
      </c>
      <c r="I870" s="74">
        <f t="shared" si="482"/>
        <v>16</v>
      </c>
      <c r="J870" s="114">
        <f t="shared" si="483"/>
        <v>13</v>
      </c>
      <c r="K870" s="74">
        <f t="shared" si="497"/>
        <v>10.75</v>
      </c>
      <c r="L870" s="114">
        <f t="shared" si="496"/>
        <v>8.5</v>
      </c>
      <c r="M870" s="115">
        <f t="shared" si="498"/>
        <v>9.9109999999999996</v>
      </c>
      <c r="N870" s="115">
        <f t="shared" si="499"/>
        <v>11.330500000000001</v>
      </c>
      <c r="O870" s="74">
        <f t="shared" si="500"/>
        <v>12.75</v>
      </c>
      <c r="P870" s="74">
        <f t="shared" si="501"/>
        <v>14.161000000000001</v>
      </c>
      <c r="Q870" s="74">
        <f t="shared" si="502"/>
        <v>15.571999999999999</v>
      </c>
      <c r="R870" s="114">
        <v>17</v>
      </c>
      <c r="S870" s="129"/>
      <c r="T870" s="117">
        <f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15.564246153846154</v>
      </c>
      <c r="U870" s="117">
        <f>Lefty!T870</f>
        <v>16.284153846153846</v>
      </c>
    </row>
    <row r="871" spans="2:21">
      <c r="B871" s="114">
        <v>38</v>
      </c>
      <c r="C871" s="74">
        <f t="shared" si="477"/>
        <v>34.75</v>
      </c>
      <c r="D871" s="74">
        <f t="shared" si="478"/>
        <v>31.5</v>
      </c>
      <c r="E871" s="74">
        <f t="shared" si="479"/>
        <v>28.25</v>
      </c>
      <c r="F871" s="114">
        <v>25</v>
      </c>
      <c r="G871" s="74">
        <f t="shared" si="480"/>
        <v>21.75</v>
      </c>
      <c r="H871" s="74">
        <f t="shared" si="481"/>
        <v>18.5</v>
      </c>
      <c r="I871" s="74">
        <f t="shared" si="482"/>
        <v>15.25</v>
      </c>
      <c r="J871" s="114">
        <f t="shared" si="483"/>
        <v>12</v>
      </c>
      <c r="K871" s="74">
        <f t="shared" si="497"/>
        <v>9.5625</v>
      </c>
      <c r="L871" s="114">
        <f t="shared" si="496"/>
        <v>7.125</v>
      </c>
      <c r="M871" s="115">
        <f t="shared" si="498"/>
        <v>8.7642500000000005</v>
      </c>
      <c r="N871" s="115">
        <f t="shared" si="499"/>
        <v>10.413375</v>
      </c>
      <c r="O871" s="74">
        <f t="shared" si="500"/>
        <v>12.0625</v>
      </c>
      <c r="P871" s="74">
        <f t="shared" si="501"/>
        <v>13.701750000000001</v>
      </c>
      <c r="Q871" s="74">
        <f t="shared" si="502"/>
        <v>15.340999999999999</v>
      </c>
      <c r="R871" s="114">
        <v>17</v>
      </c>
      <c r="S871" s="129"/>
      <c r="T871" s="117">
        <f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16.091690109890109</v>
      </c>
      <c r="U871" s="117">
        <f>Lefty!T871</f>
        <v>15.98330989010989</v>
      </c>
    </row>
    <row r="872" spans="2:21">
      <c r="B872" s="114">
        <v>39</v>
      </c>
      <c r="C872" s="74">
        <f t="shared" si="477"/>
        <v>35.5</v>
      </c>
      <c r="D872" s="74">
        <f t="shared" si="478"/>
        <v>32</v>
      </c>
      <c r="E872" s="74">
        <f t="shared" si="479"/>
        <v>28.5</v>
      </c>
      <c r="F872" s="114">
        <v>25</v>
      </c>
      <c r="G872" s="74">
        <f t="shared" si="480"/>
        <v>21.5</v>
      </c>
      <c r="H872" s="74">
        <f t="shared" si="481"/>
        <v>18</v>
      </c>
      <c r="I872" s="74">
        <f t="shared" si="482"/>
        <v>14.5</v>
      </c>
      <c r="J872" s="114">
        <f t="shared" si="483"/>
        <v>11</v>
      </c>
      <c r="K872" s="74">
        <f t="shared" si="497"/>
        <v>8.375</v>
      </c>
      <c r="L872" s="114">
        <f t="shared" si="496"/>
        <v>5.75</v>
      </c>
      <c r="M872" s="115">
        <f t="shared" si="498"/>
        <v>7.6174999999999997</v>
      </c>
      <c r="N872" s="115">
        <f t="shared" si="499"/>
        <v>9.4962499999999999</v>
      </c>
      <c r="O872" s="74">
        <f t="shared" si="500"/>
        <v>11.375</v>
      </c>
      <c r="P872" s="74">
        <f t="shared" si="501"/>
        <v>13.2425</v>
      </c>
      <c r="Q872" s="74">
        <f t="shared" si="502"/>
        <v>15.11</v>
      </c>
      <c r="R872" s="114">
        <v>17</v>
      </c>
      <c r="S872" s="129"/>
      <c r="T872" s="117">
        <f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16.006518681318681</v>
      </c>
      <c r="U872" s="117">
        <f>Lefty!T872</f>
        <v>15.749481318681319</v>
      </c>
    </row>
    <row r="873" spans="2:21">
      <c r="B873" s="114"/>
      <c r="C873" s="74"/>
      <c r="D873" s="74"/>
      <c r="E873" s="74"/>
      <c r="F873" s="114"/>
      <c r="G873" s="74"/>
      <c r="H873" s="74"/>
      <c r="I873" s="74"/>
      <c r="J873" s="114"/>
      <c r="K873" s="74"/>
      <c r="L873" s="114"/>
      <c r="M873" s="115"/>
      <c r="N873" s="115"/>
      <c r="O873" s="74"/>
      <c r="P873" s="74"/>
      <c r="Q873" s="74"/>
      <c r="R873" s="114"/>
      <c r="S873" s="129"/>
    </row>
    <row r="874" spans="2:21">
      <c r="B874" s="114">
        <v>29</v>
      </c>
      <c r="C874" s="74">
        <f t="shared" si="477"/>
        <v>28.25</v>
      </c>
      <c r="D874" s="74">
        <f t="shared" si="478"/>
        <v>27.5</v>
      </c>
      <c r="E874" s="74">
        <f t="shared" si="479"/>
        <v>26.75</v>
      </c>
      <c r="F874" s="114">
        <v>26</v>
      </c>
      <c r="G874" s="74">
        <f t="shared" si="480"/>
        <v>25.25</v>
      </c>
      <c r="H874" s="74">
        <f t="shared" si="481"/>
        <v>24.5</v>
      </c>
      <c r="I874" s="74">
        <f t="shared" si="482"/>
        <v>23.75</v>
      </c>
      <c r="J874" s="114">
        <f t="shared" si="483"/>
        <v>23</v>
      </c>
      <c r="K874" s="74">
        <f t="shared" ref="K874:K884" si="503">SUM(0.5*(L874-J874),J874)</f>
        <v>22.25</v>
      </c>
      <c r="L874" s="114">
        <f>SUM(J874,J874,-H874)</f>
        <v>21.5</v>
      </c>
      <c r="M874" s="115">
        <f t="shared" ref="M874:M884" si="504">SUM(0.166*(R874-L874),L874)</f>
        <v>20.753</v>
      </c>
      <c r="N874" s="115">
        <f t="shared" ref="N874:N884" si="505">SUM(0.333*(R874-L874),L874)</f>
        <v>20.0015</v>
      </c>
      <c r="O874" s="74">
        <f t="shared" ref="O874:O884" si="506">SUM(0.5*(R874-L874),L874)</f>
        <v>19.25</v>
      </c>
      <c r="P874" s="74">
        <f t="shared" ref="P874:P884" si="507">SUM(0.666*(R874-L874),L874)</f>
        <v>18.503</v>
      </c>
      <c r="Q874" s="74">
        <f t="shared" ref="Q874:Q884" si="508">SUM(0.832*(R874-L874),L874)</f>
        <v>17.756</v>
      </c>
      <c r="R874" s="114">
        <v>17</v>
      </c>
      <c r="S874" s="129"/>
      <c r="T874" s="117">
        <f>SUM((AX20++BA18+BD16+BG14+BJ12+BM10+BP8+BS6+BV4)*-0.132,(AY19+AZ19+BB17+BC17+BE15+BF15+BH13+BI13+BK11+BL11+BN9+BO9+BQ7+BR7+BT5+BU5)*-0.132/2,17)</f>
        <v>15.424461538461539</v>
      </c>
      <c r="U874" s="117">
        <f>Lefty!T874</f>
        <v>16.793538461538464</v>
      </c>
    </row>
    <row r="875" spans="2:21">
      <c r="B875" s="114">
        <v>30</v>
      </c>
      <c r="C875" s="74">
        <f t="shared" si="477"/>
        <v>29</v>
      </c>
      <c r="D875" s="74">
        <f t="shared" si="478"/>
        <v>28</v>
      </c>
      <c r="E875" s="74">
        <f t="shared" si="479"/>
        <v>27</v>
      </c>
      <c r="F875" s="114">
        <v>26</v>
      </c>
      <c r="G875" s="74">
        <f t="shared" si="480"/>
        <v>25</v>
      </c>
      <c r="H875" s="74">
        <f t="shared" si="481"/>
        <v>24</v>
      </c>
      <c r="I875" s="74">
        <f t="shared" si="482"/>
        <v>23</v>
      </c>
      <c r="J875" s="114">
        <f t="shared" si="483"/>
        <v>22</v>
      </c>
      <c r="K875" s="74">
        <f t="shared" si="503"/>
        <v>21.25</v>
      </c>
      <c r="L875" s="114">
        <f t="shared" si="496"/>
        <v>20.5</v>
      </c>
      <c r="M875" s="115">
        <f t="shared" si="504"/>
        <v>19.919</v>
      </c>
      <c r="N875" s="115">
        <f t="shared" si="505"/>
        <v>19.334499999999998</v>
      </c>
      <c r="O875" s="74">
        <f t="shared" si="506"/>
        <v>18.75</v>
      </c>
      <c r="P875" s="74">
        <f t="shared" si="507"/>
        <v>18.169</v>
      </c>
      <c r="Q875" s="74">
        <f t="shared" si="508"/>
        <v>17.588000000000001</v>
      </c>
      <c r="R875" s="114">
        <v>17</v>
      </c>
      <c r="S875" s="129"/>
      <c r="T875" s="117">
        <f>SUM((AW19+AX19+AY18+AZ18+BA17+BB17+BC16+BD16+BE15+BF15+BG14+BH14+BI13+BJ13+BK12+BL12+BM11+BN11+BU4+BV4)*-0.132/2,(AV20+BO10+BP9+BQ8+BR7+BS6+BT5)*-0.132,17)</f>
        <v>15.028461538461539</v>
      </c>
      <c r="U875" s="117">
        <f>Lefty!T875</f>
        <v>16.859538461538463</v>
      </c>
    </row>
    <row r="876" spans="2:21">
      <c r="B876" s="114">
        <v>31</v>
      </c>
      <c r="C876" s="74">
        <f t="shared" si="477"/>
        <v>29.75</v>
      </c>
      <c r="D876" s="74">
        <f t="shared" si="478"/>
        <v>28.5</v>
      </c>
      <c r="E876" s="74">
        <f t="shared" si="479"/>
        <v>27.25</v>
      </c>
      <c r="F876" s="114">
        <v>26</v>
      </c>
      <c r="G876" s="74">
        <f t="shared" si="480"/>
        <v>24.75</v>
      </c>
      <c r="H876" s="74">
        <f t="shared" si="481"/>
        <v>23.5</v>
      </c>
      <c r="I876" s="74">
        <f t="shared" si="482"/>
        <v>22.25</v>
      </c>
      <c r="J876" s="114">
        <f t="shared" si="483"/>
        <v>21</v>
      </c>
      <c r="K876" s="74">
        <f t="shared" si="503"/>
        <v>20.0625</v>
      </c>
      <c r="L876" s="114">
        <f t="shared" si="496"/>
        <v>19.125</v>
      </c>
      <c r="M876" s="115">
        <f t="shared" si="504"/>
        <v>18.77225</v>
      </c>
      <c r="N876" s="115">
        <f t="shared" si="505"/>
        <v>18.417375</v>
      </c>
      <c r="O876" s="74">
        <f t="shared" si="506"/>
        <v>18.0625</v>
      </c>
      <c r="P876" s="74">
        <f t="shared" si="507"/>
        <v>17.70975</v>
      </c>
      <c r="Q876" s="74">
        <f t="shared" si="508"/>
        <v>17.356999999999999</v>
      </c>
      <c r="R876" s="114">
        <v>17</v>
      </c>
      <c r="S876" s="129"/>
      <c r="T876" s="117">
        <f>SUM((AT20+AU20+AV19+AW19+BA17+BB17+BC16+BD16)*-0.132/2,(AX18+AY18+AZ18+BE15+BF15+BG15+BJ13+BK13+BL13)*-0.132/3,(BH14+BI14+BM12+BN12+BO11+BP11+BQ10+BR10)*-0.132/2,(BS9+BS8+BT7+BT6+BU5+BV4)*-0.132,17)</f>
        <v>15.094461538461537</v>
      </c>
      <c r="U876" s="117">
        <f>Lefty!T876</f>
        <v>16.485538461538461</v>
      </c>
    </row>
    <row r="877" spans="2:21">
      <c r="B877" s="114">
        <v>32</v>
      </c>
      <c r="C877" s="74">
        <f t="shared" si="477"/>
        <v>30.5</v>
      </c>
      <c r="D877" s="74">
        <f t="shared" si="478"/>
        <v>29</v>
      </c>
      <c r="E877" s="74">
        <f t="shared" si="479"/>
        <v>27.5</v>
      </c>
      <c r="F877" s="114">
        <v>26</v>
      </c>
      <c r="G877" s="74">
        <f t="shared" si="480"/>
        <v>24.5</v>
      </c>
      <c r="H877" s="74">
        <f t="shared" si="481"/>
        <v>23</v>
      </c>
      <c r="I877" s="74">
        <f t="shared" si="482"/>
        <v>21.5</v>
      </c>
      <c r="J877" s="114">
        <f t="shared" si="483"/>
        <v>20</v>
      </c>
      <c r="K877" s="74">
        <f t="shared" si="503"/>
        <v>18.875</v>
      </c>
      <c r="L877" s="114">
        <f t="shared" si="496"/>
        <v>17.75</v>
      </c>
      <c r="M877" s="115">
        <f t="shared" si="504"/>
        <v>17.625499999999999</v>
      </c>
      <c r="N877" s="115">
        <f t="shared" si="505"/>
        <v>17.500250000000001</v>
      </c>
      <c r="O877" s="74">
        <f t="shared" si="506"/>
        <v>17.375</v>
      </c>
      <c r="P877" s="74">
        <f t="shared" si="507"/>
        <v>17.250499999999999</v>
      </c>
      <c r="Q877" s="74">
        <f t="shared" si="508"/>
        <v>17.126000000000001</v>
      </c>
      <c r="R877" s="114">
        <v>17</v>
      </c>
      <c r="S877" s="129"/>
      <c r="T877" s="117">
        <f>SUM((AR20+AS20+AW18+AX18)*-0.132/2,(AT19+AU19+AV19+AY17+AZ17+BA17+BB16+BC16+BD16+BE15+BF15+BG15+BH14+BI14+BJ14+BK13+BL13+BM13+BN12+BO12+BP12+BQ11+BR11+BS11)*-0.132/3,(BT10+BU10)*-0.132/2,(+BU9+BU8+BU7+BV6+BV5+BV4)*-0.132,17)</f>
        <v>15.314461538461538</v>
      </c>
      <c r="U877" s="117">
        <f>Lefty!T877</f>
        <v>16.639538461538461</v>
      </c>
    </row>
    <row r="878" spans="2:21">
      <c r="B878" s="114">
        <v>33</v>
      </c>
      <c r="C878" s="74">
        <f t="shared" si="477"/>
        <v>31.25</v>
      </c>
      <c r="D878" s="74">
        <f t="shared" si="478"/>
        <v>29.5</v>
      </c>
      <c r="E878" s="74">
        <f t="shared" si="479"/>
        <v>27.75</v>
      </c>
      <c r="F878" s="114">
        <v>26</v>
      </c>
      <c r="G878" s="74">
        <f t="shared" si="480"/>
        <v>24.25</v>
      </c>
      <c r="H878" s="74">
        <f t="shared" si="481"/>
        <v>22.5</v>
      </c>
      <c r="I878" s="74">
        <f t="shared" si="482"/>
        <v>20.75</v>
      </c>
      <c r="J878" s="114">
        <f t="shared" si="483"/>
        <v>19</v>
      </c>
      <c r="K878" s="74">
        <f t="shared" si="503"/>
        <v>17.6875</v>
      </c>
      <c r="L878" s="114">
        <f t="shared" si="496"/>
        <v>16.375</v>
      </c>
      <c r="M878" s="115">
        <f t="shared" si="504"/>
        <v>16.478750000000002</v>
      </c>
      <c r="N878" s="115">
        <f t="shared" si="505"/>
        <v>16.583124999999999</v>
      </c>
      <c r="O878" s="74">
        <f t="shared" si="506"/>
        <v>16.6875</v>
      </c>
      <c r="P878" s="74">
        <f t="shared" si="507"/>
        <v>16.791250000000002</v>
      </c>
      <c r="Q878" s="74">
        <f t="shared" si="508"/>
        <v>16.895</v>
      </c>
      <c r="R878" s="114">
        <v>17</v>
      </c>
      <c r="S878" s="129"/>
      <c r="T878" s="117">
        <f>SUM((AP20+AQ20+AR20+AS19+AT19+AU19+AV18+AW18+AX18+AY17+AZ17+BA17+BB16+BC16+BD16+BI14+BJ14+BK14+BP12+BQ12+BR12+BS11+BT11+BU11)*-0.132/3,(BE15+BF15+BG15+BH15+BL13+BM13+BN13+BO13)*-0.132/4,(BV10+BW10)*-0.132/2,(+BW9+BW8+BW7+BV6+BV5+BV4)*-0.132,17)</f>
        <v>15.270461538461538</v>
      </c>
      <c r="U878" s="117">
        <f>Lefty!T878</f>
        <v>16.243538461538463</v>
      </c>
    </row>
    <row r="879" spans="2:21">
      <c r="B879" s="114">
        <v>34</v>
      </c>
      <c r="C879" s="74">
        <f t="shared" si="477"/>
        <v>32</v>
      </c>
      <c r="D879" s="74">
        <f t="shared" si="478"/>
        <v>30</v>
      </c>
      <c r="E879" s="74">
        <f t="shared" si="479"/>
        <v>28</v>
      </c>
      <c r="F879" s="114">
        <v>26</v>
      </c>
      <c r="G879" s="74">
        <f t="shared" si="480"/>
        <v>24</v>
      </c>
      <c r="H879" s="74">
        <f t="shared" si="481"/>
        <v>22</v>
      </c>
      <c r="I879" s="74">
        <f t="shared" si="482"/>
        <v>20</v>
      </c>
      <c r="J879" s="114">
        <f t="shared" si="483"/>
        <v>18</v>
      </c>
      <c r="K879" s="74">
        <f t="shared" si="503"/>
        <v>16.5</v>
      </c>
      <c r="L879" s="114">
        <f t="shared" si="496"/>
        <v>15</v>
      </c>
      <c r="M879" s="115">
        <f t="shared" si="504"/>
        <v>15.332000000000001</v>
      </c>
      <c r="N879" s="115">
        <f t="shared" si="505"/>
        <v>15.666</v>
      </c>
      <c r="O879" s="74">
        <f t="shared" si="506"/>
        <v>16</v>
      </c>
      <c r="P879" s="74">
        <f t="shared" si="507"/>
        <v>16.332000000000001</v>
      </c>
      <c r="Q879" s="74">
        <f t="shared" si="508"/>
        <v>16.664000000000001</v>
      </c>
      <c r="R879" s="114">
        <v>17</v>
      </c>
      <c r="S879" s="129"/>
      <c r="T879" s="117">
        <f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15.457461538461539</v>
      </c>
      <c r="U879" s="117">
        <f>Lefty!T879</f>
        <v>16.364538461538462</v>
      </c>
    </row>
    <row r="880" spans="2:21">
      <c r="B880" s="114">
        <v>35</v>
      </c>
      <c r="C880" s="74">
        <f t="shared" si="477"/>
        <v>32.75</v>
      </c>
      <c r="D880" s="74">
        <f t="shared" si="478"/>
        <v>30.5</v>
      </c>
      <c r="E880" s="74">
        <f t="shared" si="479"/>
        <v>28.25</v>
      </c>
      <c r="F880" s="114">
        <v>26</v>
      </c>
      <c r="G880" s="74">
        <f t="shared" si="480"/>
        <v>23.75</v>
      </c>
      <c r="H880" s="74">
        <f t="shared" si="481"/>
        <v>21.5</v>
      </c>
      <c r="I880" s="74">
        <f t="shared" si="482"/>
        <v>19.25</v>
      </c>
      <c r="J880" s="114">
        <f t="shared" si="483"/>
        <v>17</v>
      </c>
      <c r="K880" s="74">
        <f t="shared" si="503"/>
        <v>15.3125</v>
      </c>
      <c r="L880" s="114">
        <f t="shared" si="496"/>
        <v>13.625</v>
      </c>
      <c r="M880" s="115">
        <f t="shared" si="504"/>
        <v>14.18525</v>
      </c>
      <c r="N880" s="115">
        <f t="shared" si="505"/>
        <v>14.748875</v>
      </c>
      <c r="O880" s="74">
        <f t="shared" si="506"/>
        <v>15.3125</v>
      </c>
      <c r="P880" s="74">
        <f t="shared" si="507"/>
        <v>15.87275</v>
      </c>
      <c r="Q880" s="74">
        <f t="shared" si="508"/>
        <v>16.433</v>
      </c>
      <c r="R880" s="114">
        <v>17</v>
      </c>
      <c r="S880" s="129"/>
      <c r="T880" s="117">
        <f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15.860061538461538</v>
      </c>
      <c r="U880" s="117">
        <f>Lefty!T880</f>
        <v>16.096138461538462</v>
      </c>
    </row>
    <row r="881" spans="2:21">
      <c r="B881" s="114">
        <v>36</v>
      </c>
      <c r="C881" s="74">
        <f t="shared" si="477"/>
        <v>33.5</v>
      </c>
      <c r="D881" s="74">
        <f t="shared" si="478"/>
        <v>31</v>
      </c>
      <c r="E881" s="74">
        <f t="shared" si="479"/>
        <v>28.5</v>
      </c>
      <c r="F881" s="114">
        <v>26</v>
      </c>
      <c r="G881" s="74">
        <f t="shared" si="480"/>
        <v>23.5</v>
      </c>
      <c r="H881" s="74">
        <f t="shared" si="481"/>
        <v>21</v>
      </c>
      <c r="I881" s="74">
        <f t="shared" si="482"/>
        <v>18.5</v>
      </c>
      <c r="J881" s="114">
        <f t="shared" si="483"/>
        <v>16</v>
      </c>
      <c r="K881" s="74">
        <f t="shared" si="503"/>
        <v>14.125</v>
      </c>
      <c r="L881" s="114">
        <f t="shared" si="496"/>
        <v>12.25</v>
      </c>
      <c r="M881" s="115">
        <f t="shared" si="504"/>
        <v>13.038500000000001</v>
      </c>
      <c r="N881" s="115">
        <f t="shared" si="505"/>
        <v>13.83175</v>
      </c>
      <c r="O881" s="74">
        <f t="shared" si="506"/>
        <v>14.625</v>
      </c>
      <c r="P881" s="74">
        <f t="shared" si="507"/>
        <v>15.413499999999999</v>
      </c>
      <c r="Q881" s="74">
        <f t="shared" si="508"/>
        <v>16.201999999999998</v>
      </c>
      <c r="R881" s="114">
        <v>17</v>
      </c>
      <c r="S881" s="129"/>
      <c r="T881" s="117">
        <f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15.939261538461539</v>
      </c>
      <c r="U881" s="117">
        <f>Lefty!T881</f>
        <v>16.03453846153846</v>
      </c>
    </row>
    <row r="882" spans="2:21">
      <c r="B882" s="114">
        <v>37</v>
      </c>
      <c r="C882" s="74">
        <f t="shared" si="477"/>
        <v>34.25</v>
      </c>
      <c r="D882" s="74">
        <f t="shared" si="478"/>
        <v>31.5</v>
      </c>
      <c r="E882" s="74">
        <f t="shared" si="479"/>
        <v>28.75</v>
      </c>
      <c r="F882" s="114">
        <v>26</v>
      </c>
      <c r="G882" s="74">
        <f t="shared" si="480"/>
        <v>23.25</v>
      </c>
      <c r="H882" s="74">
        <f t="shared" si="481"/>
        <v>20.5</v>
      </c>
      <c r="I882" s="74">
        <f t="shared" si="482"/>
        <v>17.75</v>
      </c>
      <c r="J882" s="114">
        <f t="shared" si="483"/>
        <v>15</v>
      </c>
      <c r="K882" s="74">
        <f t="shared" si="503"/>
        <v>12.9375</v>
      </c>
      <c r="L882" s="114">
        <f t="shared" si="496"/>
        <v>10.875</v>
      </c>
      <c r="M882" s="115">
        <f t="shared" si="504"/>
        <v>11.89175</v>
      </c>
      <c r="N882" s="115">
        <f t="shared" si="505"/>
        <v>12.914625000000001</v>
      </c>
      <c r="O882" s="74">
        <f t="shared" si="506"/>
        <v>13.9375</v>
      </c>
      <c r="P882" s="74">
        <f t="shared" si="507"/>
        <v>14.95425</v>
      </c>
      <c r="Q882" s="74">
        <f t="shared" si="508"/>
        <v>15.971</v>
      </c>
      <c r="R882" s="114">
        <v>17</v>
      </c>
      <c r="S882" s="129"/>
      <c r="T882" s="117">
        <f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15.956861538461538</v>
      </c>
      <c r="U882" s="117">
        <f>Lefty!T882</f>
        <v>15.933338461538462</v>
      </c>
    </row>
    <row r="883" spans="2:21">
      <c r="B883" s="114">
        <v>38</v>
      </c>
      <c r="C883" s="74">
        <f t="shared" si="477"/>
        <v>35</v>
      </c>
      <c r="D883" s="74">
        <f t="shared" si="478"/>
        <v>32</v>
      </c>
      <c r="E883" s="74">
        <f t="shared" si="479"/>
        <v>29</v>
      </c>
      <c r="F883" s="114">
        <v>26</v>
      </c>
      <c r="G883" s="74">
        <f t="shared" si="480"/>
        <v>23</v>
      </c>
      <c r="H883" s="74">
        <f t="shared" si="481"/>
        <v>20</v>
      </c>
      <c r="I883" s="74">
        <f t="shared" si="482"/>
        <v>17</v>
      </c>
      <c r="J883" s="114">
        <f t="shared" si="483"/>
        <v>14</v>
      </c>
      <c r="K883" s="74">
        <f t="shared" si="503"/>
        <v>11.75</v>
      </c>
      <c r="L883" s="114">
        <f t="shared" si="496"/>
        <v>9.5</v>
      </c>
      <c r="M883" s="115">
        <f t="shared" si="504"/>
        <v>10.745000000000001</v>
      </c>
      <c r="N883" s="115">
        <f t="shared" si="505"/>
        <v>11.9975</v>
      </c>
      <c r="O883" s="74">
        <f t="shared" si="506"/>
        <v>13.25</v>
      </c>
      <c r="P883" s="74">
        <f t="shared" si="507"/>
        <v>14.495000000000001</v>
      </c>
      <c r="Q883" s="74">
        <f t="shared" si="508"/>
        <v>15.739999999999998</v>
      </c>
      <c r="R883" s="114">
        <v>17</v>
      </c>
      <c r="S883" s="129"/>
      <c r="T883" s="117">
        <f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15.926061538461539</v>
      </c>
      <c r="U883" s="117">
        <f>Lefty!T883</f>
        <v>16.100538461538463</v>
      </c>
    </row>
    <row r="884" spans="2:21">
      <c r="B884" s="114">
        <v>39</v>
      </c>
      <c r="C884" s="74">
        <f t="shared" si="477"/>
        <v>35.75</v>
      </c>
      <c r="D884" s="74">
        <f t="shared" si="478"/>
        <v>32.5</v>
      </c>
      <c r="E884" s="74">
        <f t="shared" si="479"/>
        <v>29.25</v>
      </c>
      <c r="F884" s="114">
        <v>26</v>
      </c>
      <c r="G884" s="74">
        <f t="shared" si="480"/>
        <v>22.75</v>
      </c>
      <c r="H884" s="74">
        <f t="shared" si="481"/>
        <v>19.5</v>
      </c>
      <c r="I884" s="74">
        <f t="shared" si="482"/>
        <v>16.25</v>
      </c>
      <c r="J884" s="114">
        <f t="shared" si="483"/>
        <v>13</v>
      </c>
      <c r="K884" s="74">
        <f t="shared" si="503"/>
        <v>10.5625</v>
      </c>
      <c r="L884" s="114">
        <f t="shared" si="496"/>
        <v>8.125</v>
      </c>
      <c r="M884" s="115">
        <f t="shared" si="504"/>
        <v>9.5982500000000002</v>
      </c>
      <c r="N884" s="115">
        <f t="shared" si="505"/>
        <v>11.080375</v>
      </c>
      <c r="O884" s="74">
        <f t="shared" si="506"/>
        <v>12.5625</v>
      </c>
      <c r="P884" s="74">
        <f t="shared" si="507"/>
        <v>14.03575</v>
      </c>
      <c r="Q884" s="74">
        <f t="shared" si="508"/>
        <v>15.509</v>
      </c>
      <c r="R884" s="114">
        <v>17</v>
      </c>
      <c r="S884" s="129"/>
      <c r="T884" s="117">
        <f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16.288747252747253</v>
      </c>
      <c r="U884" s="117">
        <f>Lefty!T884</f>
        <v>15.963824175824177</v>
      </c>
    </row>
    <row r="885" spans="2:21">
      <c r="B885" s="114"/>
      <c r="C885" s="74"/>
      <c r="D885" s="74"/>
      <c r="E885" s="74"/>
      <c r="F885" s="114"/>
      <c r="G885" s="74"/>
      <c r="H885" s="74"/>
      <c r="I885" s="74"/>
      <c r="J885" s="114"/>
      <c r="K885" s="74"/>
      <c r="L885" s="114"/>
      <c r="M885" s="115"/>
      <c r="N885" s="115"/>
      <c r="O885" s="74"/>
      <c r="P885" s="74"/>
      <c r="Q885" s="74"/>
      <c r="R885" s="114"/>
      <c r="S885" s="129"/>
    </row>
    <row r="886" spans="2:21">
      <c r="B886" s="114">
        <v>31</v>
      </c>
      <c r="C886" s="74">
        <f t="shared" si="477"/>
        <v>30</v>
      </c>
      <c r="D886" s="74">
        <f t="shared" si="478"/>
        <v>29</v>
      </c>
      <c r="E886" s="74">
        <f t="shared" si="479"/>
        <v>28</v>
      </c>
      <c r="F886" s="114">
        <v>27</v>
      </c>
      <c r="G886" s="74">
        <f t="shared" si="480"/>
        <v>26</v>
      </c>
      <c r="H886" s="74">
        <f t="shared" si="481"/>
        <v>25</v>
      </c>
      <c r="I886" s="74">
        <f t="shared" si="482"/>
        <v>24</v>
      </c>
      <c r="J886" s="114">
        <f t="shared" si="483"/>
        <v>23</v>
      </c>
      <c r="K886" s="74">
        <f t="shared" ref="K886:K894" si="509">SUM(0.5*(L886-J886),J886)</f>
        <v>22.25</v>
      </c>
      <c r="L886" s="114">
        <f t="shared" si="496"/>
        <v>21.5</v>
      </c>
      <c r="M886" s="115">
        <f t="shared" ref="M886:M894" si="510">SUM(0.166*(R886-L886),L886)</f>
        <v>20.753</v>
      </c>
      <c r="N886" s="115">
        <f t="shared" ref="N886:N894" si="511">SUM(0.333*(R886-L886),L886)</f>
        <v>20.0015</v>
      </c>
      <c r="O886" s="74">
        <f t="shared" ref="O886:O894" si="512">SUM(0.5*(R886-L886),L886)</f>
        <v>19.25</v>
      </c>
      <c r="P886" s="74">
        <f t="shared" ref="P886:P894" si="513">SUM(0.666*(R886-L886),L886)</f>
        <v>18.503</v>
      </c>
      <c r="Q886" s="74">
        <f t="shared" ref="Q886:Q894" si="514">SUM(0.832*(R886-L886),L886)</f>
        <v>17.756</v>
      </c>
      <c r="R886" s="114">
        <v>17</v>
      </c>
      <c r="S886" s="129"/>
      <c r="T886" s="117">
        <f>SUM((AU19+AV19+AW18+AX18+AY17+AZ17+BA16+BB16+BC15+BD15+BE14+BF14+BG13+BH13+BI12+BJ12+BK11+BL11+BN9+BO9+BQ7+BR7+BT5+BU5)*-0.132/2,(AT20+BM10+BP8+BS6+BV4)*-0.132,17)</f>
        <v>15.226461538461539</v>
      </c>
      <c r="U886" s="117">
        <f>Lefty!T886</f>
        <v>16.661538461538463</v>
      </c>
    </row>
    <row r="887" spans="2:21">
      <c r="B887" s="114">
        <v>32</v>
      </c>
      <c r="C887" s="74">
        <f t="shared" si="477"/>
        <v>30.75</v>
      </c>
      <c r="D887" s="74">
        <f t="shared" si="478"/>
        <v>29.5</v>
      </c>
      <c r="E887" s="74">
        <f t="shared" si="479"/>
        <v>28.25</v>
      </c>
      <c r="F887" s="114">
        <v>27</v>
      </c>
      <c r="G887" s="74">
        <f t="shared" si="480"/>
        <v>25.75</v>
      </c>
      <c r="H887" s="74">
        <f t="shared" si="481"/>
        <v>24.5</v>
      </c>
      <c r="I887" s="74">
        <f t="shared" si="482"/>
        <v>23.25</v>
      </c>
      <c r="J887" s="114">
        <f t="shared" si="483"/>
        <v>22</v>
      </c>
      <c r="K887" s="74">
        <f t="shared" si="509"/>
        <v>21.0625</v>
      </c>
      <c r="L887" s="114">
        <f t="shared" si="496"/>
        <v>20.125</v>
      </c>
      <c r="M887" s="115">
        <f t="shared" si="510"/>
        <v>19.606249999999999</v>
      </c>
      <c r="N887" s="115">
        <f t="shared" si="511"/>
        <v>19.084375000000001</v>
      </c>
      <c r="O887" s="74">
        <f t="shared" si="512"/>
        <v>18.5625</v>
      </c>
      <c r="P887" s="74">
        <f t="shared" si="513"/>
        <v>18.043749999999999</v>
      </c>
      <c r="Q887" s="74">
        <f t="shared" si="514"/>
        <v>17.524999999999999</v>
      </c>
      <c r="R887" s="114">
        <v>17</v>
      </c>
      <c r="S887" s="129"/>
      <c r="T887" s="117">
        <f>SUM((AR20+AS20+AT19+AU19+AY17+AZ17+BA16+BB16)*-0.132/2,(AV18+AW18+AX18+BC15+BD15+BE15+BH13+BI13+BJ13)*-0.132/3,(BF14+BG14+BK12+BL12+BM11+BN11+BO10+BP10)*-0.132/2,(BQ9+BR8+BS7+BT6+BU5+BV4)*-0.132,17)</f>
        <v>15.468461538461538</v>
      </c>
      <c r="U887" s="117">
        <f>Lefty!T887</f>
        <v>16.551538461538463</v>
      </c>
    </row>
    <row r="888" spans="2:21">
      <c r="B888" s="114">
        <v>33</v>
      </c>
      <c r="C888" s="74">
        <f t="shared" si="477"/>
        <v>31.5</v>
      </c>
      <c r="D888" s="74">
        <f t="shared" si="478"/>
        <v>30</v>
      </c>
      <c r="E888" s="74">
        <f t="shared" si="479"/>
        <v>28.5</v>
      </c>
      <c r="F888" s="114">
        <v>27</v>
      </c>
      <c r="G888" s="74">
        <f t="shared" si="480"/>
        <v>25.5</v>
      </c>
      <c r="H888" s="74">
        <f t="shared" si="481"/>
        <v>24</v>
      </c>
      <c r="I888" s="74">
        <f t="shared" si="482"/>
        <v>22.5</v>
      </c>
      <c r="J888" s="114">
        <f t="shared" si="483"/>
        <v>21</v>
      </c>
      <c r="K888" s="74">
        <f t="shared" si="509"/>
        <v>19.875</v>
      </c>
      <c r="L888" s="114">
        <f t="shared" si="496"/>
        <v>18.75</v>
      </c>
      <c r="M888" s="115">
        <f t="shared" si="510"/>
        <v>18.459499999999998</v>
      </c>
      <c r="N888" s="115">
        <f t="shared" si="511"/>
        <v>18.167249999999999</v>
      </c>
      <c r="O888" s="74">
        <f t="shared" si="512"/>
        <v>17.875</v>
      </c>
      <c r="P888" s="74">
        <f t="shared" si="513"/>
        <v>17.584499999999998</v>
      </c>
      <c r="Q888" s="74">
        <f t="shared" si="514"/>
        <v>17.294</v>
      </c>
      <c r="R888" s="114">
        <v>17</v>
      </c>
      <c r="S888" s="129"/>
      <c r="T888" s="117">
        <f>SUM((AP20+AQ20+AU18+AV18)*-0.132/2,(AR19+AS19+AT19+AW17+AX17+AY17+AZ16+BA16+BB16+BC15+BD15+BE15+BF14+BG14+BH14+BI13+BJ13+BK13+BL12+BM12+BN12+BO11+BP11+BQ11)*-0.132/3,(BR10+BS10)*-0.132/2,(BT9+BT8+BU7+BU6+BV5+BV4)*-0.132,17)</f>
        <v>15.270461538461538</v>
      </c>
      <c r="U888" s="117">
        <f>Lefty!T888</f>
        <v>16.353538461538463</v>
      </c>
    </row>
    <row r="889" spans="2:21">
      <c r="B889" s="114">
        <v>34</v>
      </c>
      <c r="C889" s="74">
        <f t="shared" si="477"/>
        <v>32.25</v>
      </c>
      <c r="D889" s="74">
        <f t="shared" si="478"/>
        <v>30.5</v>
      </c>
      <c r="E889" s="74">
        <f t="shared" si="479"/>
        <v>28.75</v>
      </c>
      <c r="F889" s="114">
        <v>27</v>
      </c>
      <c r="G889" s="74">
        <f t="shared" si="480"/>
        <v>25.25</v>
      </c>
      <c r="H889" s="74">
        <f t="shared" si="481"/>
        <v>23.5</v>
      </c>
      <c r="I889" s="74">
        <f t="shared" si="482"/>
        <v>21.75</v>
      </c>
      <c r="J889" s="114">
        <f t="shared" si="483"/>
        <v>20</v>
      </c>
      <c r="K889" s="74">
        <f t="shared" si="509"/>
        <v>18.6875</v>
      </c>
      <c r="L889" s="114">
        <f t="shared" si="496"/>
        <v>17.375</v>
      </c>
      <c r="M889" s="115">
        <f t="shared" si="510"/>
        <v>17.312750000000001</v>
      </c>
      <c r="N889" s="115">
        <f t="shared" si="511"/>
        <v>17.250125000000001</v>
      </c>
      <c r="O889" s="74">
        <f t="shared" si="512"/>
        <v>17.1875</v>
      </c>
      <c r="P889" s="74">
        <f t="shared" si="513"/>
        <v>17.125250000000001</v>
      </c>
      <c r="Q889" s="74">
        <f t="shared" si="514"/>
        <v>17.062999999999999</v>
      </c>
      <c r="R889" s="114">
        <v>17</v>
      </c>
      <c r="S889" s="129"/>
      <c r="T889" s="117">
        <f>SUM((AN20+AO20+AP20+AQ19+AR19+AS19+AT18+AU18+AV18+AW17+AX17+AY17+AZ16+BA16+BB16+BG14+BH14+BI14+BN12+BO12+BP12+BQ11+BR11+BS11)*-0.132/3,(BC15+BD15+BE15+BF15+BJ13+BK13+BL13+BM13)*-0.132/4,(BT10+BU10)*-0.132/2,(BU9+BU8+BU7+BV6+BV5+BV4)*-0.132,17)</f>
        <v>15.479461538461539</v>
      </c>
      <c r="U889" s="117">
        <f>Lefty!T889</f>
        <v>16.122538461538461</v>
      </c>
    </row>
    <row r="890" spans="2:21">
      <c r="B890" s="114">
        <v>35</v>
      </c>
      <c r="C890" s="74">
        <f t="shared" si="477"/>
        <v>33</v>
      </c>
      <c r="D890" s="74">
        <f t="shared" si="478"/>
        <v>31</v>
      </c>
      <c r="E890" s="74">
        <f t="shared" si="479"/>
        <v>29</v>
      </c>
      <c r="F890" s="114">
        <v>27</v>
      </c>
      <c r="G890" s="74">
        <f t="shared" si="480"/>
        <v>25</v>
      </c>
      <c r="H890" s="74">
        <f t="shared" si="481"/>
        <v>23</v>
      </c>
      <c r="I890" s="74">
        <f t="shared" si="482"/>
        <v>21</v>
      </c>
      <c r="J890" s="114">
        <f t="shared" si="483"/>
        <v>19</v>
      </c>
      <c r="K890" s="74">
        <f t="shared" si="509"/>
        <v>17.5</v>
      </c>
      <c r="L890" s="114">
        <f t="shared" si="496"/>
        <v>16</v>
      </c>
      <c r="M890" s="115">
        <f t="shared" si="510"/>
        <v>16.166</v>
      </c>
      <c r="N890" s="115">
        <f t="shared" si="511"/>
        <v>16.332999999999998</v>
      </c>
      <c r="O890" s="74">
        <f t="shared" si="512"/>
        <v>16.5</v>
      </c>
      <c r="P890" s="74">
        <f t="shared" si="513"/>
        <v>16.666</v>
      </c>
      <c r="Q890" s="74">
        <f t="shared" si="514"/>
        <v>16.832000000000001</v>
      </c>
      <c r="R890" s="114">
        <v>17</v>
      </c>
      <c r="S890" s="129"/>
      <c r="T890" s="117">
        <f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15.622461538461538</v>
      </c>
      <c r="U890" s="117">
        <f>Lefty!T890</f>
        <v>15.715538461538461</v>
      </c>
    </row>
    <row r="891" spans="2:21">
      <c r="B891" s="114">
        <v>36</v>
      </c>
      <c r="C891" s="74">
        <f t="shared" si="477"/>
        <v>33.75</v>
      </c>
      <c r="D891" s="74">
        <f t="shared" si="478"/>
        <v>31.5</v>
      </c>
      <c r="E891" s="74">
        <f t="shared" si="479"/>
        <v>29.25</v>
      </c>
      <c r="F891" s="114">
        <v>27</v>
      </c>
      <c r="G891" s="74">
        <f t="shared" si="480"/>
        <v>24.75</v>
      </c>
      <c r="H891" s="74">
        <f t="shared" si="481"/>
        <v>22.5</v>
      </c>
      <c r="I891" s="74">
        <f t="shared" si="482"/>
        <v>20.25</v>
      </c>
      <c r="J891" s="114">
        <f t="shared" si="483"/>
        <v>18</v>
      </c>
      <c r="K891" s="74">
        <f t="shared" si="509"/>
        <v>16.3125</v>
      </c>
      <c r="L891" s="114">
        <f t="shared" si="496"/>
        <v>14.625</v>
      </c>
      <c r="M891" s="115">
        <f t="shared" si="510"/>
        <v>15.01925</v>
      </c>
      <c r="N891" s="115">
        <f t="shared" si="511"/>
        <v>15.415875</v>
      </c>
      <c r="O891" s="74">
        <f t="shared" si="512"/>
        <v>15.8125</v>
      </c>
      <c r="P891" s="74">
        <f t="shared" si="513"/>
        <v>16.20675</v>
      </c>
      <c r="Q891" s="74">
        <f t="shared" si="514"/>
        <v>16.600999999999999</v>
      </c>
      <c r="R891" s="114">
        <v>17</v>
      </c>
      <c r="S891" s="129"/>
      <c r="T891" s="117">
        <f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15.686261538461538</v>
      </c>
      <c r="U891" s="117">
        <f>Lefty!T891</f>
        <v>15.906938461538461</v>
      </c>
    </row>
    <row r="892" spans="2:21">
      <c r="B892" s="114">
        <v>37</v>
      </c>
      <c r="C892" s="74">
        <f t="shared" ref="C892:C928" si="515">SUM(0.25*(F892-B892),B892)</f>
        <v>34.5</v>
      </c>
      <c r="D892" s="74">
        <f t="shared" ref="D892:D928" si="516">SUM(0.5*(F892-B892)+B892)</f>
        <v>32</v>
      </c>
      <c r="E892" s="74">
        <f t="shared" ref="E892:E928" si="517">SUM(0.75*(F892-B892),B892)</f>
        <v>29.5</v>
      </c>
      <c r="F892" s="114">
        <v>27</v>
      </c>
      <c r="G892" s="74">
        <f t="shared" ref="G892:G928" si="518">SUM(0.25*(J892-F892),F892)</f>
        <v>24.5</v>
      </c>
      <c r="H892" s="74">
        <f t="shared" ref="H892:H928" si="519">SUM(0.5*(J892-F892),F892)</f>
        <v>22</v>
      </c>
      <c r="I892" s="74">
        <f t="shared" ref="I892:I928" si="520">SUM(0.75*(J892-F892),F892)</f>
        <v>19.5</v>
      </c>
      <c r="J892" s="114">
        <f t="shared" ref="J892:J928" si="521">SUM(F892,-B892,F892)</f>
        <v>17</v>
      </c>
      <c r="K892" s="74">
        <f t="shared" si="509"/>
        <v>15.125</v>
      </c>
      <c r="L892" s="114">
        <f t="shared" si="496"/>
        <v>13.25</v>
      </c>
      <c r="M892" s="115">
        <f t="shared" si="510"/>
        <v>13.8725</v>
      </c>
      <c r="N892" s="115">
        <f t="shared" si="511"/>
        <v>14.498749999999999</v>
      </c>
      <c r="O892" s="74">
        <f t="shared" si="512"/>
        <v>15.125</v>
      </c>
      <c r="P892" s="74">
        <f t="shared" si="513"/>
        <v>15.7475</v>
      </c>
      <c r="Q892" s="74">
        <f t="shared" si="514"/>
        <v>16.37</v>
      </c>
      <c r="R892" s="114">
        <v>17</v>
      </c>
      <c r="S892" s="129"/>
      <c r="T892" s="117">
        <f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15.873261538461538</v>
      </c>
      <c r="U892" s="117">
        <f>Lefty!T892</f>
        <v>15.730938461538463</v>
      </c>
    </row>
    <row r="893" spans="2:21">
      <c r="B893" s="114">
        <v>38</v>
      </c>
      <c r="C893" s="74">
        <f t="shared" si="515"/>
        <v>35.25</v>
      </c>
      <c r="D893" s="74">
        <f t="shared" si="516"/>
        <v>32.5</v>
      </c>
      <c r="E893" s="74">
        <f t="shared" si="517"/>
        <v>29.75</v>
      </c>
      <c r="F893" s="114">
        <v>27</v>
      </c>
      <c r="G893" s="74">
        <f t="shared" si="518"/>
        <v>24.25</v>
      </c>
      <c r="H893" s="74">
        <f t="shared" si="519"/>
        <v>21.5</v>
      </c>
      <c r="I893" s="74">
        <f t="shared" si="520"/>
        <v>18.75</v>
      </c>
      <c r="J893" s="114">
        <f t="shared" si="521"/>
        <v>16</v>
      </c>
      <c r="K893" s="74">
        <f t="shared" si="509"/>
        <v>13.9375</v>
      </c>
      <c r="L893" s="114">
        <f t="shared" si="496"/>
        <v>11.875</v>
      </c>
      <c r="M893" s="115">
        <f t="shared" si="510"/>
        <v>12.72575</v>
      </c>
      <c r="N893" s="115">
        <f t="shared" si="511"/>
        <v>13.581625000000001</v>
      </c>
      <c r="O893" s="74">
        <f t="shared" si="512"/>
        <v>14.4375</v>
      </c>
      <c r="P893" s="74">
        <f t="shared" si="513"/>
        <v>15.28825</v>
      </c>
      <c r="Q893" s="74">
        <f t="shared" si="514"/>
        <v>16.138999999999999</v>
      </c>
      <c r="R893" s="114">
        <v>17</v>
      </c>
      <c r="S893" s="129"/>
      <c r="T893" s="117">
        <f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16.234061538461539</v>
      </c>
      <c r="U893" s="117">
        <f>Lefty!T893</f>
        <v>15.873938461538462</v>
      </c>
    </row>
    <row r="894" spans="2:21">
      <c r="B894" s="114">
        <v>39</v>
      </c>
      <c r="C894" s="74">
        <f t="shared" si="515"/>
        <v>36</v>
      </c>
      <c r="D894" s="74">
        <f t="shared" si="516"/>
        <v>33</v>
      </c>
      <c r="E894" s="74">
        <f t="shared" si="517"/>
        <v>30</v>
      </c>
      <c r="F894" s="114">
        <v>27</v>
      </c>
      <c r="G894" s="74">
        <f t="shared" si="518"/>
        <v>24</v>
      </c>
      <c r="H894" s="74">
        <f t="shared" si="519"/>
        <v>21</v>
      </c>
      <c r="I894" s="74">
        <f t="shared" si="520"/>
        <v>18</v>
      </c>
      <c r="J894" s="114">
        <f t="shared" si="521"/>
        <v>15</v>
      </c>
      <c r="K894" s="74">
        <f t="shared" si="509"/>
        <v>12.75</v>
      </c>
      <c r="L894" s="114">
        <f t="shared" si="496"/>
        <v>10.5</v>
      </c>
      <c r="M894" s="115">
        <f t="shared" si="510"/>
        <v>11.579000000000001</v>
      </c>
      <c r="N894" s="115">
        <f t="shared" si="511"/>
        <v>12.6645</v>
      </c>
      <c r="O894" s="74">
        <f t="shared" si="512"/>
        <v>13.75</v>
      </c>
      <c r="P894" s="74">
        <f t="shared" si="513"/>
        <v>14.829000000000001</v>
      </c>
      <c r="Q894" s="74">
        <f t="shared" si="514"/>
        <v>15.907999999999999</v>
      </c>
      <c r="R894" s="114">
        <v>17</v>
      </c>
      <c r="S894" s="129"/>
      <c r="T894" s="117">
        <f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16.13286153846154</v>
      </c>
      <c r="U894" s="117">
        <f>Lefty!T894</f>
        <v>15.781538461538462</v>
      </c>
    </row>
    <row r="895" spans="2:21">
      <c r="B895" s="114"/>
      <c r="C895" s="74"/>
      <c r="D895" s="74"/>
      <c r="E895" s="74"/>
      <c r="F895" s="114"/>
      <c r="G895" s="74"/>
      <c r="H895" s="74"/>
      <c r="I895" s="74"/>
      <c r="J895" s="114"/>
      <c r="K895" s="74"/>
      <c r="L895" s="114"/>
      <c r="M895" s="115"/>
      <c r="N895" s="115"/>
      <c r="O895" s="74"/>
      <c r="P895" s="74"/>
      <c r="Q895" s="74"/>
      <c r="R895" s="114"/>
      <c r="S895" s="129"/>
    </row>
    <row r="896" spans="2:21">
      <c r="B896" s="114">
        <v>32</v>
      </c>
      <c r="C896" s="74">
        <f t="shared" si="515"/>
        <v>31</v>
      </c>
      <c r="D896" s="74">
        <f t="shared" si="516"/>
        <v>30</v>
      </c>
      <c r="E896" s="74">
        <f t="shared" si="517"/>
        <v>29</v>
      </c>
      <c r="F896" s="114">
        <v>28</v>
      </c>
      <c r="G896" s="74">
        <f t="shared" si="518"/>
        <v>27</v>
      </c>
      <c r="H896" s="74">
        <f t="shared" si="519"/>
        <v>26</v>
      </c>
      <c r="I896" s="74">
        <f t="shared" si="520"/>
        <v>25</v>
      </c>
      <c r="J896" s="114">
        <f t="shared" si="521"/>
        <v>24</v>
      </c>
      <c r="K896" s="74">
        <f t="shared" ref="K896:K903" si="522">SUM(0.5*(L896-J896),J896)</f>
        <v>23.25</v>
      </c>
      <c r="L896" s="114">
        <f t="shared" si="496"/>
        <v>22.5</v>
      </c>
      <c r="M896" s="115">
        <f t="shared" ref="M896:M903" si="523">SUM(0.166*(R896-L896),L896)</f>
        <v>21.587</v>
      </c>
      <c r="N896" s="115">
        <f t="shared" ref="N896:N903" si="524">SUM(0.333*(R896-L896),L896)</f>
        <v>20.668500000000002</v>
      </c>
      <c r="O896" s="74">
        <f t="shared" ref="O896:O903" si="525">SUM(0.5*(R896-L896),L896)</f>
        <v>19.75</v>
      </c>
      <c r="P896" s="74">
        <f t="shared" ref="P896:P903" si="526">SUM(0.666*(R896-L896),L896)</f>
        <v>18.837</v>
      </c>
      <c r="Q896" s="74">
        <f t="shared" ref="Q896:Q903" si="527">SUM(0.832*(R896-L896),L896)</f>
        <v>17.923999999999999</v>
      </c>
      <c r="R896" s="114">
        <v>17</v>
      </c>
      <c r="S896" s="129"/>
      <c r="T896" s="117">
        <f>SUM((AS19+AT19+AU18+AV18+AW17+AX17+AY16+AZ16+BA15+BB15+BC14+BD14+BE13+BF13+BG12+BH12+BI11+BJ11+BM8+BN8+BO7+BP7+BQ6+BR6+BS5+BT5+BU4+BV4)*-0.132/2,(AR20+BK10+BL9)*-0.132,17)</f>
        <v>15.226461538461539</v>
      </c>
      <c r="U896" s="117">
        <f>Lefty!T896</f>
        <v>16.331538461538461</v>
      </c>
    </row>
    <row r="897" spans="2:21">
      <c r="B897" s="114">
        <v>33</v>
      </c>
      <c r="C897" s="74">
        <f t="shared" si="515"/>
        <v>31.75</v>
      </c>
      <c r="D897" s="74">
        <f t="shared" si="516"/>
        <v>30.5</v>
      </c>
      <c r="E897" s="74">
        <f t="shared" si="517"/>
        <v>29.25</v>
      </c>
      <c r="F897" s="114">
        <v>28</v>
      </c>
      <c r="G897" s="74">
        <f t="shared" si="518"/>
        <v>26.75</v>
      </c>
      <c r="H897" s="74">
        <f t="shared" si="519"/>
        <v>25.5</v>
      </c>
      <c r="I897" s="74">
        <f t="shared" si="520"/>
        <v>24.25</v>
      </c>
      <c r="J897" s="114">
        <f t="shared" si="521"/>
        <v>23</v>
      </c>
      <c r="K897" s="74">
        <f t="shared" si="522"/>
        <v>22.0625</v>
      </c>
      <c r="L897" s="114">
        <f t="shared" si="496"/>
        <v>21.125</v>
      </c>
      <c r="M897" s="115">
        <f t="shared" si="523"/>
        <v>20.440249999999999</v>
      </c>
      <c r="N897" s="115">
        <f t="shared" si="524"/>
        <v>19.751374999999999</v>
      </c>
      <c r="O897" s="74">
        <f t="shared" si="525"/>
        <v>19.0625</v>
      </c>
      <c r="P897" s="74">
        <f t="shared" si="526"/>
        <v>18.377749999999999</v>
      </c>
      <c r="Q897" s="74">
        <f t="shared" si="527"/>
        <v>17.693000000000001</v>
      </c>
      <c r="R897" s="114">
        <v>17</v>
      </c>
      <c r="S897" s="129"/>
      <c r="T897" s="117">
        <f>SUM((AP20+AQ20+AR19+AS19+AW17+AX17+AY16+AZ16+BD14+BE14+BI12+BJ12+BK11+BL11+BM10+BN10+BS5+BT5+BU4+BV4)*-0.132/2,(AT18+AU18+AV18+BA15+BB15+BC15+BF13+BG13+BH13)*-0.132/3,(BO9+BP8+BQ7+BR6)*-0.132,17)</f>
        <v>15.314461538461538</v>
      </c>
      <c r="U897" s="117">
        <f>Lefty!T897</f>
        <v>15.957538461538462</v>
      </c>
    </row>
    <row r="898" spans="2:21">
      <c r="B898" s="114">
        <v>34</v>
      </c>
      <c r="C898" s="74">
        <f t="shared" si="515"/>
        <v>32.5</v>
      </c>
      <c r="D898" s="74">
        <f t="shared" si="516"/>
        <v>31</v>
      </c>
      <c r="E898" s="74">
        <f t="shared" si="517"/>
        <v>29.5</v>
      </c>
      <c r="F898" s="114">
        <v>28</v>
      </c>
      <c r="G898" s="74">
        <f t="shared" si="518"/>
        <v>26.5</v>
      </c>
      <c r="H898" s="74">
        <f t="shared" si="519"/>
        <v>25</v>
      </c>
      <c r="I898" s="74">
        <f t="shared" si="520"/>
        <v>23.5</v>
      </c>
      <c r="J898" s="114">
        <f t="shared" si="521"/>
        <v>22</v>
      </c>
      <c r="K898" s="74">
        <f t="shared" si="522"/>
        <v>20.875</v>
      </c>
      <c r="L898" s="114">
        <f t="shared" si="496"/>
        <v>19.75</v>
      </c>
      <c r="M898" s="115">
        <f t="shared" si="523"/>
        <v>19.293500000000002</v>
      </c>
      <c r="N898" s="115">
        <f t="shared" si="524"/>
        <v>18.834250000000001</v>
      </c>
      <c r="O898" s="74">
        <f t="shared" si="525"/>
        <v>18.375</v>
      </c>
      <c r="P898" s="74">
        <f t="shared" si="526"/>
        <v>17.918500000000002</v>
      </c>
      <c r="Q898" s="74">
        <f t="shared" si="527"/>
        <v>17.462</v>
      </c>
      <c r="R898" s="114">
        <v>17</v>
      </c>
      <c r="S898" s="129"/>
      <c r="T898" s="117">
        <f>SUM((AN20+AO20+AS18+AT18)*-0.132/2,(AP19+AQ19+AR19+AU17+AV17+AW17+AX16+AY16+AZ16+BA15+BB15+BC15+BD14+BE14+BF14+BG13+BH13+BI13+BJ12+BK12+BL12+BM11+BN11+BO11)*-0.132/3,(BP10+BQ10)*-0.132/2,(BR9+BR8+BS7+BT6+BU5+BV4)*-0.132,17)</f>
        <v>15.556461538461537</v>
      </c>
      <c r="U898" s="117">
        <f>Lefty!T898</f>
        <v>15.781538461538464</v>
      </c>
    </row>
    <row r="899" spans="2:21">
      <c r="B899" s="114">
        <v>35</v>
      </c>
      <c r="C899" s="74">
        <f t="shared" si="515"/>
        <v>33.25</v>
      </c>
      <c r="D899" s="74">
        <f t="shared" si="516"/>
        <v>31.5</v>
      </c>
      <c r="E899" s="74">
        <f t="shared" si="517"/>
        <v>29.75</v>
      </c>
      <c r="F899" s="114">
        <v>28</v>
      </c>
      <c r="G899" s="74">
        <f t="shared" si="518"/>
        <v>26.25</v>
      </c>
      <c r="H899" s="74">
        <f t="shared" si="519"/>
        <v>24.5</v>
      </c>
      <c r="I899" s="74">
        <f t="shared" si="520"/>
        <v>22.75</v>
      </c>
      <c r="J899" s="114">
        <f t="shared" si="521"/>
        <v>21</v>
      </c>
      <c r="K899" s="74">
        <f t="shared" si="522"/>
        <v>19.6875</v>
      </c>
      <c r="L899" s="114">
        <f t="shared" si="496"/>
        <v>18.375</v>
      </c>
      <c r="M899" s="115">
        <f t="shared" si="523"/>
        <v>18.146750000000001</v>
      </c>
      <c r="N899" s="115">
        <f t="shared" si="524"/>
        <v>17.917124999999999</v>
      </c>
      <c r="O899" s="74">
        <f t="shared" si="525"/>
        <v>17.6875</v>
      </c>
      <c r="P899" s="74">
        <f t="shared" si="526"/>
        <v>17.459250000000001</v>
      </c>
      <c r="Q899" s="74">
        <f t="shared" si="527"/>
        <v>17.231000000000002</v>
      </c>
      <c r="R899" s="114">
        <v>17</v>
      </c>
      <c r="S899" s="129"/>
      <c r="T899" s="117">
        <f>SUM((AL20+AM20+AN20+AO19+AP19+AQ19+AR18+AS18+AT18+AU17+AV17+AW17+AX16+AY16+AZ16+BE14+BF14+BG14+BL12+BM12+BN12+BO11+BP11+BQ11)*-0.132/3,(BA15+BB15+BC15+BD15+BH13+BI13+BJ13+BK13)*-0.132/4,(BR10+BS10)*-0.132/2,(BT9+BT8+BU7+BU6+BV5+BV4)*-0.132,17)</f>
        <v>15.644461538461538</v>
      </c>
      <c r="U899" s="117">
        <f>Lefty!T899</f>
        <v>15.781538461538462</v>
      </c>
    </row>
    <row r="900" spans="2:21">
      <c r="B900" s="114">
        <v>36</v>
      </c>
      <c r="C900" s="74">
        <f t="shared" si="515"/>
        <v>34</v>
      </c>
      <c r="D900" s="74">
        <f t="shared" si="516"/>
        <v>32</v>
      </c>
      <c r="E900" s="74">
        <f t="shared" si="517"/>
        <v>30</v>
      </c>
      <c r="F900" s="114">
        <v>28</v>
      </c>
      <c r="G900" s="74">
        <f t="shared" si="518"/>
        <v>26</v>
      </c>
      <c r="H900" s="74">
        <f t="shared" si="519"/>
        <v>24</v>
      </c>
      <c r="I900" s="74">
        <f t="shared" si="520"/>
        <v>22</v>
      </c>
      <c r="J900" s="114">
        <f t="shared" si="521"/>
        <v>20</v>
      </c>
      <c r="K900" s="74">
        <f t="shared" si="522"/>
        <v>18.5</v>
      </c>
      <c r="L900" s="114">
        <f t="shared" si="496"/>
        <v>17</v>
      </c>
      <c r="M900" s="115">
        <f t="shared" si="523"/>
        <v>17</v>
      </c>
      <c r="N900" s="115">
        <f t="shared" si="524"/>
        <v>17</v>
      </c>
      <c r="O900" s="74">
        <f t="shared" si="525"/>
        <v>17</v>
      </c>
      <c r="P900" s="74">
        <f t="shared" si="526"/>
        <v>17</v>
      </c>
      <c r="Q900" s="74">
        <f t="shared" si="527"/>
        <v>17</v>
      </c>
      <c r="R900" s="114">
        <v>17</v>
      </c>
      <c r="S900" s="129"/>
      <c r="T900" s="117">
        <f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15.721461538461538</v>
      </c>
      <c r="U900" s="117">
        <f>Lefty!T900</f>
        <v>15.583538461538462</v>
      </c>
    </row>
    <row r="901" spans="2:21">
      <c r="B901" s="114">
        <v>37</v>
      </c>
      <c r="C901" s="74">
        <f t="shared" si="515"/>
        <v>34.75</v>
      </c>
      <c r="D901" s="74">
        <f t="shared" si="516"/>
        <v>32.5</v>
      </c>
      <c r="E901" s="74">
        <f t="shared" si="517"/>
        <v>30.25</v>
      </c>
      <c r="F901" s="114">
        <v>28</v>
      </c>
      <c r="G901" s="74">
        <f t="shared" si="518"/>
        <v>25.75</v>
      </c>
      <c r="H901" s="74">
        <f t="shared" si="519"/>
        <v>23.5</v>
      </c>
      <c r="I901" s="74">
        <f t="shared" si="520"/>
        <v>21.25</v>
      </c>
      <c r="J901" s="114">
        <f t="shared" si="521"/>
        <v>19</v>
      </c>
      <c r="K901" s="74">
        <f t="shared" si="522"/>
        <v>17.3125</v>
      </c>
      <c r="L901" s="114">
        <f t="shared" si="496"/>
        <v>15.625</v>
      </c>
      <c r="M901" s="115">
        <f t="shared" si="523"/>
        <v>15.853249999999999</v>
      </c>
      <c r="N901" s="115">
        <f t="shared" si="524"/>
        <v>16.082875000000001</v>
      </c>
      <c r="O901" s="74">
        <f t="shared" si="525"/>
        <v>16.3125</v>
      </c>
      <c r="P901" s="74">
        <f t="shared" si="526"/>
        <v>16.540749999999999</v>
      </c>
      <c r="Q901" s="74">
        <f t="shared" si="527"/>
        <v>16.768999999999998</v>
      </c>
      <c r="R901" s="114">
        <v>17</v>
      </c>
      <c r="S901" s="129"/>
      <c r="T901" s="117">
        <f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15.805061538461539</v>
      </c>
      <c r="U901" s="117">
        <f>Lefty!T901</f>
        <v>15.167738461538461</v>
      </c>
    </row>
    <row r="902" spans="2:21">
      <c r="B902" s="114">
        <v>38</v>
      </c>
      <c r="C902" s="74">
        <f t="shared" si="515"/>
        <v>35.5</v>
      </c>
      <c r="D902" s="74">
        <f t="shared" si="516"/>
        <v>33</v>
      </c>
      <c r="E902" s="74">
        <f t="shared" si="517"/>
        <v>30.5</v>
      </c>
      <c r="F902" s="114">
        <v>28</v>
      </c>
      <c r="G902" s="74">
        <f t="shared" si="518"/>
        <v>25.5</v>
      </c>
      <c r="H902" s="74">
        <f t="shared" si="519"/>
        <v>23</v>
      </c>
      <c r="I902" s="74">
        <f t="shared" si="520"/>
        <v>20.5</v>
      </c>
      <c r="J902" s="114">
        <f t="shared" si="521"/>
        <v>18</v>
      </c>
      <c r="K902" s="74">
        <f t="shared" si="522"/>
        <v>16.125</v>
      </c>
      <c r="L902" s="114">
        <f t="shared" si="496"/>
        <v>14.25</v>
      </c>
      <c r="M902" s="115">
        <f t="shared" si="523"/>
        <v>14.7065</v>
      </c>
      <c r="N902" s="115">
        <f t="shared" si="524"/>
        <v>15.165749999999999</v>
      </c>
      <c r="O902" s="74">
        <f t="shared" si="525"/>
        <v>15.625</v>
      </c>
      <c r="P902" s="74">
        <f t="shared" si="526"/>
        <v>16.081499999999998</v>
      </c>
      <c r="Q902" s="74">
        <f t="shared" si="527"/>
        <v>16.538</v>
      </c>
      <c r="R902" s="114">
        <v>17</v>
      </c>
      <c r="S902" s="129"/>
      <c r="T902" s="117">
        <f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16.097661538461537</v>
      </c>
      <c r="U902" s="117">
        <f>Lefty!T902</f>
        <v>15.473538461538462</v>
      </c>
    </row>
    <row r="903" spans="2:21">
      <c r="B903" s="114">
        <v>39</v>
      </c>
      <c r="C903" s="74">
        <f t="shared" si="515"/>
        <v>36.25</v>
      </c>
      <c r="D903" s="74">
        <f t="shared" si="516"/>
        <v>33.5</v>
      </c>
      <c r="E903" s="74">
        <f t="shared" si="517"/>
        <v>30.75</v>
      </c>
      <c r="F903" s="114">
        <v>28</v>
      </c>
      <c r="G903" s="74">
        <f t="shared" si="518"/>
        <v>25.25</v>
      </c>
      <c r="H903" s="74">
        <f t="shared" si="519"/>
        <v>22.5</v>
      </c>
      <c r="I903" s="74">
        <f t="shared" si="520"/>
        <v>19.75</v>
      </c>
      <c r="J903" s="114">
        <f t="shared" si="521"/>
        <v>17</v>
      </c>
      <c r="K903" s="74">
        <f t="shared" si="522"/>
        <v>14.9375</v>
      </c>
      <c r="L903" s="114">
        <f t="shared" si="496"/>
        <v>12.875</v>
      </c>
      <c r="M903" s="115">
        <f t="shared" si="523"/>
        <v>13.559749999999999</v>
      </c>
      <c r="N903" s="115">
        <f t="shared" si="524"/>
        <v>14.248625000000001</v>
      </c>
      <c r="O903" s="74">
        <f t="shared" si="525"/>
        <v>14.9375</v>
      </c>
      <c r="P903" s="74">
        <f t="shared" si="526"/>
        <v>15.622250000000001</v>
      </c>
      <c r="Q903" s="74">
        <f t="shared" si="527"/>
        <v>16.306999999999999</v>
      </c>
      <c r="R903" s="114">
        <v>17</v>
      </c>
      <c r="S903" s="129"/>
      <c r="T903" s="117">
        <f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16.16366153846154</v>
      </c>
      <c r="U903" s="117">
        <f>Lefty!T903</f>
        <v>15.482338461538461</v>
      </c>
    </row>
    <row r="904" spans="2:21">
      <c r="B904" s="114"/>
      <c r="C904" s="74"/>
      <c r="D904" s="74"/>
      <c r="E904" s="74"/>
      <c r="F904" s="114"/>
      <c r="G904" s="74"/>
      <c r="H904" s="74"/>
      <c r="I904" s="74"/>
      <c r="J904" s="114"/>
      <c r="K904" s="74"/>
      <c r="L904" s="114"/>
      <c r="M904" s="115"/>
      <c r="N904" s="115"/>
      <c r="O904" s="74"/>
      <c r="P904" s="74"/>
      <c r="Q904" s="74"/>
      <c r="R904" s="114"/>
      <c r="S904" s="129"/>
    </row>
    <row r="905" spans="2:21">
      <c r="B905" s="114">
        <v>33</v>
      </c>
      <c r="C905" s="74">
        <f t="shared" si="515"/>
        <v>32</v>
      </c>
      <c r="D905" s="74">
        <f t="shared" si="516"/>
        <v>31</v>
      </c>
      <c r="E905" s="74">
        <f t="shared" si="517"/>
        <v>30</v>
      </c>
      <c r="F905" s="114">
        <v>29</v>
      </c>
      <c r="G905" s="74">
        <f t="shared" si="518"/>
        <v>28</v>
      </c>
      <c r="H905" s="74">
        <f t="shared" si="519"/>
        <v>27</v>
      </c>
      <c r="I905" s="74">
        <f t="shared" si="520"/>
        <v>26</v>
      </c>
      <c r="J905" s="114">
        <f t="shared" si="521"/>
        <v>25</v>
      </c>
      <c r="K905" s="74">
        <f t="shared" ref="K905:K911" si="528">SUM(0.5*(L905-J905),J905)</f>
        <v>24</v>
      </c>
      <c r="L905" s="114">
        <f>SUM(J905,J905,-H905)</f>
        <v>23</v>
      </c>
      <c r="M905" s="115">
        <f t="shared" ref="M905:M911" si="529">SUM(0.166*(R905-L905),L905)</f>
        <v>22.004000000000001</v>
      </c>
      <c r="N905" s="115">
        <f t="shared" ref="N905:N911" si="530">SUM(0.333*(R905-L905),L905)</f>
        <v>21.001999999999999</v>
      </c>
      <c r="O905" s="74">
        <f t="shared" ref="O905:O911" si="531">SUM(0.5*(R905-L905),L905)</f>
        <v>20</v>
      </c>
      <c r="P905" s="74">
        <f t="shared" ref="P905:P911" si="532">SUM(0.666*(R905-L905),L905)</f>
        <v>19.003999999999998</v>
      </c>
      <c r="Q905" s="74">
        <f t="shared" ref="Q905:Q911" si="533">SUM(0.832*(R905-L905),L905)</f>
        <v>18.007999999999999</v>
      </c>
      <c r="R905" s="114">
        <v>17</v>
      </c>
      <c r="S905" s="129"/>
      <c r="T905" s="117">
        <f>SUM((AQ19+AR19+AS18+AT18+AU17+AV17+AW16+AX16+AY15+AZ15+BA14+BB14+BC13+BD13+BE12+BF12+BG11+BH11+BI10+BJ10+BK9+BL9+BM8+BN8+BO7+BP7+BQ6+BR6+BS5+BT5+BU4+BV4)*-0.132/2,AP20*-0.132,17)</f>
        <v>14.830461538461538</v>
      </c>
      <c r="U905" s="117">
        <f>Lefty!T905</f>
        <v>15.605538461538464</v>
      </c>
    </row>
    <row r="906" spans="2:21">
      <c r="B906" s="114">
        <v>34</v>
      </c>
      <c r="C906" s="74">
        <f t="shared" si="515"/>
        <v>32.75</v>
      </c>
      <c r="D906" s="74">
        <f t="shared" si="516"/>
        <v>31.5</v>
      </c>
      <c r="E906" s="74">
        <f t="shared" si="517"/>
        <v>30.25</v>
      </c>
      <c r="F906" s="114">
        <v>29</v>
      </c>
      <c r="G906" s="74">
        <f t="shared" si="518"/>
        <v>27.75</v>
      </c>
      <c r="H906" s="74">
        <f t="shared" si="519"/>
        <v>26.5</v>
      </c>
      <c r="I906" s="74">
        <f t="shared" si="520"/>
        <v>25.25</v>
      </c>
      <c r="J906" s="114">
        <f t="shared" si="521"/>
        <v>24</v>
      </c>
      <c r="K906" s="74">
        <f t="shared" si="528"/>
        <v>23.0625</v>
      </c>
      <c r="L906" s="114">
        <f t="shared" si="496"/>
        <v>22.125</v>
      </c>
      <c r="M906" s="115">
        <f t="shared" si="529"/>
        <v>21.274249999999999</v>
      </c>
      <c r="N906" s="115">
        <f t="shared" si="530"/>
        <v>20.418375000000001</v>
      </c>
      <c r="O906" s="74">
        <f t="shared" si="531"/>
        <v>19.5625</v>
      </c>
      <c r="P906" s="74">
        <f t="shared" si="532"/>
        <v>18.711749999999999</v>
      </c>
      <c r="Q906" s="74">
        <f t="shared" si="533"/>
        <v>17.861000000000001</v>
      </c>
      <c r="R906" s="114">
        <v>17</v>
      </c>
      <c r="S906" s="129"/>
      <c r="T906" s="117">
        <f>SUM((AN20+AO20+AP19+AQ19+AU17+AV17+AW16+AX16)*-0.132/2,(AR18+AS18+AT18+AY15+AZ15+BA15+BD13+BE13+BF13)*-0.132/3,(BB14+BC14+BG12+BH12+BI11+BJ11+BK10+BL10+BO7+BP7+BQ6+BR6+BS5+BT5+BU4+BV4)*-0.132/2,(BM9+BN8)*-0.132,17)</f>
        <v>15.160461538461538</v>
      </c>
      <c r="U906" s="117">
        <f>Lefty!T906</f>
        <v>15.561538461538463</v>
      </c>
    </row>
    <row r="907" spans="2:21">
      <c r="B907" s="114">
        <v>35</v>
      </c>
      <c r="C907" s="74">
        <f t="shared" si="515"/>
        <v>33.5</v>
      </c>
      <c r="D907" s="74">
        <f t="shared" si="516"/>
        <v>32</v>
      </c>
      <c r="E907" s="74">
        <f t="shared" si="517"/>
        <v>30.5</v>
      </c>
      <c r="F907" s="114">
        <v>29</v>
      </c>
      <c r="G907" s="74">
        <f t="shared" si="518"/>
        <v>27.5</v>
      </c>
      <c r="H907" s="74">
        <f t="shared" si="519"/>
        <v>26</v>
      </c>
      <c r="I907" s="74">
        <f t="shared" si="520"/>
        <v>24.5</v>
      </c>
      <c r="J907" s="114">
        <f t="shared" si="521"/>
        <v>23</v>
      </c>
      <c r="K907" s="74">
        <f t="shared" si="528"/>
        <v>21.875</v>
      </c>
      <c r="L907" s="114">
        <f t="shared" si="496"/>
        <v>20.75</v>
      </c>
      <c r="M907" s="115">
        <f t="shared" si="529"/>
        <v>20.127500000000001</v>
      </c>
      <c r="N907" s="115">
        <f t="shared" si="530"/>
        <v>19.501249999999999</v>
      </c>
      <c r="O907" s="74">
        <f t="shared" si="531"/>
        <v>18.875</v>
      </c>
      <c r="P907" s="74">
        <f t="shared" si="532"/>
        <v>18.252500000000001</v>
      </c>
      <c r="Q907" s="74">
        <f t="shared" si="533"/>
        <v>17.63</v>
      </c>
      <c r="R907" s="114">
        <v>17</v>
      </c>
      <c r="S907" s="129"/>
      <c r="T907" s="117">
        <f>SUM((AL20+AM20+AQ18+AR18)*-0.132/2,(AN19+AO19+AP19+AS17+AT17+AU17+AV16+AW16+AX16+AY15+AZ15+BA15+BB14+BC14+BD14+BE13+BF13+BG13+BH12+BI12+BJ12+BK11+BL11+BM11)*-0.132/3,(BN10+BO10+BU4+BV4)*-0.132/2,(BP9+BQ8+BR7+BS6+BT5)*-0.132,17)</f>
        <v>15.358461538461539</v>
      </c>
      <c r="U907" s="117">
        <f>Lefty!T907</f>
        <v>15.605538461538462</v>
      </c>
    </row>
    <row r="908" spans="2:21">
      <c r="B908" s="114">
        <v>36</v>
      </c>
      <c r="C908" s="74">
        <f t="shared" si="515"/>
        <v>34.25</v>
      </c>
      <c r="D908" s="74">
        <f t="shared" si="516"/>
        <v>32.5</v>
      </c>
      <c r="E908" s="74">
        <f t="shared" si="517"/>
        <v>30.75</v>
      </c>
      <c r="F908" s="114">
        <v>29</v>
      </c>
      <c r="G908" s="74">
        <f t="shared" si="518"/>
        <v>27.25</v>
      </c>
      <c r="H908" s="74">
        <f t="shared" si="519"/>
        <v>25.5</v>
      </c>
      <c r="I908" s="74">
        <f t="shared" si="520"/>
        <v>23.75</v>
      </c>
      <c r="J908" s="114">
        <f t="shared" si="521"/>
        <v>22</v>
      </c>
      <c r="K908" s="74">
        <f t="shared" si="528"/>
        <v>20.6875</v>
      </c>
      <c r="L908" s="114">
        <f t="shared" si="496"/>
        <v>19.375</v>
      </c>
      <c r="M908" s="115">
        <f t="shared" si="529"/>
        <v>18.98075</v>
      </c>
      <c r="N908" s="115">
        <f t="shared" si="530"/>
        <v>18.584125</v>
      </c>
      <c r="O908" s="74">
        <f t="shared" si="531"/>
        <v>18.1875</v>
      </c>
      <c r="P908" s="74">
        <f t="shared" si="532"/>
        <v>17.79325</v>
      </c>
      <c r="Q908" s="74">
        <f t="shared" si="533"/>
        <v>17.399000000000001</v>
      </c>
      <c r="R908" s="114">
        <v>17</v>
      </c>
      <c r="S908" s="129"/>
      <c r="T908" s="117">
        <f>SUM((AJ20+AK20+AL20+AM19+AN19+AO19+AP18+AQ18+AR18+AS17+AT17+AU17+AV16+AW16+AX16+BC14+BD14+BE14+BJ12+BK12+BL12+BM11+BN11+BO11)*-0.132/3,(AY15+AZ15+BA15+BB15+BF13+BG13+BH13+BI13)*-0.132/4,(BP10+BQ10)*-0.132/2,(BR9+BR8+BS7+BT6+BU5+BV4)*-0.132,17)</f>
        <v>15.611461538461539</v>
      </c>
      <c r="U908" s="117">
        <f>Lefty!T908</f>
        <v>15.385538461538461</v>
      </c>
    </row>
    <row r="909" spans="2:21">
      <c r="B909" s="114">
        <v>37</v>
      </c>
      <c r="C909" s="74">
        <f t="shared" si="515"/>
        <v>35</v>
      </c>
      <c r="D909" s="74">
        <f t="shared" si="516"/>
        <v>33</v>
      </c>
      <c r="E909" s="74">
        <f t="shared" si="517"/>
        <v>31</v>
      </c>
      <c r="F909" s="114">
        <v>29</v>
      </c>
      <c r="G909" s="74">
        <f t="shared" si="518"/>
        <v>27</v>
      </c>
      <c r="H909" s="74">
        <f t="shared" si="519"/>
        <v>25</v>
      </c>
      <c r="I909" s="74">
        <f t="shared" si="520"/>
        <v>23</v>
      </c>
      <c r="J909" s="114">
        <f t="shared" si="521"/>
        <v>21</v>
      </c>
      <c r="K909" s="74">
        <f t="shared" si="528"/>
        <v>19.5</v>
      </c>
      <c r="L909" s="114">
        <f t="shared" si="496"/>
        <v>18</v>
      </c>
      <c r="M909" s="115">
        <f t="shared" si="529"/>
        <v>17.834</v>
      </c>
      <c r="N909" s="115">
        <f t="shared" si="530"/>
        <v>17.667000000000002</v>
      </c>
      <c r="O909" s="74">
        <f t="shared" si="531"/>
        <v>17.5</v>
      </c>
      <c r="P909" s="74">
        <f t="shared" si="532"/>
        <v>17.334</v>
      </c>
      <c r="Q909" s="74">
        <f t="shared" si="533"/>
        <v>17.167999999999999</v>
      </c>
      <c r="R909" s="114">
        <v>17</v>
      </c>
      <c r="S909" s="129"/>
      <c r="T909" s="117">
        <f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15.710461538461539</v>
      </c>
      <c r="U909" s="117">
        <f>Lefty!T909</f>
        <v>15.330538461538461</v>
      </c>
    </row>
    <row r="910" spans="2:21">
      <c r="B910" s="114">
        <v>38</v>
      </c>
      <c r="C910" s="74">
        <f t="shared" si="515"/>
        <v>35.75</v>
      </c>
      <c r="D910" s="74">
        <f t="shared" si="516"/>
        <v>33.5</v>
      </c>
      <c r="E910" s="74">
        <f t="shared" si="517"/>
        <v>31.25</v>
      </c>
      <c r="F910" s="114">
        <v>29</v>
      </c>
      <c r="G910" s="74">
        <f t="shared" si="518"/>
        <v>26.75</v>
      </c>
      <c r="H910" s="74">
        <f t="shared" si="519"/>
        <v>24.5</v>
      </c>
      <c r="I910" s="74">
        <f t="shared" si="520"/>
        <v>22.25</v>
      </c>
      <c r="J910" s="114">
        <f t="shared" si="521"/>
        <v>20</v>
      </c>
      <c r="K910" s="74">
        <f t="shared" si="528"/>
        <v>18.3125</v>
      </c>
      <c r="L910" s="114">
        <f t="shared" si="496"/>
        <v>16.625</v>
      </c>
      <c r="M910" s="115">
        <f t="shared" si="529"/>
        <v>16.687249999999999</v>
      </c>
      <c r="N910" s="115">
        <f t="shared" si="530"/>
        <v>16.749874999999999</v>
      </c>
      <c r="O910" s="74">
        <f t="shared" si="531"/>
        <v>16.8125</v>
      </c>
      <c r="P910" s="74">
        <f t="shared" si="532"/>
        <v>16.874749999999999</v>
      </c>
      <c r="Q910" s="74">
        <f t="shared" si="533"/>
        <v>16.937000000000001</v>
      </c>
      <c r="R910" s="114">
        <v>17</v>
      </c>
      <c r="S910" s="129"/>
      <c r="T910" s="117">
        <f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15.961261538461539</v>
      </c>
      <c r="U910" s="117">
        <f>Lefty!T910</f>
        <v>15.180938461538462</v>
      </c>
    </row>
    <row r="911" spans="2:21">
      <c r="B911" s="114">
        <v>39</v>
      </c>
      <c r="C911" s="74">
        <f t="shared" si="515"/>
        <v>36.5</v>
      </c>
      <c r="D911" s="74">
        <f t="shared" si="516"/>
        <v>34</v>
      </c>
      <c r="E911" s="74">
        <f t="shared" si="517"/>
        <v>31.5</v>
      </c>
      <c r="F911" s="114">
        <v>29</v>
      </c>
      <c r="G911" s="74">
        <f t="shared" si="518"/>
        <v>26.5</v>
      </c>
      <c r="H911" s="74">
        <f t="shared" si="519"/>
        <v>24</v>
      </c>
      <c r="I911" s="74">
        <f t="shared" si="520"/>
        <v>21.5</v>
      </c>
      <c r="J911" s="114">
        <f t="shared" si="521"/>
        <v>19</v>
      </c>
      <c r="K911" s="74">
        <f t="shared" si="528"/>
        <v>17.125</v>
      </c>
      <c r="L911" s="114">
        <f t="shared" si="496"/>
        <v>15.25</v>
      </c>
      <c r="M911" s="115">
        <f t="shared" si="529"/>
        <v>15.5405</v>
      </c>
      <c r="N911" s="115">
        <f t="shared" si="530"/>
        <v>15.832750000000001</v>
      </c>
      <c r="O911" s="74">
        <f t="shared" si="531"/>
        <v>16.125</v>
      </c>
      <c r="P911" s="74">
        <f t="shared" si="532"/>
        <v>16.415500000000002</v>
      </c>
      <c r="Q911" s="74">
        <f t="shared" si="533"/>
        <v>16.706</v>
      </c>
      <c r="R911" s="114">
        <v>17</v>
      </c>
      <c r="S911" s="129"/>
      <c r="T911" s="117">
        <f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16.01406153846154</v>
      </c>
      <c r="U911" s="117">
        <f>Lefty!T911</f>
        <v>15.097338461538461</v>
      </c>
    </row>
    <row r="912" spans="2:21">
      <c r="B912" s="114"/>
      <c r="C912" s="74"/>
      <c r="D912" s="74"/>
      <c r="E912" s="74"/>
      <c r="F912" s="114"/>
      <c r="G912" s="74"/>
      <c r="H912" s="74"/>
      <c r="I912" s="74"/>
      <c r="J912" s="114"/>
      <c r="K912" s="74"/>
      <c r="L912" s="114"/>
      <c r="M912" s="115"/>
      <c r="N912" s="115"/>
      <c r="O912" s="74"/>
      <c r="P912" s="74"/>
      <c r="Q912" s="74"/>
      <c r="R912" s="114"/>
      <c r="S912" s="129"/>
    </row>
    <row r="913" spans="2:21">
      <c r="B913" s="114">
        <v>35</v>
      </c>
      <c r="C913" s="74">
        <f t="shared" si="515"/>
        <v>33.75</v>
      </c>
      <c r="D913" s="74">
        <f t="shared" si="516"/>
        <v>32.5</v>
      </c>
      <c r="E913" s="74">
        <f t="shared" si="517"/>
        <v>31.25</v>
      </c>
      <c r="F913" s="114">
        <v>30</v>
      </c>
      <c r="G913" s="74">
        <f t="shared" si="518"/>
        <v>28.75</v>
      </c>
      <c r="H913" s="74">
        <f t="shared" si="519"/>
        <v>27.5</v>
      </c>
      <c r="I913" s="74">
        <f t="shared" si="520"/>
        <v>26.25</v>
      </c>
      <c r="J913" s="114">
        <f t="shared" si="521"/>
        <v>25</v>
      </c>
      <c r="K913" s="74">
        <f t="shared" ref="K913:K917" si="534">SUM(0.5*(L913-J913),J913)</f>
        <v>24.0625</v>
      </c>
      <c r="L913" s="114">
        <f t="shared" si="496"/>
        <v>23.125</v>
      </c>
      <c r="M913" s="115">
        <f>SUM(0.166*(R913-L913),L913)</f>
        <v>22.108249999999998</v>
      </c>
      <c r="N913" s="115">
        <f>SUM(0.333*(R913-L913),L913)</f>
        <v>21.085374999999999</v>
      </c>
      <c r="O913" s="74">
        <f>SUM(0.5*(R913-L913),L913)</f>
        <v>20.0625</v>
      </c>
      <c r="P913" s="74">
        <f>SUM(0.666*(R913-L913),L913)</f>
        <v>19.045749999999998</v>
      </c>
      <c r="Q913" s="74">
        <f>SUM(0.832*(R913-L913),L913)</f>
        <v>18.029</v>
      </c>
      <c r="R913" s="114">
        <v>17</v>
      </c>
      <c r="S913" s="129"/>
      <c r="T913" s="117">
        <f>SUM((AL20+AM20+AN19+AO19+AS17+AT17+AU16+AV16+AZ14+BA14+BE12+BF12+BG11+BH11+BI10+BJ10+BK9+BL9+BM8+BN8+BO7+BP7+BQ6+BR6+BS5+BT5+BU4+BV4)*-0.132/2,(AP18+AQ18+AR18+AW15+AX15+AY15+BB13+BC13+BD13)*-0.132/3,17)</f>
        <v>15.204461538461539</v>
      </c>
      <c r="U913" s="117">
        <f>Lefty!T913</f>
        <v>15.165538461538462</v>
      </c>
    </row>
    <row r="914" spans="2:21">
      <c r="B914" s="114">
        <v>36</v>
      </c>
      <c r="C914" s="74">
        <f t="shared" si="515"/>
        <v>34.5</v>
      </c>
      <c r="D914" s="74">
        <f t="shared" si="516"/>
        <v>33</v>
      </c>
      <c r="E914" s="74">
        <f t="shared" si="517"/>
        <v>31.5</v>
      </c>
      <c r="F914" s="114">
        <v>30</v>
      </c>
      <c r="G914" s="74">
        <f t="shared" si="518"/>
        <v>28.5</v>
      </c>
      <c r="H914" s="74">
        <f t="shared" si="519"/>
        <v>27</v>
      </c>
      <c r="I914" s="74">
        <f t="shared" si="520"/>
        <v>25.5</v>
      </c>
      <c r="J914" s="114">
        <f t="shared" si="521"/>
        <v>24</v>
      </c>
      <c r="K914" s="74">
        <f t="shared" si="534"/>
        <v>22.875</v>
      </c>
      <c r="L914" s="114">
        <f t="shared" si="496"/>
        <v>21.75</v>
      </c>
      <c r="M914" s="115">
        <f>SUM(0.166*(R914-L914),L914)</f>
        <v>20.961500000000001</v>
      </c>
      <c r="N914" s="115">
        <f>SUM(0.333*(R914-L914),L914)</f>
        <v>20.16825</v>
      </c>
      <c r="O914" s="74">
        <f>SUM(0.5*(R914-L914),L914)</f>
        <v>19.375</v>
      </c>
      <c r="P914" s="74">
        <f>SUM(0.666*(R914-L914),L914)</f>
        <v>18.586500000000001</v>
      </c>
      <c r="Q914" s="74">
        <f>SUM(0.832*(R914-L914),L914)</f>
        <v>17.798000000000002</v>
      </c>
      <c r="R914" s="114">
        <v>17</v>
      </c>
      <c r="S914" s="129"/>
      <c r="T914" s="117">
        <f>SUM((AJ20+AK20+AO18+AP18)*-0.132/2,(AL19+AM19+AN19+AQ17+AR17+AS17+AT16+AU16+AV16+AW15+AX15+AY15+AZ14+BA14+BB14+BC13+BD13+BE13+BF12+BG12+BH12+BI11+BJ11+BK11)*-0.132/3,(BL10+BM10+BQ6+BR6+BS5+BT5+BU4+BV4)*-0.132/2,(BN9+BO8+BP7)*-0.132,17)</f>
        <v>15.534461538461539</v>
      </c>
      <c r="U914" s="117">
        <f>Lefty!T914</f>
        <v>15.055538461538461</v>
      </c>
    </row>
    <row r="915" spans="2:21">
      <c r="B915" s="114">
        <v>37</v>
      </c>
      <c r="C915" s="74">
        <f t="shared" si="515"/>
        <v>35.25</v>
      </c>
      <c r="D915" s="74">
        <f t="shared" si="516"/>
        <v>33.5</v>
      </c>
      <c r="E915" s="74">
        <f t="shared" si="517"/>
        <v>31.75</v>
      </c>
      <c r="F915" s="114">
        <v>30</v>
      </c>
      <c r="G915" s="74">
        <f t="shared" si="518"/>
        <v>28.25</v>
      </c>
      <c r="H915" s="74">
        <f t="shared" si="519"/>
        <v>26.5</v>
      </c>
      <c r="I915" s="74">
        <f t="shared" si="520"/>
        <v>24.75</v>
      </c>
      <c r="J915" s="114">
        <f t="shared" si="521"/>
        <v>23</v>
      </c>
      <c r="K915" s="74">
        <f t="shared" si="534"/>
        <v>21.6875</v>
      </c>
      <c r="L915" s="114">
        <f t="shared" si="496"/>
        <v>20.375</v>
      </c>
      <c r="M915" s="115">
        <f>SUM(0.166*(R915-L915),L915)</f>
        <v>19.81475</v>
      </c>
      <c r="N915" s="115">
        <f>SUM(0.333*(R915-L915),L915)</f>
        <v>19.251125000000002</v>
      </c>
      <c r="O915" s="74">
        <f>SUM(0.5*(R915-L915),L915)</f>
        <v>18.6875</v>
      </c>
      <c r="P915" s="74">
        <f>SUM(0.666*(R915-L915),L915)</f>
        <v>18.12725</v>
      </c>
      <c r="Q915" s="74">
        <f>SUM(0.832*(R915-L915),L915)</f>
        <v>17.567</v>
      </c>
      <c r="R915" s="114">
        <v>17</v>
      </c>
      <c r="S915" s="129"/>
      <c r="T915" s="117">
        <f>SUM((AH20+AI20+AJ20+AK19+AL19+AM19+AN18+AO18+AP18+AQ17+AR17+AS17+AT16+AU16+AV16+BA14+BB14+BC14+BH12+BI12+BJ12+BK11+BL11+BM11)*-0.132/3,(AW15+AX15+AY15+AZ15+BD13+BE13+BF13+BG13)*-0.132/4,(BN10+BO10+BU4+BV4)*-0.132/2,(BP9+BQ8+BR7+BS6+BT5)*-0.132,17)</f>
        <v>15.523461538461538</v>
      </c>
      <c r="U915" s="117">
        <f>Lefty!T915</f>
        <v>15.121538461538462</v>
      </c>
    </row>
    <row r="916" spans="2:21">
      <c r="B916" s="114">
        <v>38</v>
      </c>
      <c r="C916" s="74">
        <f t="shared" si="515"/>
        <v>36</v>
      </c>
      <c r="D916" s="74">
        <f t="shared" si="516"/>
        <v>34</v>
      </c>
      <c r="E916" s="74">
        <f t="shared" si="517"/>
        <v>32</v>
      </c>
      <c r="F916" s="114">
        <v>30</v>
      </c>
      <c r="G916" s="74">
        <f t="shared" si="518"/>
        <v>28</v>
      </c>
      <c r="H916" s="74">
        <f t="shared" si="519"/>
        <v>26</v>
      </c>
      <c r="I916" s="74">
        <f t="shared" si="520"/>
        <v>24</v>
      </c>
      <c r="J916" s="114">
        <f t="shared" si="521"/>
        <v>22</v>
      </c>
      <c r="K916" s="74">
        <f t="shared" si="534"/>
        <v>20.5</v>
      </c>
      <c r="L916" s="114">
        <f t="shared" si="496"/>
        <v>19</v>
      </c>
      <c r="M916" s="115">
        <f>SUM(0.166*(R916-L916),L916)</f>
        <v>18.667999999999999</v>
      </c>
      <c r="N916" s="115">
        <f>SUM(0.333*(R916-L916),L916)</f>
        <v>18.334</v>
      </c>
      <c r="O916" s="74">
        <f>SUM(0.5*(R916-L916),L916)</f>
        <v>18</v>
      </c>
      <c r="P916" s="74">
        <f>SUM(0.666*(R916-L916),L916)</f>
        <v>17.667999999999999</v>
      </c>
      <c r="Q916" s="74">
        <f>SUM(0.832*(R916-L916),L916)</f>
        <v>17.335999999999999</v>
      </c>
      <c r="R916" s="114">
        <v>17</v>
      </c>
      <c r="S916" s="129"/>
      <c r="T916" s="117">
        <f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16.02946153846154</v>
      </c>
      <c r="U916" s="117">
        <f>Lefty!T916</f>
        <v>15.099538461538462</v>
      </c>
    </row>
    <row r="917" spans="2:21">
      <c r="B917" s="114">
        <v>39</v>
      </c>
      <c r="C917" s="74">
        <f t="shared" si="515"/>
        <v>36.75</v>
      </c>
      <c r="D917" s="74">
        <f t="shared" si="516"/>
        <v>34.5</v>
      </c>
      <c r="E917" s="74">
        <f t="shared" si="517"/>
        <v>32.25</v>
      </c>
      <c r="F917" s="114">
        <v>30</v>
      </c>
      <c r="G917" s="74">
        <f t="shared" si="518"/>
        <v>27.75</v>
      </c>
      <c r="H917" s="74">
        <f t="shared" si="519"/>
        <v>25.5</v>
      </c>
      <c r="I917" s="74">
        <f t="shared" si="520"/>
        <v>23.25</v>
      </c>
      <c r="J917" s="114">
        <f t="shared" si="521"/>
        <v>21</v>
      </c>
      <c r="K917" s="74">
        <f t="shared" si="534"/>
        <v>19.3125</v>
      </c>
      <c r="L917" s="114">
        <f t="shared" si="496"/>
        <v>17.625</v>
      </c>
      <c r="M917" s="115">
        <f>SUM(0.166*(R917-L917),L917)</f>
        <v>17.521249999999998</v>
      </c>
      <c r="N917" s="115">
        <f>SUM(0.333*(R917-L917),L917)</f>
        <v>17.416875000000001</v>
      </c>
      <c r="O917" s="74">
        <f>SUM(0.5*(R917-L917),L917)</f>
        <v>17.3125</v>
      </c>
      <c r="P917" s="74">
        <f>SUM(0.666*(R917-L917),L917)</f>
        <v>17.208749999999998</v>
      </c>
      <c r="Q917" s="74">
        <f>SUM(0.832*(R917-L917),L917)</f>
        <v>17.105</v>
      </c>
      <c r="R917" s="114">
        <v>17</v>
      </c>
      <c r="S917" s="129"/>
      <c r="T917" s="117">
        <f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15.950261538461538</v>
      </c>
      <c r="U917" s="117">
        <f>Lefty!T917</f>
        <v>15.31953846153846</v>
      </c>
    </row>
    <row r="918" spans="2:21">
      <c r="B918" s="114"/>
      <c r="C918" s="74"/>
      <c r="D918" s="74"/>
      <c r="E918" s="74"/>
      <c r="F918" s="114"/>
      <c r="G918" s="74"/>
      <c r="H918" s="74"/>
      <c r="I918" s="74"/>
      <c r="J918" s="114"/>
      <c r="K918" s="74"/>
      <c r="L918" s="114"/>
      <c r="M918" s="115"/>
      <c r="N918" s="115"/>
      <c r="O918" s="74"/>
      <c r="P918" s="74"/>
      <c r="Q918" s="74"/>
      <c r="R918" s="114"/>
      <c r="S918" s="129"/>
    </row>
    <row r="919" spans="2:21">
      <c r="B919" s="114">
        <v>36</v>
      </c>
      <c r="C919" s="74">
        <f t="shared" si="515"/>
        <v>34.75</v>
      </c>
      <c r="D919" s="74">
        <f t="shared" si="516"/>
        <v>33.5</v>
      </c>
      <c r="E919" s="74">
        <f t="shared" si="517"/>
        <v>32.25</v>
      </c>
      <c r="F919" s="114">
        <v>31</v>
      </c>
      <c r="G919" s="74">
        <f t="shared" si="518"/>
        <v>29.75</v>
      </c>
      <c r="H919" s="74">
        <f t="shared" si="519"/>
        <v>28.5</v>
      </c>
      <c r="I919" s="74">
        <f t="shared" si="520"/>
        <v>27.25</v>
      </c>
      <c r="J919" s="114">
        <f t="shared" si="521"/>
        <v>26</v>
      </c>
      <c r="K919" s="74">
        <f t="shared" ref="K919:K922" si="535">SUM(0.5*(L919-J919),J919)</f>
        <v>25.0625</v>
      </c>
      <c r="L919" s="114">
        <f t="shared" ref="L919:L928" si="536">SUM(J919,J919,-H919,0.25*ABS(J919-H919))</f>
        <v>24.125</v>
      </c>
      <c r="M919" s="115">
        <f>SUM(0.166*(R919-L919),L919)</f>
        <v>22.942250000000001</v>
      </c>
      <c r="N919" s="115">
        <f>SUM(0.333*(R919-L919),L919)</f>
        <v>21.752375000000001</v>
      </c>
      <c r="O919" s="74">
        <f>SUM(0.5*(R919-L919),L919)</f>
        <v>20.5625</v>
      </c>
      <c r="P919" s="74">
        <f>SUM(0.666*(R919-L919),L919)</f>
        <v>19.379750000000001</v>
      </c>
      <c r="Q919" s="74">
        <f>SUM(0.832*(R919-L919),L919)</f>
        <v>18.196999999999999</v>
      </c>
      <c r="R919" s="114">
        <v>17</v>
      </c>
      <c r="S919" s="129"/>
      <c r="T919" s="117">
        <f>SUM((AJ20+AK20+AL19+AM19+AQ17+AR17+AS16+AT16+AX14+AY14+BC12+BD12+BE11+BF11+BG10+BH10+BI9+BJ9+BK8+BL8+BM7+BN7+BO6+BP6)*-0.132/2,(AN18+AO18+AP18+AU15+AV15+AW15+AZ13+BA13+BB13+BQ5+BR5+BS5+BT4+BU4+BV4)*-0.132/3,17)</f>
        <v>15.908461538461538</v>
      </c>
      <c r="U919" s="117">
        <f>Lefty!T919</f>
        <v>14.703538461538461</v>
      </c>
    </row>
    <row r="920" spans="2:21">
      <c r="B920" s="114">
        <v>37</v>
      </c>
      <c r="C920" s="74">
        <f t="shared" si="515"/>
        <v>35.5</v>
      </c>
      <c r="D920" s="74">
        <f t="shared" si="516"/>
        <v>34</v>
      </c>
      <c r="E920" s="74">
        <f t="shared" si="517"/>
        <v>32.5</v>
      </c>
      <c r="F920" s="114">
        <v>31</v>
      </c>
      <c r="G920" s="74">
        <f t="shared" si="518"/>
        <v>29.5</v>
      </c>
      <c r="H920" s="74">
        <f t="shared" si="519"/>
        <v>28</v>
      </c>
      <c r="I920" s="74">
        <f t="shared" si="520"/>
        <v>26.5</v>
      </c>
      <c r="J920" s="114">
        <f t="shared" si="521"/>
        <v>25</v>
      </c>
      <c r="K920" s="74">
        <f t="shared" si="535"/>
        <v>23.875</v>
      </c>
      <c r="L920" s="114">
        <f t="shared" si="536"/>
        <v>22.75</v>
      </c>
      <c r="M920" s="115">
        <f>SUM(0.166*(R920-L920),L920)</f>
        <v>21.795500000000001</v>
      </c>
      <c r="N920" s="115">
        <f>SUM(0.333*(R920-L920),L920)</f>
        <v>20.835249999999998</v>
      </c>
      <c r="O920" s="74">
        <f>SUM(0.5*(R920-L920),L920)</f>
        <v>19.875</v>
      </c>
      <c r="P920" s="74">
        <f>SUM(0.666*(R920-L920),L920)</f>
        <v>18.920500000000001</v>
      </c>
      <c r="Q920" s="74">
        <f>SUM(0.832*(R920-L920),L920)</f>
        <v>17.966000000000001</v>
      </c>
      <c r="R920" s="114">
        <v>17</v>
      </c>
      <c r="S920" s="129"/>
      <c r="T920" s="117">
        <f>SUM((AH20+AI20+AM18+AN18)*-0.132/2,(AJ19+AK19+AL19+AO17+AP17+AQ17+AR16+AS16+AT16+AU15+AV15+AW15+AX14+AY14+AZ14+BA13+BB13+BC13+BD12+BE12+BF12+BG11+BH11+BI11)*-0.132/3,(BJ10+BK10)*-0.132/2,(BM8+BN8+BO7+BP7+BQ6+BR6+BS5+BT5+BU4+BV4)*-0.132/2,BL9*-0.132,17)</f>
        <v>15.424461538461538</v>
      </c>
      <c r="U920" s="117">
        <f>Lefty!T920</f>
        <v>14.81353846153846</v>
      </c>
    </row>
    <row r="921" spans="2:21">
      <c r="B921" s="114">
        <v>38</v>
      </c>
      <c r="C921" s="74">
        <f t="shared" si="515"/>
        <v>36.25</v>
      </c>
      <c r="D921" s="74">
        <f t="shared" si="516"/>
        <v>34.5</v>
      </c>
      <c r="E921" s="74">
        <f t="shared" si="517"/>
        <v>32.75</v>
      </c>
      <c r="F921" s="114">
        <v>31</v>
      </c>
      <c r="G921" s="74">
        <f t="shared" si="518"/>
        <v>29.25</v>
      </c>
      <c r="H921" s="74">
        <f t="shared" si="519"/>
        <v>27.5</v>
      </c>
      <c r="I921" s="74">
        <f t="shared" si="520"/>
        <v>25.75</v>
      </c>
      <c r="J921" s="114">
        <f t="shared" si="521"/>
        <v>24</v>
      </c>
      <c r="K921" s="74">
        <f t="shared" si="535"/>
        <v>22.6875</v>
      </c>
      <c r="L921" s="114">
        <f t="shared" si="536"/>
        <v>21.375</v>
      </c>
      <c r="M921" s="115">
        <f>SUM(0.166*(R921-L921),L921)</f>
        <v>20.64875</v>
      </c>
      <c r="N921" s="115">
        <f>SUM(0.333*(R921-L921),L921)</f>
        <v>19.918125</v>
      </c>
      <c r="O921" s="74">
        <f>SUM(0.5*(R921-L921),L921)</f>
        <v>19.1875</v>
      </c>
      <c r="P921" s="74">
        <f>SUM(0.666*(R921-L921),L921)</f>
        <v>18.46125</v>
      </c>
      <c r="Q921" s="74">
        <f>SUM(0.832*(R921-L921),L921)</f>
        <v>17.734999999999999</v>
      </c>
      <c r="R921" s="114">
        <v>17</v>
      </c>
      <c r="S921" s="129"/>
      <c r="T921" s="117">
        <f>SUM((AF20+AG20+AH20+AI19+AJ19+AK19+AL18+AM18+AN18+AO17+AP17+AQ17+AR16+AS16+AT16+AY14+AZ14+BA14+BF12+BG12+BH12+BI11+BJ11+BK11)*-0.132/3,(AU15+AV15+AW15+AX15+BB13+BC13+BD13+BE13)*-0.132/4,(BL10+BM10+BQ6+BR6+BS5+BT5+BU4+BV4)*-0.132/2,(BN9+BO8+BP7)*-0.132,17)</f>
        <v>15.864461538461537</v>
      </c>
      <c r="U921" s="117">
        <f>Lefty!T921</f>
        <v>14.879538461538461</v>
      </c>
    </row>
    <row r="922" spans="2:21">
      <c r="B922" s="114">
        <v>39</v>
      </c>
      <c r="C922" s="74">
        <f t="shared" si="515"/>
        <v>37</v>
      </c>
      <c r="D922" s="74">
        <f t="shared" si="516"/>
        <v>35</v>
      </c>
      <c r="E922" s="74">
        <f t="shared" si="517"/>
        <v>33</v>
      </c>
      <c r="F922" s="114">
        <v>31</v>
      </c>
      <c r="G922" s="74">
        <f t="shared" si="518"/>
        <v>29</v>
      </c>
      <c r="H922" s="74">
        <f t="shared" si="519"/>
        <v>27</v>
      </c>
      <c r="I922" s="74">
        <f t="shared" si="520"/>
        <v>25</v>
      </c>
      <c r="J922" s="114">
        <f t="shared" si="521"/>
        <v>23</v>
      </c>
      <c r="K922" s="74">
        <f t="shared" si="535"/>
        <v>21.5</v>
      </c>
      <c r="L922" s="114">
        <f t="shared" si="536"/>
        <v>20</v>
      </c>
      <c r="M922" s="115">
        <f>SUM(0.166*(R922-L922),L922)</f>
        <v>19.501999999999999</v>
      </c>
      <c r="N922" s="115">
        <f>SUM(0.333*(R922-L922),L922)</f>
        <v>19.001000000000001</v>
      </c>
      <c r="O922" s="74">
        <f>SUM(0.5*(R922-L922),L922)</f>
        <v>18.5</v>
      </c>
      <c r="P922" s="74">
        <f>SUM(0.666*(R922-L922),L922)</f>
        <v>18.001999999999999</v>
      </c>
      <c r="Q922" s="74">
        <f>SUM(0.832*(R922-L922),L922)</f>
        <v>17.504000000000001</v>
      </c>
      <c r="R922" s="114">
        <v>17</v>
      </c>
      <c r="S922" s="129"/>
      <c r="T922" s="117">
        <f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15.864461538461537</v>
      </c>
      <c r="U922" s="117">
        <f>Lefty!T922</f>
        <v>15.066538461538462</v>
      </c>
    </row>
    <row r="923" spans="2:21">
      <c r="B923" s="114"/>
      <c r="C923" s="74"/>
      <c r="D923" s="74"/>
      <c r="E923" s="74"/>
      <c r="F923" s="114"/>
      <c r="G923" s="74"/>
      <c r="H923" s="74"/>
      <c r="I923" s="74"/>
      <c r="J923" s="114"/>
      <c r="K923" s="74"/>
      <c r="L923" s="114"/>
      <c r="M923" s="115"/>
      <c r="N923" s="115"/>
      <c r="O923" s="74"/>
      <c r="P923" s="74"/>
      <c r="Q923" s="74"/>
      <c r="R923" s="114"/>
      <c r="S923" s="129"/>
    </row>
    <row r="924" spans="2:21">
      <c r="B924" s="114">
        <v>37</v>
      </c>
      <c r="C924" s="74">
        <f t="shared" si="515"/>
        <v>35.75</v>
      </c>
      <c r="D924" s="74">
        <f t="shared" si="516"/>
        <v>34.5</v>
      </c>
      <c r="E924" s="74">
        <f t="shared" si="517"/>
        <v>33.25</v>
      </c>
      <c r="F924" s="114">
        <v>32</v>
      </c>
      <c r="G924" s="74">
        <f t="shared" si="518"/>
        <v>30.75</v>
      </c>
      <c r="H924" s="74">
        <f t="shared" si="519"/>
        <v>29.5</v>
      </c>
      <c r="I924" s="74">
        <f t="shared" si="520"/>
        <v>28.25</v>
      </c>
      <c r="J924" s="114">
        <f t="shared" si="521"/>
        <v>27</v>
      </c>
      <c r="K924" s="74">
        <f t="shared" ref="K924:K926" si="537">SUM(0.5*(L924-J924),J924)</f>
        <v>25.75</v>
      </c>
      <c r="L924" s="114">
        <f>SUM(J924,J924,-H924)</f>
        <v>24.5</v>
      </c>
      <c r="M924" s="115">
        <f>SUM(0.166*(R924-L924),L924)</f>
        <v>23.254999999999999</v>
      </c>
      <c r="N924" s="115">
        <f>SUM(0.333*(R924-L924),L924)</f>
        <v>22.002500000000001</v>
      </c>
      <c r="O924" s="74">
        <f>SUM(0.5*(R924-L924),L924)</f>
        <v>20.75</v>
      </c>
      <c r="P924" s="74">
        <f>SUM(0.666*(R924-L924),L924)</f>
        <v>19.504999999999999</v>
      </c>
      <c r="Q924" s="74">
        <f>SUM(0.832*(R924-L924),L924)</f>
        <v>18.260000000000002</v>
      </c>
      <c r="R924" s="114">
        <v>17</v>
      </c>
      <c r="S924" s="129"/>
      <c r="T924" s="117">
        <f>SUM((AH20+AI20+AJ19+AK19+AO17+AP17+AQ16+AR16++AV14+AW14+BA12+BB12+BF10+BG10+BK8+BL8+BP6+BQ6+BU4+BV4)*-0.132/2,(AL18+AM18+AN18+AS15+AT15+AU15+AX13+AY13+AZ13+BC11+BD11+BE11+BH9+BI9+BJ9+BM7+BN7+BO7+BR5+BS5+BT5)*-0.132/3,17)</f>
        <v>15.534461538461539</v>
      </c>
      <c r="U924" s="117">
        <f>Lefty!T924</f>
        <v>14.703538461538463</v>
      </c>
    </row>
    <row r="925" spans="2:21">
      <c r="B925" s="114">
        <v>38</v>
      </c>
      <c r="C925" s="74">
        <f t="shared" si="515"/>
        <v>36.5</v>
      </c>
      <c r="D925" s="74">
        <f t="shared" si="516"/>
        <v>35</v>
      </c>
      <c r="E925" s="74">
        <f t="shared" si="517"/>
        <v>33.5</v>
      </c>
      <c r="F925" s="114">
        <v>32</v>
      </c>
      <c r="G925" s="74">
        <f t="shared" si="518"/>
        <v>30.5</v>
      </c>
      <c r="H925" s="74">
        <f t="shared" si="519"/>
        <v>29</v>
      </c>
      <c r="I925" s="74">
        <f t="shared" si="520"/>
        <v>27.5</v>
      </c>
      <c r="J925" s="114">
        <f t="shared" si="521"/>
        <v>26</v>
      </c>
      <c r="K925" s="74">
        <f t="shared" si="537"/>
        <v>24.875</v>
      </c>
      <c r="L925" s="114">
        <f t="shared" si="536"/>
        <v>23.75</v>
      </c>
      <c r="M925" s="115">
        <f>SUM(0.166*(R925-L925),L925)</f>
        <v>22.6295</v>
      </c>
      <c r="N925" s="115">
        <f>SUM(0.333*(R925-L925),L925)</f>
        <v>21.50225</v>
      </c>
      <c r="O925" s="74">
        <f>SUM(0.5*(R925-L925),L925)</f>
        <v>20.375</v>
      </c>
      <c r="P925" s="74">
        <f>SUM(0.666*(R925-L925),L925)</f>
        <v>19.2545</v>
      </c>
      <c r="Q925" s="74">
        <f>SUM(0.832*(R925-L925),L925)</f>
        <v>18.134</v>
      </c>
      <c r="R925" s="114">
        <v>17</v>
      </c>
      <c r="S925" s="129"/>
      <c r="T925" s="117">
        <f>SUM((AF20+AG20+AK18+AL18)*-0.132/2,(AH19+AI19+AJ19+AM17+AN17+AO17+AP16+AQ16+AR16+AS15+AT15+AU15+AV14+AW14+AX14+AY13+AZ13+BA13+BB12+BC12+BD12+BE11+BF11+BG11)*-0.132/3,(BH10+BI10+BJ9+BK9+BL8+BM8+BN7+BO7+BP6+BQ6+BR5+BS5)*-0.132/2,(BT4+BU4+BV4)*-0.132/3,17)</f>
        <v>15.952461538461538</v>
      </c>
      <c r="U925" s="117">
        <f>Lefty!T925</f>
        <v>14.725538461538461</v>
      </c>
    </row>
    <row r="926" spans="2:21">
      <c r="B926" s="114">
        <v>39</v>
      </c>
      <c r="C926" s="74">
        <f t="shared" si="515"/>
        <v>37.25</v>
      </c>
      <c r="D926" s="74">
        <f t="shared" si="516"/>
        <v>35.5</v>
      </c>
      <c r="E926" s="74">
        <f t="shared" si="517"/>
        <v>33.75</v>
      </c>
      <c r="F926" s="114">
        <v>32</v>
      </c>
      <c r="G926" s="74">
        <f t="shared" si="518"/>
        <v>30.25</v>
      </c>
      <c r="H926" s="74">
        <f t="shared" si="519"/>
        <v>28.5</v>
      </c>
      <c r="I926" s="74">
        <f t="shared" si="520"/>
        <v>26.75</v>
      </c>
      <c r="J926" s="114">
        <f t="shared" si="521"/>
        <v>25</v>
      </c>
      <c r="K926" s="74">
        <f t="shared" si="537"/>
        <v>23.6875</v>
      </c>
      <c r="L926" s="114">
        <f t="shared" si="536"/>
        <v>22.375</v>
      </c>
      <c r="M926" s="115">
        <f>SUM(0.166*(R926-L926),L926)</f>
        <v>21.482749999999999</v>
      </c>
      <c r="N926" s="115">
        <f>SUM(0.333*(R926-L926),L926)</f>
        <v>20.585125000000001</v>
      </c>
      <c r="O926" s="74">
        <f>SUM(0.5*(R926-L926),L926)</f>
        <v>19.6875</v>
      </c>
      <c r="P926" s="74">
        <f>SUM(0.666*(R926-L926),L926)</f>
        <v>18.795249999999999</v>
      </c>
      <c r="Q926" s="74">
        <f>SUM(0.832*(R926-L926),L926)</f>
        <v>17.902999999999999</v>
      </c>
      <c r="R926" s="114">
        <v>17</v>
      </c>
      <c r="S926" s="129"/>
      <c r="T926" s="117">
        <f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15.721461538461538</v>
      </c>
      <c r="U926" s="117">
        <f>Lefty!T926</f>
        <v>14.835538461538462</v>
      </c>
    </row>
    <row r="927" spans="2:21">
      <c r="B927" s="114"/>
      <c r="C927" s="74"/>
      <c r="D927" s="74"/>
      <c r="E927" s="74"/>
      <c r="F927" s="114"/>
      <c r="G927" s="74"/>
      <c r="H927" s="74"/>
      <c r="I927" s="74"/>
      <c r="J927" s="114"/>
      <c r="K927" s="74"/>
      <c r="L927" s="114"/>
      <c r="M927" s="115"/>
      <c r="N927" s="115"/>
      <c r="O927" s="74"/>
      <c r="P927" s="74"/>
      <c r="Q927" s="74"/>
      <c r="R927" s="114"/>
      <c r="S927" s="129"/>
    </row>
    <row r="928" spans="2:21">
      <c r="B928" s="114">
        <v>39</v>
      </c>
      <c r="C928" s="74">
        <f t="shared" si="515"/>
        <v>37.5</v>
      </c>
      <c r="D928" s="74">
        <f t="shared" si="516"/>
        <v>36</v>
      </c>
      <c r="E928" s="74">
        <f t="shared" si="517"/>
        <v>34.5</v>
      </c>
      <c r="F928" s="114">
        <v>33</v>
      </c>
      <c r="G928" s="74">
        <f t="shared" si="518"/>
        <v>31.5</v>
      </c>
      <c r="H928" s="74">
        <f t="shared" si="519"/>
        <v>30</v>
      </c>
      <c r="I928" s="74">
        <f t="shared" si="520"/>
        <v>28.5</v>
      </c>
      <c r="J928" s="114">
        <f t="shared" si="521"/>
        <v>27</v>
      </c>
      <c r="K928" s="74">
        <f t="shared" ref="K928" si="538">SUM(0.5*(L928-J928),J928)</f>
        <v>25.875</v>
      </c>
      <c r="L928" s="114">
        <f t="shared" si="536"/>
        <v>24.75</v>
      </c>
      <c r="M928" s="115">
        <f>SUM(0.166*(R928-L928),L928)</f>
        <v>23.4635</v>
      </c>
      <c r="N928" s="115">
        <f>SUM(0.333*(R928-L928),L928)</f>
        <v>22.169249999999998</v>
      </c>
      <c r="O928" s="74">
        <f>SUM(0.5*(R928-L928),L928)</f>
        <v>20.875</v>
      </c>
      <c r="P928" s="74">
        <f>SUM(0.666*(R928-L928),L928)</f>
        <v>19.5885</v>
      </c>
      <c r="Q928" s="74">
        <f>SUM(0.832*(R928-L928),L928)</f>
        <v>18.302</v>
      </c>
      <c r="R928" s="114">
        <v>17</v>
      </c>
      <c r="S928" s="129"/>
      <c r="T928" s="117">
        <f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16.238461538461539</v>
      </c>
      <c r="U928" s="117">
        <f>Lefty!T928</f>
        <v>15.099538461538462</v>
      </c>
    </row>
    <row r="930" spans="1:6">
      <c r="A930" s="84" t="s">
        <v>179</v>
      </c>
      <c r="B930" s="111">
        <f>COUNT(B608:B928)</f>
        <v>289</v>
      </c>
      <c r="C930" s="111" t="s">
        <v>182</v>
      </c>
      <c r="D930" s="111">
        <f>$B$930</f>
        <v>289</v>
      </c>
      <c r="E930" s="111" t="s">
        <v>181</v>
      </c>
      <c r="F930" s="111">
        <f>PRODUCT(B930,2)</f>
        <v>578</v>
      </c>
    </row>
    <row r="932" spans="1:6">
      <c r="A932" s="84" t="s">
        <v>180</v>
      </c>
      <c r="B932" s="111">
        <f>SUM(B291,B596,B930)</f>
        <v>797</v>
      </c>
      <c r="C932" s="111" t="s">
        <v>182</v>
      </c>
      <c r="D932" s="111">
        <f>$B$932</f>
        <v>797</v>
      </c>
      <c r="E932" s="111" t="s">
        <v>181</v>
      </c>
      <c r="F932" s="111">
        <f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000000000000003" right="0.59" top="0.38" bottom="0.38" header="0.3" footer="0.3"/>
  <pageSetup scale="70" orientation="landscape" r:id="rId1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DC932"/>
  <sheetViews>
    <sheetView zoomScale="80" zoomScaleNormal="80" workbookViewId="0">
      <selection activeCell="B1" sqref="B1"/>
    </sheetView>
  </sheetViews>
  <sheetFormatPr defaultRowHeight="12.75"/>
  <cols>
    <col min="1" max="1" width="29.140625" customWidth="1"/>
    <col min="19" max="19" width="4.85546875" customWidth="1"/>
    <col min="20" max="21" width="9.140625" customWidth="1"/>
    <col min="22" max="23" width="4.85546875" customWidth="1"/>
    <col min="25" max="29" width="0" hidden="1" customWidth="1"/>
  </cols>
  <sheetData>
    <row r="1" spans="1:107">
      <c r="B1" s="111"/>
      <c r="F1" s="111"/>
      <c r="J1" s="111"/>
      <c r="N1" s="111"/>
      <c r="R1" s="111"/>
      <c r="S1" s="128"/>
      <c r="T1" s="114"/>
      <c r="U1" s="114"/>
      <c r="V1" s="129"/>
      <c r="W1" s="114"/>
    </row>
    <row r="2" spans="1:107" ht="25.5">
      <c r="B2" s="111"/>
      <c r="F2" s="111"/>
      <c r="I2" s="116" t="s">
        <v>173</v>
      </c>
      <c r="J2" s="111"/>
      <c r="N2" s="111"/>
      <c r="R2" s="111"/>
      <c r="S2" s="128"/>
      <c r="T2" s="125" t="s">
        <v>172</v>
      </c>
      <c r="U2" s="114"/>
      <c r="V2" s="129"/>
      <c r="W2" s="114"/>
      <c r="AD2" s="121" t="s">
        <v>168</v>
      </c>
      <c r="AE2" s="122"/>
      <c r="AF2" s="121" t="s">
        <v>167</v>
      </c>
      <c r="AG2" s="122"/>
      <c r="AH2" s="121" t="s">
        <v>166</v>
      </c>
      <c r="AI2" s="122"/>
      <c r="AJ2" s="121" t="s">
        <v>165</v>
      </c>
      <c r="AK2" s="122"/>
      <c r="AL2" s="121" t="s">
        <v>164</v>
      </c>
      <c r="AM2" s="122"/>
      <c r="AN2" s="121" t="s">
        <v>163</v>
      </c>
      <c r="AO2" s="122"/>
      <c r="AP2" s="121" t="s">
        <v>162</v>
      </c>
      <c r="AQ2" s="122"/>
      <c r="AR2" s="121" t="s">
        <v>161</v>
      </c>
      <c r="AS2" s="122"/>
      <c r="AT2" s="121" t="s">
        <v>160</v>
      </c>
      <c r="AU2" s="122"/>
      <c r="AV2" s="121" t="s">
        <v>159</v>
      </c>
      <c r="AW2" s="122"/>
      <c r="AX2" s="121" t="s">
        <v>158</v>
      </c>
      <c r="AY2" s="122"/>
      <c r="AZ2" s="121" t="s">
        <v>157</v>
      </c>
      <c r="BA2" s="122"/>
      <c r="BB2" s="121" t="s">
        <v>156</v>
      </c>
      <c r="BC2" s="122"/>
      <c r="BD2" s="121" t="s">
        <v>155</v>
      </c>
      <c r="BE2" s="122"/>
      <c r="BF2" s="121" t="s">
        <v>154</v>
      </c>
      <c r="BG2" s="122"/>
      <c r="BH2" s="121" t="s">
        <v>153</v>
      </c>
      <c r="BI2" s="122"/>
      <c r="BJ2" s="121" t="s">
        <v>152</v>
      </c>
      <c r="BK2" s="122"/>
      <c r="BL2" s="121" t="s">
        <v>151</v>
      </c>
      <c r="BM2" s="122"/>
      <c r="BN2" s="121" t="s">
        <v>150</v>
      </c>
      <c r="BO2" s="122"/>
      <c r="BP2" s="122"/>
      <c r="BQ2" s="122"/>
      <c r="BR2" s="121" t="s">
        <v>135</v>
      </c>
      <c r="BS2" s="122"/>
      <c r="BT2" s="121" t="s">
        <v>134</v>
      </c>
      <c r="BU2" s="122"/>
      <c r="BV2" s="121" t="s">
        <v>133</v>
      </c>
      <c r="BW2" s="122"/>
      <c r="BX2" s="121" t="s">
        <v>132</v>
      </c>
      <c r="BY2" s="122"/>
      <c r="BZ2" s="121" t="s">
        <v>131</v>
      </c>
      <c r="CA2" s="122"/>
      <c r="CB2" s="121" t="s">
        <v>136</v>
      </c>
      <c r="CC2" s="122"/>
      <c r="CD2" s="121" t="s">
        <v>137</v>
      </c>
      <c r="CE2" s="121"/>
      <c r="CF2" s="121" t="s">
        <v>138</v>
      </c>
      <c r="CG2" s="122"/>
      <c r="CH2" s="121" t="s">
        <v>139</v>
      </c>
      <c r="CI2" s="122"/>
      <c r="CJ2" s="121" t="s">
        <v>140</v>
      </c>
      <c r="CK2" s="122"/>
      <c r="CL2" s="121" t="s">
        <v>141</v>
      </c>
      <c r="CM2" s="122"/>
      <c r="CN2" s="121" t="s">
        <v>142</v>
      </c>
      <c r="CO2" s="122"/>
      <c r="CP2" s="121" t="s">
        <v>143</v>
      </c>
      <c r="CQ2" s="122"/>
      <c r="CR2" s="121" t="s">
        <v>144</v>
      </c>
      <c r="CS2" s="122"/>
      <c r="CT2" s="121" t="s">
        <v>145</v>
      </c>
      <c r="CU2" s="122"/>
      <c r="CV2" s="121" t="s">
        <v>146</v>
      </c>
      <c r="CW2" s="122"/>
      <c r="CX2" s="121" t="s">
        <v>147</v>
      </c>
      <c r="CY2" s="122"/>
      <c r="CZ2" s="121" t="s">
        <v>148</v>
      </c>
      <c r="DA2" s="122"/>
      <c r="DB2" s="121" t="s">
        <v>149</v>
      </c>
    </row>
    <row r="3" spans="1:107">
      <c r="B3" s="111"/>
      <c r="F3" s="111"/>
      <c r="J3" s="111"/>
      <c r="N3" s="111"/>
      <c r="R3" s="111"/>
      <c r="S3" s="128"/>
      <c r="T3" s="114"/>
      <c r="U3" s="114"/>
      <c r="V3" s="129"/>
      <c r="W3" s="114"/>
      <c r="X3" s="120" t="str">
        <f>'77'!D41</f>
        <v>Distance</v>
      </c>
      <c r="Y3" s="120">
        <f>'77'!E41</f>
        <v>0</v>
      </c>
      <c r="Z3" s="120">
        <f>'77'!F41</f>
        <v>0</v>
      </c>
      <c r="AA3" s="120">
        <f>'77'!G41</f>
        <v>0</v>
      </c>
      <c r="AB3" s="120">
        <f>'77'!H41</f>
        <v>0</v>
      </c>
      <c r="AC3" s="120">
        <f>'77'!I41</f>
        <v>0</v>
      </c>
      <c r="AD3" s="120" t="str">
        <f>'77'!CI41</f>
        <v>R1</v>
      </c>
      <c r="AE3" s="120" t="str">
        <f>'77'!CH41</f>
        <v>R1.5</v>
      </c>
      <c r="AF3" s="120" t="str">
        <f>'77'!CG41</f>
        <v>R2</v>
      </c>
      <c r="AG3" s="120" t="str">
        <f>'77'!CF41</f>
        <v>R2.5</v>
      </c>
      <c r="AH3" s="120" t="str">
        <f>'77'!CE41</f>
        <v>R3</v>
      </c>
      <c r="AI3" s="120" t="str">
        <f>'77'!CD41</f>
        <v>R3.5</v>
      </c>
      <c r="AJ3" s="120" t="str">
        <f>'77'!CC41</f>
        <v>R4</v>
      </c>
      <c r="AK3" s="120" t="str">
        <f>'77'!CB41</f>
        <v>R4.5</v>
      </c>
      <c r="AL3" s="120" t="str">
        <f>'77'!CA41</f>
        <v>R5</v>
      </c>
      <c r="AM3" s="120" t="str">
        <f>'77'!BZ41</f>
        <v>R5.5</v>
      </c>
      <c r="AN3" s="120" t="str">
        <f>'77'!BY41</f>
        <v>R6</v>
      </c>
      <c r="AO3" s="120" t="str">
        <f>'77'!BX41</f>
        <v>R6.5</v>
      </c>
      <c r="AP3" s="120" t="str">
        <f>'77'!BW41</f>
        <v>R7</v>
      </c>
      <c r="AQ3" s="120" t="str">
        <f>'77'!BV41</f>
        <v>R7.5</v>
      </c>
      <c r="AR3" s="120" t="str">
        <f>'77'!BU41</f>
        <v>R8</v>
      </c>
      <c r="AS3" s="120" t="str">
        <f>'77'!BT41</f>
        <v>R8.5</v>
      </c>
      <c r="AT3" s="120" t="str">
        <f>'77'!BS41</f>
        <v>R9</v>
      </c>
      <c r="AU3" s="120" t="str">
        <f>'77'!BR41</f>
        <v>R9.5</v>
      </c>
      <c r="AV3" s="120" t="str">
        <f>'77'!BQ41</f>
        <v>R10</v>
      </c>
      <c r="AW3" s="120" t="str">
        <f>'77'!BP41</f>
        <v>R10.5</v>
      </c>
      <c r="AX3" s="120" t="str">
        <f>'77'!BO41</f>
        <v>R11</v>
      </c>
      <c r="AY3" s="120" t="str">
        <f>'77'!BN41</f>
        <v>R11.5</v>
      </c>
      <c r="AZ3" s="120" t="str">
        <f>'77'!BM41</f>
        <v>R12</v>
      </c>
      <c r="BA3" s="120" t="str">
        <f>'77'!BL41</f>
        <v>R12.5</v>
      </c>
      <c r="BB3" s="120" t="str">
        <f>'77'!BK41</f>
        <v>R13</v>
      </c>
      <c r="BC3" s="120" t="str">
        <f>'77'!BJ41</f>
        <v>R13.5</v>
      </c>
      <c r="BD3" s="120" t="str">
        <f>'77'!BI41</f>
        <v>R14</v>
      </c>
      <c r="BE3" s="120" t="str">
        <f>'77'!BH41</f>
        <v>R14.5</v>
      </c>
      <c r="BF3" s="120" t="str">
        <f>'77'!BG41</f>
        <v>R15</v>
      </c>
      <c r="BG3" s="120" t="str">
        <f>'77'!BF41</f>
        <v>R15.5</v>
      </c>
      <c r="BH3" s="120" t="str">
        <f>'77'!BE41</f>
        <v>R16</v>
      </c>
      <c r="BI3" s="120" t="str">
        <f>'77'!BD41</f>
        <v>R16.5</v>
      </c>
      <c r="BJ3" s="120" t="str">
        <f>'77'!BC41</f>
        <v>R17</v>
      </c>
      <c r="BK3" s="120" t="str">
        <f>'77'!BB41</f>
        <v>R17.5</v>
      </c>
      <c r="BL3" s="120" t="str">
        <f>'77'!BA41</f>
        <v>R18</v>
      </c>
      <c r="BM3" s="120" t="str">
        <f>'77'!AZ41</f>
        <v>R18.5</v>
      </c>
      <c r="BN3" s="120" t="str">
        <f>'77'!AY41</f>
        <v>R19</v>
      </c>
      <c r="BO3" s="120" t="str">
        <f>'77'!AX41</f>
        <v>R19.5</v>
      </c>
      <c r="BP3" s="120">
        <f>'77'!AW41</f>
        <v>20</v>
      </c>
      <c r="BQ3" s="120" t="str">
        <f>'77'!AV41</f>
        <v>L19.5</v>
      </c>
      <c r="BR3" s="120" t="str">
        <f>'77'!AU41</f>
        <v>L19</v>
      </c>
      <c r="BS3" s="120" t="str">
        <f>'77'!AT41</f>
        <v>L18.5</v>
      </c>
      <c r="BT3" s="120" t="str">
        <f>'77'!AS41</f>
        <v>L18</v>
      </c>
      <c r="BU3" s="120" t="str">
        <f>'77'!AR41</f>
        <v>L17.5</v>
      </c>
      <c r="BV3" s="120" t="str">
        <f>'77'!AQ41</f>
        <v>L17</v>
      </c>
      <c r="BW3" s="120" t="str">
        <f>'77'!AP41</f>
        <v>L16.5</v>
      </c>
      <c r="BX3" s="120" t="str">
        <f>'77'!AO41</f>
        <v>L16</v>
      </c>
      <c r="BY3" s="120" t="str">
        <f>'77'!AN41</f>
        <v>L15.5</v>
      </c>
      <c r="BZ3" s="120" t="str">
        <f>'77'!AM41</f>
        <v>L15</v>
      </c>
      <c r="CA3" s="120" t="str">
        <f>'77'!AL41</f>
        <v>L14.5</v>
      </c>
      <c r="CB3" s="120" t="str">
        <f>'77'!AK41</f>
        <v>L14</v>
      </c>
      <c r="CC3" s="120" t="str">
        <f>'77'!AJ41</f>
        <v>L13.5</v>
      </c>
      <c r="CD3" s="120" t="str">
        <f>'77'!AI41</f>
        <v>L13</v>
      </c>
      <c r="CE3" s="120" t="str">
        <f>'77'!AH41</f>
        <v>L12.5</v>
      </c>
      <c r="CF3" s="120" t="str">
        <f>'77'!AG41</f>
        <v>L12</v>
      </c>
      <c r="CG3" s="120" t="str">
        <f>'77'!AF41</f>
        <v>L11.5</v>
      </c>
      <c r="CH3" s="120" t="str">
        <f>'77'!AE41</f>
        <v>L11</v>
      </c>
      <c r="CI3" s="120" t="str">
        <f>'77'!AD41</f>
        <v>L10.5</v>
      </c>
      <c r="CJ3" s="120" t="str">
        <f>'77'!AC41</f>
        <v>L10</v>
      </c>
      <c r="CK3" s="120" t="str">
        <f>'77'!AB41</f>
        <v>L9.5</v>
      </c>
      <c r="CL3" s="120" t="str">
        <f>'77'!AA41</f>
        <v>L9</v>
      </c>
      <c r="CM3" s="120" t="str">
        <f>'77'!Z41</f>
        <v>L8.5</v>
      </c>
      <c r="CN3" s="120" t="str">
        <f>'77'!Y41</f>
        <v>L8</v>
      </c>
      <c r="CO3" s="120" t="str">
        <f>'77'!X41</f>
        <v>L7.5</v>
      </c>
      <c r="CP3" s="120" t="str">
        <f>'77'!W41</f>
        <v>L7</v>
      </c>
      <c r="CQ3" s="120" t="str">
        <f>'77'!V41</f>
        <v>L6.5</v>
      </c>
      <c r="CR3" s="120" t="str">
        <f>'77'!U41</f>
        <v>L6</v>
      </c>
      <c r="CS3" s="120" t="str">
        <f>'77'!T41</f>
        <v>L5.5</v>
      </c>
      <c r="CT3" s="120" t="str">
        <f>'77'!S41</f>
        <v>L5</v>
      </c>
      <c r="CU3" s="120" t="str">
        <f>'77'!R41</f>
        <v>L4.5</v>
      </c>
      <c r="CV3" s="120" t="str">
        <f>'77'!Q41</f>
        <v>L4</v>
      </c>
      <c r="CW3" s="120" t="str">
        <f>'77'!P41</f>
        <v>L3.5</v>
      </c>
      <c r="CX3" s="120" t="str">
        <f>'77'!O41</f>
        <v>L3</v>
      </c>
      <c r="CY3" s="120" t="str">
        <f>'77'!N41</f>
        <v>L2.5</v>
      </c>
      <c r="CZ3" s="120" t="str">
        <f>'77'!M41</f>
        <v>L2</v>
      </c>
      <c r="DA3" s="120" t="str">
        <f>'77'!L41</f>
        <v>L1.5</v>
      </c>
      <c r="DB3" s="120" t="str">
        <f>'77'!K41</f>
        <v>L1</v>
      </c>
      <c r="DC3" s="120" t="s">
        <v>3</v>
      </c>
    </row>
    <row r="4" spans="1:107">
      <c r="B4" s="111" t="s">
        <v>127</v>
      </c>
      <c r="F4" s="113" t="s">
        <v>128</v>
      </c>
      <c r="J4" s="111"/>
      <c r="N4" s="111" t="s">
        <v>129</v>
      </c>
      <c r="R4" s="111"/>
      <c r="S4" s="128"/>
      <c r="T4" s="114"/>
      <c r="U4" s="114"/>
      <c r="V4" s="129"/>
      <c r="W4" s="114"/>
      <c r="X4" s="118">
        <f>'77'!D42</f>
        <v>59</v>
      </c>
      <c r="Y4" s="74">
        <f>'77'!E42</f>
        <v>0</v>
      </c>
      <c r="Z4" s="74">
        <f>'77'!F42</f>
        <v>0</v>
      </c>
      <c r="AA4" s="74">
        <f>'77'!G42</f>
        <v>0</v>
      </c>
      <c r="AB4" s="74">
        <f>'77'!H42</f>
        <v>0</v>
      </c>
      <c r="AC4" s="74">
        <f>'77'!I42</f>
        <v>0</v>
      </c>
      <c r="AD4" s="74">
        <f>'77'!CI42</f>
        <v>3.8461538461538464E-2</v>
      </c>
      <c r="AE4" s="74">
        <f>'77'!CH42</f>
        <v>-0.96153846153846156</v>
      </c>
      <c r="AF4" s="74">
        <f>'77'!CG42</f>
        <v>3.8461538461538436E-2</v>
      </c>
      <c r="AG4" s="74">
        <f>'77'!CF42</f>
        <v>3.8461538461538436E-2</v>
      </c>
      <c r="AH4" s="74">
        <f>'77'!CE42</f>
        <v>3.8461538461538436E-2</v>
      </c>
      <c r="AI4" s="74">
        <f>'77'!CD42</f>
        <v>3.8461538461538436E-2</v>
      </c>
      <c r="AJ4" s="74">
        <f>'77'!CC42</f>
        <v>3.8461538461538436E-2</v>
      </c>
      <c r="AK4" s="74">
        <f>'77'!CB42</f>
        <v>3.8461538461538436E-2</v>
      </c>
      <c r="AL4" s="74">
        <f>'77'!CA42</f>
        <v>3.8461538461538436E-2</v>
      </c>
      <c r="AM4" s="74">
        <f>'77'!BZ42</f>
        <v>3.8461538461538436E-2</v>
      </c>
      <c r="AN4" s="74">
        <f>'77'!BY42</f>
        <v>3.8461538461538436E-2</v>
      </c>
      <c r="AO4" s="74">
        <f>'77'!BX42</f>
        <v>-0.96153846153846145</v>
      </c>
      <c r="AP4" s="74">
        <f>'77'!BW42</f>
        <v>3.8461538461538547E-2</v>
      </c>
      <c r="AQ4" s="74">
        <f>'77'!BV42</f>
        <v>3.8461538461538547E-2</v>
      </c>
      <c r="AR4" s="74">
        <f>'77'!BU42</f>
        <v>-0.96153846153846168</v>
      </c>
      <c r="AS4" s="74">
        <f>'77'!BT42</f>
        <v>3.8461538461538325E-2</v>
      </c>
      <c r="AT4" s="74">
        <f>'77'!BS42</f>
        <v>-0.96153846153846168</v>
      </c>
      <c r="AU4" s="74">
        <f>'77'!BR42</f>
        <v>-0.96153846153846168</v>
      </c>
      <c r="AV4" s="74">
        <f>'77'!BQ42</f>
        <v>3.8461538461538325E-2</v>
      </c>
      <c r="AW4" s="74">
        <f>'77'!BP42</f>
        <v>-0.96153846153846168</v>
      </c>
      <c r="AX4" s="74">
        <f>'77'!BO42</f>
        <v>3.8461538461538325E-2</v>
      </c>
      <c r="AY4" s="74">
        <f>'77'!BN42</f>
        <v>3.8461538461538325E-2</v>
      </c>
      <c r="AZ4" s="74">
        <f>'77'!BM42</f>
        <v>3.8461538461538325E-2</v>
      </c>
      <c r="BA4" s="74">
        <f>'77'!BL42</f>
        <v>-0.96153846153846168</v>
      </c>
      <c r="BB4" s="74">
        <f>'77'!BK42</f>
        <v>3.8461538461538325E-2</v>
      </c>
      <c r="BC4" s="74">
        <f>'77'!BJ42</f>
        <v>3.8461538461538325E-2</v>
      </c>
      <c r="BD4" s="74">
        <f>'77'!BI42</f>
        <v>3.8461538461538325E-2</v>
      </c>
      <c r="BE4" s="74">
        <f>'77'!BH42</f>
        <v>-0.96153846153846168</v>
      </c>
      <c r="BF4" s="74">
        <f>'77'!BG42</f>
        <v>3.8461538461538325E-2</v>
      </c>
      <c r="BG4" s="74">
        <f>'77'!BF42</f>
        <v>3.8461538461538325E-2</v>
      </c>
      <c r="BH4" s="74">
        <f>'77'!BE42</f>
        <v>3.8461538461538325E-2</v>
      </c>
      <c r="BI4" s="74">
        <f>'77'!BD42</f>
        <v>3.8461538461538325E-2</v>
      </c>
      <c r="BJ4" s="74">
        <f>'77'!BC42</f>
        <v>3.8461538461538325E-2</v>
      </c>
      <c r="BK4" s="74">
        <f>'77'!BB42</f>
        <v>3.8461538461538325E-2</v>
      </c>
      <c r="BL4" s="74">
        <f>'77'!BA42</f>
        <v>1.0384615384615383</v>
      </c>
      <c r="BM4" s="74">
        <f>'77'!AZ42</f>
        <v>1.0384615384615383</v>
      </c>
      <c r="BN4" s="74">
        <f>'77'!AY42</f>
        <v>3.8461538461538325E-2</v>
      </c>
      <c r="BO4" s="74">
        <f>'77'!AX42</f>
        <v>3.8461538461538325E-2</v>
      </c>
      <c r="BP4" s="74">
        <f>'77'!AW42</f>
        <v>3.8461538461538325E-2</v>
      </c>
      <c r="BQ4" s="74">
        <f>'77'!AV42</f>
        <v>3.8461538461538325E-2</v>
      </c>
      <c r="BR4" s="74">
        <f>'77'!AU42</f>
        <v>1.0384615384615383</v>
      </c>
      <c r="BS4" s="74">
        <f>'77'!AT42</f>
        <v>1.0384615384615383</v>
      </c>
      <c r="BT4" s="74">
        <f>'77'!AS42</f>
        <v>3.8461538461538325E-2</v>
      </c>
      <c r="BU4" s="74">
        <f>'77'!AR42</f>
        <v>3.8461538461538325E-2</v>
      </c>
      <c r="BV4" s="74">
        <f>'77'!AQ42</f>
        <v>1.0384615384615383</v>
      </c>
      <c r="BW4" s="74">
        <f>'77'!AP42</f>
        <v>3.8461538461538325E-2</v>
      </c>
      <c r="BX4" s="74">
        <f>'77'!AO42</f>
        <v>1.0384615384615385</v>
      </c>
      <c r="BY4" s="74">
        <f>'77'!AN42</f>
        <v>3.8461538461538547E-2</v>
      </c>
      <c r="BZ4" s="74">
        <f>'77'!AM42</f>
        <v>1.0384615384615383</v>
      </c>
      <c r="CA4" s="74">
        <f>'77'!AL42</f>
        <v>1.0384615384615385</v>
      </c>
      <c r="CB4" s="74">
        <f>'77'!AK42</f>
        <v>1.0384615384615385</v>
      </c>
      <c r="CC4" s="74">
        <f>'77'!AJ42</f>
        <v>3.8461538461538547E-2</v>
      </c>
      <c r="CD4" s="74">
        <f>'77'!AI42</f>
        <v>1.0384615384615383</v>
      </c>
      <c r="CE4" s="74">
        <f>'77'!AH42</f>
        <v>1.0384615384615383</v>
      </c>
      <c r="CF4" s="74">
        <f>'77'!AG42</f>
        <v>1.0384615384615383</v>
      </c>
      <c r="CG4" s="74">
        <f>'77'!AF42</f>
        <v>3.8461538461538325E-2</v>
      </c>
      <c r="CH4" s="74">
        <f>'77'!AE42</f>
        <v>3.8461538461538325E-2</v>
      </c>
      <c r="CI4" s="74">
        <f>'77'!AD42</f>
        <v>3.8461538461538325E-2</v>
      </c>
      <c r="CJ4" s="74">
        <f>'77'!AC42</f>
        <v>1.0384615384615383</v>
      </c>
      <c r="CK4" s="74">
        <f>'77'!AB42</f>
        <v>1.0384615384615383</v>
      </c>
      <c r="CL4" s="74">
        <f>'77'!AA42</f>
        <v>3.8461538461538325E-2</v>
      </c>
      <c r="CM4" s="74">
        <f>'77'!Z42</f>
        <v>-0.96153846153846168</v>
      </c>
      <c r="CN4" s="74">
        <f>'77'!Y42</f>
        <v>3.8461538461538325E-2</v>
      </c>
      <c r="CO4" s="74">
        <f>'77'!X42</f>
        <v>-0.96153846153846168</v>
      </c>
      <c r="CP4" s="74">
        <f>'77'!W42</f>
        <v>3.8461538461538325E-2</v>
      </c>
      <c r="CQ4" s="74">
        <f>'77'!V42</f>
        <v>3.8461538461538325E-2</v>
      </c>
      <c r="CR4" s="74">
        <f>'77'!U42</f>
        <v>3.8461538461538325E-2</v>
      </c>
      <c r="CS4" s="74">
        <f>'77'!T42</f>
        <v>-0.96153846153846168</v>
      </c>
      <c r="CT4" s="74">
        <f>'77'!S42</f>
        <v>3.8461538461538325E-2</v>
      </c>
      <c r="CU4" s="74">
        <f>'77'!R42</f>
        <v>-0.96153846153846168</v>
      </c>
      <c r="CV4" s="74">
        <f>'77'!Q42</f>
        <v>3.8461538461538325E-2</v>
      </c>
      <c r="CW4" s="74">
        <f>'77'!P42</f>
        <v>3.8461538461538325E-2</v>
      </c>
      <c r="CX4" s="74">
        <f>'77'!O42</f>
        <v>1.0384615384615383</v>
      </c>
      <c r="CY4" s="74">
        <f>'77'!N42</f>
        <v>3.8461538461538325E-2</v>
      </c>
      <c r="CZ4" s="74">
        <f>'77'!M42</f>
        <v>-3.9615384615384617</v>
      </c>
      <c r="DA4" s="74">
        <f>'77'!L42</f>
        <v>1.0384615384615385</v>
      </c>
      <c r="DB4" s="74">
        <f>'77'!K42</f>
        <v>3.8461538461538464E-2</v>
      </c>
      <c r="DC4" s="118">
        <v>58.5</v>
      </c>
    </row>
    <row r="5" spans="1:107">
      <c r="A5" s="112" t="s">
        <v>126</v>
      </c>
      <c r="B5" s="114">
        <v>0</v>
      </c>
      <c r="C5" s="74">
        <f t="shared" ref="C5" si="0">SUM(0.25*(F5-B5),B5)</f>
        <v>3.75</v>
      </c>
      <c r="D5" s="74">
        <f t="shared" ref="D5" si="1">SUM(0.5*(F5-B5)+B5)</f>
        <v>7.5</v>
      </c>
      <c r="E5" s="74">
        <f t="shared" ref="E5" si="2">SUM(0.75*(F5-B5),B5)</f>
        <v>11.25</v>
      </c>
      <c r="F5" s="114">
        <v>15</v>
      </c>
      <c r="G5" s="74">
        <f t="shared" ref="G5" si="3">SUM(0.25*(J5-F5),F5)</f>
        <v>18.75</v>
      </c>
      <c r="H5" s="74">
        <f t="shared" ref="H5" si="4">SUM(0.5*(J5-F5)+F5)</f>
        <v>22.5</v>
      </c>
      <c r="I5" s="74">
        <f t="shared" ref="I5" si="5">SUM(0.75*(J5-F5),F5)</f>
        <v>26.25</v>
      </c>
      <c r="J5" s="114">
        <v>30</v>
      </c>
      <c r="K5" s="74">
        <f t="shared" ref="K5" si="6">SUM(0.25*(N5-J5),J5)</f>
        <v>33.75</v>
      </c>
      <c r="L5" s="74">
        <f t="shared" ref="L5" si="7">SUM(0.5*(N5-J5)+J5)</f>
        <v>37.5</v>
      </c>
      <c r="M5" s="74">
        <f t="shared" ref="M5" si="8">SUM(0.75*(N5-J5),J5)</f>
        <v>41.25</v>
      </c>
      <c r="N5" s="114">
        <v>45</v>
      </c>
      <c r="O5" s="74">
        <f>SUM(0.25*(R5-N5),N5)</f>
        <v>48.75</v>
      </c>
      <c r="P5" s="74">
        <f>SUM(0.5*(R5-N5)+N5)</f>
        <v>52.5</v>
      </c>
      <c r="Q5" s="74">
        <f>SUM(0.75*(R5-N5),N5)</f>
        <v>56.25</v>
      </c>
      <c r="R5" s="114">
        <v>60</v>
      </c>
      <c r="S5" s="129"/>
      <c r="T5" s="114" t="s">
        <v>174</v>
      </c>
      <c r="U5" s="114"/>
      <c r="V5" s="129"/>
      <c r="W5" s="114"/>
      <c r="X5" s="118">
        <f>'77'!D44</f>
        <v>55</v>
      </c>
      <c r="Y5" s="74">
        <f>'77'!E44</f>
        <v>0</v>
      </c>
      <c r="Z5" s="74">
        <f>'77'!F44</f>
        <v>0</v>
      </c>
      <c r="AA5" s="74">
        <f>'77'!G44</f>
        <v>0</v>
      </c>
      <c r="AB5" s="74">
        <f>'77'!H44</f>
        <v>0</v>
      </c>
      <c r="AC5" s="74">
        <f>'77'!I44</f>
        <v>0</v>
      </c>
      <c r="AD5" s="74">
        <f>'77'!CI44</f>
        <v>-0.29487179487179488</v>
      </c>
      <c r="AE5" s="74">
        <f>'77'!CH44</f>
        <v>-1.2948717948717949</v>
      </c>
      <c r="AF5" s="74">
        <f>'77'!CG44</f>
        <v>0.70512820512820507</v>
      </c>
      <c r="AG5" s="74">
        <f>'77'!CF44</f>
        <v>-0.29487179487179488</v>
      </c>
      <c r="AH5" s="74">
        <f>'77'!CE44</f>
        <v>-0.29487179487179488</v>
      </c>
      <c r="AI5" s="74">
        <f>'77'!CD44</f>
        <v>-0.29487179487179488</v>
      </c>
      <c r="AJ5" s="74">
        <f>'77'!CC44</f>
        <v>0.70512820512820507</v>
      </c>
      <c r="AK5" s="74">
        <f>'77'!CB44</f>
        <v>0.70512820512820507</v>
      </c>
      <c r="AL5" s="74">
        <f>'77'!CA44</f>
        <v>-0.29487179487179493</v>
      </c>
      <c r="AM5" s="74">
        <f>'77'!BZ44</f>
        <v>-0.29487179487179493</v>
      </c>
      <c r="AN5" s="74">
        <f>'77'!BY44</f>
        <v>-0.29487179487179493</v>
      </c>
      <c r="AO5" s="74">
        <f>'77'!BX44</f>
        <v>0.70512820512820529</v>
      </c>
      <c r="AP5" s="74">
        <f>'77'!BW44</f>
        <v>-0.29487179487179471</v>
      </c>
      <c r="AQ5" s="74">
        <f>'77'!BV44</f>
        <v>0.70512820512820529</v>
      </c>
      <c r="AR5" s="74">
        <f>'77'!BU44</f>
        <v>-1.2948717948717947</v>
      </c>
      <c r="AS5" s="74">
        <f>'77'!BT44</f>
        <v>-0.29487179487179471</v>
      </c>
      <c r="AT5" s="74">
        <f>'77'!BS44</f>
        <v>-1.2948717948717949</v>
      </c>
      <c r="AU5" s="74">
        <f>'77'!BR44</f>
        <v>-0.29487179487179493</v>
      </c>
      <c r="AV5" s="74">
        <f>'77'!BQ44</f>
        <v>0.70512820512820529</v>
      </c>
      <c r="AW5" s="74">
        <f>'77'!BP44</f>
        <v>-0.29487179487179471</v>
      </c>
      <c r="AX5" s="74">
        <f>'77'!BO44</f>
        <v>-0.29487179487179471</v>
      </c>
      <c r="AY5" s="74">
        <f>'77'!BN44</f>
        <v>-0.29487179487179471</v>
      </c>
      <c r="AZ5" s="74">
        <f>'77'!BM44</f>
        <v>-0.29487179487179471</v>
      </c>
      <c r="BA5" s="74">
        <f>'77'!BL44</f>
        <v>-1.2948717948717949</v>
      </c>
      <c r="BB5" s="74">
        <f>'77'!BK44</f>
        <v>-0.29487179487179493</v>
      </c>
      <c r="BC5" s="74">
        <f>'77'!BJ44</f>
        <v>-0.29487179487179493</v>
      </c>
      <c r="BD5" s="74">
        <f>'77'!BI44</f>
        <v>-0.29487179487179493</v>
      </c>
      <c r="BE5" s="74">
        <f>'77'!BH44</f>
        <v>-0.29487179487179493</v>
      </c>
      <c r="BF5" s="74">
        <f>'77'!BG44</f>
        <v>-0.29487179487179493</v>
      </c>
      <c r="BG5" s="74">
        <f>'77'!BF44</f>
        <v>-1.2948717948717949</v>
      </c>
      <c r="BH5" s="74">
        <f>'77'!BE44</f>
        <v>-0.29487179487179493</v>
      </c>
      <c r="BI5" s="74">
        <f>'77'!BD44</f>
        <v>-0.29487179487179493</v>
      </c>
      <c r="BJ5" s="74">
        <f>'77'!BC44</f>
        <v>-0.29487179487179493</v>
      </c>
      <c r="BK5" s="74">
        <f>'77'!BB44</f>
        <v>-0.29487179487179493</v>
      </c>
      <c r="BL5" s="74">
        <f>'77'!BA44</f>
        <v>-0.29487179487179493</v>
      </c>
      <c r="BM5" s="74">
        <f>'77'!AZ44</f>
        <v>0.70512820512820507</v>
      </c>
      <c r="BN5" s="74">
        <f>'77'!AY44</f>
        <v>-0.29487179487179493</v>
      </c>
      <c r="BO5" s="74">
        <f>'77'!AX44</f>
        <v>-0.29487179487179493</v>
      </c>
      <c r="BP5" s="74">
        <f>'77'!AW44</f>
        <v>-0.29487179487179493</v>
      </c>
      <c r="BQ5" s="74">
        <f>'77'!AV44</f>
        <v>-0.29487179487179493</v>
      </c>
      <c r="BR5" s="74">
        <f>'77'!AU44</f>
        <v>-0.29487179487179493</v>
      </c>
      <c r="BS5" s="74">
        <f>'77'!AT44</f>
        <v>0.70512820512820529</v>
      </c>
      <c r="BT5" s="74">
        <f>'77'!AS44</f>
        <v>-0.29487179487179471</v>
      </c>
      <c r="BU5" s="74">
        <f>'77'!AR44</f>
        <v>-0.29487179487179471</v>
      </c>
      <c r="BV5" s="74">
        <f>'77'!AQ44</f>
        <v>-0.29487179487179471</v>
      </c>
      <c r="BW5" s="74">
        <f>'77'!AP44</f>
        <v>-0.29487179487179471</v>
      </c>
      <c r="BX5" s="74">
        <f>'77'!AO44</f>
        <v>0.70512820512820529</v>
      </c>
      <c r="BY5" s="74">
        <f>'77'!AN44</f>
        <v>-0.29487179487179471</v>
      </c>
      <c r="BZ5" s="74">
        <f>'77'!AM44</f>
        <v>0.70512820512820529</v>
      </c>
      <c r="CA5" s="74">
        <f>'77'!AL44</f>
        <v>0.70512820512820529</v>
      </c>
      <c r="CB5" s="74">
        <f>'77'!AK44</f>
        <v>-0.29487179487179471</v>
      </c>
      <c r="CC5" s="74">
        <f>'77'!AJ44</f>
        <v>0.70512820512820529</v>
      </c>
      <c r="CD5" s="74">
        <f>'77'!AI44</f>
        <v>-0.29487179487179471</v>
      </c>
      <c r="CE5" s="74">
        <f>'77'!AH44</f>
        <v>0.70512820512820529</v>
      </c>
      <c r="CF5" s="74">
        <f>'77'!AG44</f>
        <v>-0.29487179487179471</v>
      </c>
      <c r="CG5" s="74">
        <f>'77'!AF44</f>
        <v>0.7051282051282044</v>
      </c>
      <c r="CH5" s="74">
        <f>'77'!AE44</f>
        <v>-0.2948717948717956</v>
      </c>
      <c r="CI5" s="74">
        <f>'77'!AD44</f>
        <v>-0.2948717948717956</v>
      </c>
      <c r="CJ5" s="74">
        <f>'77'!AC44</f>
        <v>0.7051282051282044</v>
      </c>
      <c r="CK5" s="74">
        <f>'77'!AB44</f>
        <v>-0.2948717948717956</v>
      </c>
      <c r="CL5" s="74">
        <f>'77'!AA44</f>
        <v>-0.2948717948717956</v>
      </c>
      <c r="CM5" s="74">
        <f>'77'!Z44</f>
        <v>-1.2948717948717956</v>
      </c>
      <c r="CN5" s="74">
        <f>'77'!Y44</f>
        <v>-1.2948717948717947</v>
      </c>
      <c r="CO5" s="74">
        <f>'77'!X44</f>
        <v>-1.2948717948717947</v>
      </c>
      <c r="CP5" s="74">
        <f>'77'!W44</f>
        <v>-0.29487179487179471</v>
      </c>
      <c r="CQ5" s="74">
        <f>'77'!V44</f>
        <v>-0.29487179487179471</v>
      </c>
      <c r="CR5" s="74">
        <f>'77'!U44</f>
        <v>-1.2948717948717947</v>
      </c>
      <c r="CS5" s="74">
        <f>'77'!T44</f>
        <v>-1.2948717948717947</v>
      </c>
      <c r="CT5" s="74">
        <f>'77'!S44</f>
        <v>-1.2948717948717947</v>
      </c>
      <c r="CU5" s="74">
        <f>'77'!R44</f>
        <v>-1.2948717948717947</v>
      </c>
      <c r="CV5" s="74">
        <f>'77'!Q44</f>
        <v>-1.2948717948717949</v>
      </c>
      <c r="CW5" s="74">
        <f>'77'!P44</f>
        <v>-0.29487179487179493</v>
      </c>
      <c r="CX5" s="74">
        <f>'77'!O44</f>
        <v>-0.29487179487179493</v>
      </c>
      <c r="CY5" s="74">
        <f>'77'!N44</f>
        <v>-1.2948717948717949</v>
      </c>
      <c r="CZ5" s="74">
        <f>'77'!M44</f>
        <v>-1.2948717948717949</v>
      </c>
      <c r="DA5" s="74">
        <f>'77'!L44</f>
        <v>-0.29487179487179488</v>
      </c>
      <c r="DB5" s="74">
        <f>'77'!K44</f>
        <v>-0.29487179487179488</v>
      </c>
      <c r="DC5" s="118">
        <v>56</v>
      </c>
    </row>
    <row r="6" spans="1:107">
      <c r="B6" s="114"/>
      <c r="C6" s="74"/>
      <c r="D6" s="74"/>
      <c r="E6" s="74"/>
      <c r="F6" s="114"/>
      <c r="G6" s="74"/>
      <c r="H6" s="74"/>
      <c r="I6" s="74"/>
      <c r="J6" s="114"/>
      <c r="K6" s="74"/>
      <c r="L6" s="74"/>
      <c r="M6" s="74"/>
      <c r="N6" s="114"/>
      <c r="O6" s="74"/>
      <c r="P6" s="74"/>
      <c r="Q6" s="74"/>
      <c r="R6" s="114"/>
      <c r="S6" s="129"/>
      <c r="T6" s="114"/>
      <c r="U6" s="114"/>
      <c r="V6" s="129"/>
      <c r="W6" s="114"/>
      <c r="X6" s="118">
        <f>'77'!D45</f>
        <v>53</v>
      </c>
      <c r="Y6" s="74">
        <f>'77'!E45</f>
        <v>0</v>
      </c>
      <c r="Z6" s="74">
        <f>'77'!F45</f>
        <v>0</v>
      </c>
      <c r="AA6" s="74">
        <f>'77'!G45</f>
        <v>0</v>
      </c>
      <c r="AB6" s="74">
        <f>'77'!H45</f>
        <v>0</v>
      </c>
      <c r="AC6" s="74">
        <f>'77'!I45</f>
        <v>0</v>
      </c>
      <c r="AD6" s="74">
        <f>'77'!CI45</f>
        <v>0.38461538461538458</v>
      </c>
      <c r="AE6" s="74">
        <f>'77'!CH45</f>
        <v>0.38461538461538458</v>
      </c>
      <c r="AF6" s="74">
        <f>'77'!CG45</f>
        <v>0.38461538461538458</v>
      </c>
      <c r="AG6" s="74">
        <f>'77'!CF45</f>
        <v>1.3846153846153846</v>
      </c>
      <c r="AH6" s="74">
        <f>'77'!CE45</f>
        <v>1.3846153846153846</v>
      </c>
      <c r="AI6" s="74">
        <f>'77'!CD45</f>
        <v>2.384615384615385</v>
      </c>
      <c r="AJ6" s="74">
        <f>'77'!CC45</f>
        <v>1.384615384615385</v>
      </c>
      <c r="AK6" s="74">
        <f>'77'!CB45</f>
        <v>1.384615384615385</v>
      </c>
      <c r="AL6" s="74">
        <f>'77'!CA45</f>
        <v>2.384615384615385</v>
      </c>
      <c r="AM6" s="74">
        <f>'77'!BZ45</f>
        <v>1.384615384615385</v>
      </c>
      <c r="AN6" s="74">
        <f>'77'!BY45</f>
        <v>0.38461538461538503</v>
      </c>
      <c r="AO6" s="74">
        <f>'77'!BX45</f>
        <v>0.38461538461538503</v>
      </c>
      <c r="AP6" s="74">
        <f>'77'!BW45</f>
        <v>1.384615384615385</v>
      </c>
      <c r="AQ6" s="74">
        <f>'77'!BV45</f>
        <v>1.384615384615385</v>
      </c>
      <c r="AR6" s="74">
        <f>'77'!BU45</f>
        <v>0.38461538461538503</v>
      </c>
      <c r="AS6" s="74">
        <f>'77'!BT45</f>
        <v>0.38461538461538503</v>
      </c>
      <c r="AT6" s="74">
        <f>'77'!BS45</f>
        <v>0.38461538461538503</v>
      </c>
      <c r="AU6" s="74">
        <f>'77'!BR45</f>
        <v>0.38461538461538503</v>
      </c>
      <c r="AV6" s="74">
        <f>'77'!BQ45</f>
        <v>0.38461538461538503</v>
      </c>
      <c r="AW6" s="74">
        <f>'77'!BP45</f>
        <v>1.384615384615385</v>
      </c>
      <c r="AX6" s="74">
        <f>'77'!BO45</f>
        <v>2.384615384615385</v>
      </c>
      <c r="AY6" s="74">
        <f>'77'!BN45</f>
        <v>1.384615384615385</v>
      </c>
      <c r="AZ6" s="74">
        <f>'77'!BM45</f>
        <v>2.3846153846153832</v>
      </c>
      <c r="BA6" s="74">
        <f>'77'!BL45</f>
        <v>2.3846153846153832</v>
      </c>
      <c r="BB6" s="74">
        <f>'77'!BK45</f>
        <v>1.3846153846153832</v>
      </c>
      <c r="BC6" s="74">
        <f>'77'!BJ45</f>
        <v>1.3846153846153832</v>
      </c>
      <c r="BD6" s="74">
        <f>'77'!BI45</f>
        <v>1.3846153846153832</v>
      </c>
      <c r="BE6" s="74">
        <f>'77'!BH45</f>
        <v>3.3846153846153832</v>
      </c>
      <c r="BF6" s="74">
        <f>'77'!BG45</f>
        <v>2.3846153846153832</v>
      </c>
      <c r="BG6" s="74">
        <f>'77'!BF45</f>
        <v>2.3846153846153832</v>
      </c>
      <c r="BH6" s="74">
        <f>'77'!BE45</f>
        <v>1.3846153846153832</v>
      </c>
      <c r="BI6" s="74">
        <f>'77'!BD45</f>
        <v>2.3846153846153868</v>
      </c>
      <c r="BJ6" s="74">
        <f>'77'!BC45</f>
        <v>2.3846153846153868</v>
      </c>
      <c r="BK6" s="74">
        <f>'77'!BB45</f>
        <v>1.3846153846153868</v>
      </c>
      <c r="BL6" s="74">
        <f>'77'!BA45</f>
        <v>1.3846153846153868</v>
      </c>
      <c r="BM6" s="74">
        <f>'77'!AZ45</f>
        <v>2.3846153846153868</v>
      </c>
      <c r="BN6" s="74">
        <f>'77'!AY45</f>
        <v>2.3846153846153868</v>
      </c>
      <c r="BO6" s="74">
        <f>'77'!AX45</f>
        <v>2.3846153846153868</v>
      </c>
      <c r="BP6" s="74">
        <f>'77'!AW45</f>
        <v>-1.6153846153846132</v>
      </c>
      <c r="BQ6" s="74">
        <f>'77'!AV45</f>
        <v>-1.6153846153846132</v>
      </c>
      <c r="BR6" s="74">
        <f>'77'!AU45</f>
        <v>-1.6153846153846132</v>
      </c>
      <c r="BS6" s="74">
        <f>'77'!AT45</f>
        <v>-1.6153846153846132</v>
      </c>
      <c r="BT6" s="74">
        <f>'77'!AS45</f>
        <v>-1.6153846153846132</v>
      </c>
      <c r="BU6" s="74">
        <f>'77'!AR45</f>
        <v>-1.6153846153846168</v>
      </c>
      <c r="BV6" s="74">
        <f>'77'!AQ45</f>
        <v>-0.61538461538461675</v>
      </c>
      <c r="BW6" s="74">
        <f>'77'!AP45</f>
        <v>-0.61538461538461675</v>
      </c>
      <c r="BX6" s="74">
        <f>'77'!AO45</f>
        <v>-0.61538461538461675</v>
      </c>
      <c r="BY6" s="74">
        <f>'77'!AN45</f>
        <v>-0.61538461538461675</v>
      </c>
      <c r="BZ6" s="74">
        <f>'77'!AM45</f>
        <v>-0.61538461538461675</v>
      </c>
      <c r="CA6" s="74">
        <f>'77'!AL45</f>
        <v>-0.61538461538461675</v>
      </c>
      <c r="CB6" s="74">
        <f>'77'!AK45</f>
        <v>-0.61538461538461675</v>
      </c>
      <c r="CC6" s="74">
        <f>'77'!AJ45</f>
        <v>-0.61538461538461675</v>
      </c>
      <c r="CD6" s="74">
        <f>'77'!AI45</f>
        <v>-0.61538461538461675</v>
      </c>
      <c r="CE6" s="74">
        <f>'77'!AH45</f>
        <v>-0.61538461538461675</v>
      </c>
      <c r="CF6" s="74">
        <f>'77'!AG45</f>
        <v>-0.61538461538461675</v>
      </c>
      <c r="CG6" s="74">
        <f>'77'!AF45</f>
        <v>-0.61538461538461675</v>
      </c>
      <c r="CH6" s="74">
        <f>'77'!AE45</f>
        <v>-0.61538461538461675</v>
      </c>
      <c r="CI6" s="74">
        <f>'77'!AD45</f>
        <v>-1.615384615384615</v>
      </c>
      <c r="CJ6" s="74">
        <f>'77'!AC45</f>
        <v>0.38461538461538503</v>
      </c>
      <c r="CK6" s="74">
        <f>'77'!AB45</f>
        <v>0.38461538461538503</v>
      </c>
      <c r="CL6" s="74">
        <f>'77'!AA45</f>
        <v>-0.61538461538461497</v>
      </c>
      <c r="CM6" s="74">
        <f>'77'!Z45</f>
        <v>-0.61538461538461497</v>
      </c>
      <c r="CN6" s="74">
        <f>'77'!Y45</f>
        <v>-0.61538461538461497</v>
      </c>
      <c r="CO6" s="74">
        <f>'77'!X45</f>
        <v>-0.61538461538461497</v>
      </c>
      <c r="CP6" s="74">
        <f>'77'!W45</f>
        <v>-0.61538461538461497</v>
      </c>
      <c r="CQ6" s="74">
        <f>'77'!V45</f>
        <v>0.38461538461538503</v>
      </c>
      <c r="CR6" s="74">
        <f>'77'!U45</f>
        <v>-1.615384615384615</v>
      </c>
      <c r="CS6" s="74">
        <f>'77'!T45</f>
        <v>-0.61538461538461497</v>
      </c>
      <c r="CT6" s="74">
        <f>'77'!S45</f>
        <v>-0.61538461538461497</v>
      </c>
      <c r="CU6" s="74">
        <f>'77'!R45</f>
        <v>-0.61538461538461497</v>
      </c>
      <c r="CV6" s="74">
        <f>'77'!Q45</f>
        <v>-0.61538461538461497</v>
      </c>
      <c r="CW6" s="74">
        <f>'77'!P45</f>
        <v>-0.61538461538461542</v>
      </c>
      <c r="CX6" s="74">
        <f>'77'!O45</f>
        <v>0.38461538461538458</v>
      </c>
      <c r="CY6" s="74">
        <f>'77'!N45</f>
        <v>-0.61538461538461542</v>
      </c>
      <c r="CZ6" s="74">
        <f>'77'!M45</f>
        <v>-2.6153846153846154</v>
      </c>
      <c r="DA6" s="74">
        <f>'77'!L45</f>
        <v>1.3846153846153846</v>
      </c>
      <c r="DB6" s="74">
        <f>'77'!K45</f>
        <v>0.38461538461538458</v>
      </c>
      <c r="DC6" s="118">
        <v>52.5</v>
      </c>
    </row>
    <row r="7" spans="1:107">
      <c r="A7" s="112" t="s">
        <v>125</v>
      </c>
      <c r="B7" s="114">
        <v>3.5</v>
      </c>
      <c r="C7" s="74">
        <v>7</v>
      </c>
      <c r="D7" s="74">
        <v>10.5</v>
      </c>
      <c r="E7" s="74">
        <v>14</v>
      </c>
      <c r="F7" s="114">
        <v>17.5</v>
      </c>
      <c r="G7" s="74">
        <v>21</v>
      </c>
      <c r="H7" s="74">
        <v>24.5</v>
      </c>
      <c r="I7" s="74">
        <v>28</v>
      </c>
      <c r="J7" s="114">
        <v>31.5</v>
      </c>
      <c r="K7" s="74">
        <v>35</v>
      </c>
      <c r="L7" s="74">
        <v>38.5</v>
      </c>
      <c r="M7" s="74">
        <v>42</v>
      </c>
      <c r="N7" s="114">
        <v>45.5</v>
      </c>
      <c r="O7" s="74">
        <v>49</v>
      </c>
      <c r="P7" s="74">
        <v>52.5</v>
      </c>
      <c r="Q7" s="74">
        <v>56</v>
      </c>
      <c r="R7" s="114">
        <v>58.5</v>
      </c>
      <c r="S7" s="129"/>
      <c r="T7" s="114"/>
      <c r="U7" s="114"/>
      <c r="V7" s="129"/>
      <c r="W7" s="114"/>
      <c r="X7" s="118">
        <f>'77'!D47</f>
        <v>49</v>
      </c>
      <c r="Y7" s="74">
        <f>'77'!E47</f>
        <v>0</v>
      </c>
      <c r="Z7" s="74">
        <f>'77'!F47</f>
        <v>0</v>
      </c>
      <c r="AA7" s="74">
        <f>'77'!G47</f>
        <v>0</v>
      </c>
      <c r="AB7" s="74">
        <f>'77'!H47</f>
        <v>0</v>
      </c>
      <c r="AC7" s="74">
        <f>'77'!I47</f>
        <v>0</v>
      </c>
      <c r="AD7" s="74">
        <f>'77'!CI47</f>
        <v>-2.564102564102564E-2</v>
      </c>
      <c r="AE7" s="74">
        <f>'77'!CH47</f>
        <v>-2.564102564102564E-2</v>
      </c>
      <c r="AF7" s="74">
        <f>'77'!CG47</f>
        <v>-2.564102564102564E-2</v>
      </c>
      <c r="AG7" s="74">
        <f>'77'!CF47</f>
        <v>0.97435897435897434</v>
      </c>
      <c r="AH7" s="74">
        <f>'77'!CE47</f>
        <v>-2.5641025641025661E-2</v>
      </c>
      <c r="AI7" s="74">
        <f>'77'!CD47</f>
        <v>0.97435897435897445</v>
      </c>
      <c r="AJ7" s="74">
        <f>'77'!CC47</f>
        <v>0.97435897435897445</v>
      </c>
      <c r="AK7" s="74">
        <f>'77'!CB47</f>
        <v>0.97435897435897445</v>
      </c>
      <c r="AL7" s="74">
        <f>'77'!CA47</f>
        <v>0.97435897435897445</v>
      </c>
      <c r="AM7" s="74">
        <f>'77'!BZ47</f>
        <v>0.97435897435897445</v>
      </c>
      <c r="AN7" s="74">
        <f>'77'!BY47</f>
        <v>-2.564102564102555E-2</v>
      </c>
      <c r="AO7" s="74">
        <f>'77'!BX47</f>
        <v>-2.564102564102555E-2</v>
      </c>
      <c r="AP7" s="74">
        <f>'77'!BW47</f>
        <v>-2.564102564102555E-2</v>
      </c>
      <c r="AQ7" s="74">
        <f>'77'!BV47</f>
        <v>0.97435897435897445</v>
      </c>
      <c r="AR7" s="74">
        <f>'77'!BU47</f>
        <v>0.97435897435897445</v>
      </c>
      <c r="AS7" s="74">
        <f>'77'!BT47</f>
        <v>-2.564102564102555E-2</v>
      </c>
      <c r="AT7" s="74">
        <f>'77'!BS47</f>
        <v>-1.0256410256410255</v>
      </c>
      <c r="AU7" s="74">
        <f>'77'!BR47</f>
        <v>-2.564102564102555E-2</v>
      </c>
      <c r="AV7" s="74">
        <f>'77'!BQ47</f>
        <v>0.97435897435897445</v>
      </c>
      <c r="AW7" s="74">
        <f>'77'!BP47</f>
        <v>-2.564102564102555E-2</v>
      </c>
      <c r="AX7" s="74">
        <f>'77'!BO47</f>
        <v>-2.564102564102555E-2</v>
      </c>
      <c r="AY7" s="74">
        <f>'77'!BN47</f>
        <v>-2.564102564102555E-2</v>
      </c>
      <c r="AZ7" s="74">
        <f>'77'!BM47</f>
        <v>-2.564102564102555E-2</v>
      </c>
      <c r="BA7" s="74">
        <f>'77'!BL47</f>
        <v>-1.0256410256410255</v>
      </c>
      <c r="BB7" s="74">
        <f>'77'!BK47</f>
        <v>-2.564102564102555E-2</v>
      </c>
      <c r="BC7" s="74">
        <f>'77'!BJ47</f>
        <v>-2.564102564102555E-2</v>
      </c>
      <c r="BD7" s="74">
        <f>'77'!BI47</f>
        <v>-2.564102564102555E-2</v>
      </c>
      <c r="BE7" s="74">
        <f>'77'!BH47</f>
        <v>-1.0256410256410255</v>
      </c>
      <c r="BF7" s="74">
        <f>'77'!BG47</f>
        <v>-2.564102564102555E-2</v>
      </c>
      <c r="BG7" s="74">
        <f>'77'!BF47</f>
        <v>-2.564102564102555E-2</v>
      </c>
      <c r="BH7" s="74">
        <f>'77'!BE47</f>
        <v>-2.564102564102555E-2</v>
      </c>
      <c r="BI7" s="74">
        <f>'77'!BD47</f>
        <v>-2.564102564102555E-2</v>
      </c>
      <c r="BJ7" s="74">
        <f>'77'!BC47</f>
        <v>-1.0256410256410255</v>
      </c>
      <c r="BK7" s="74">
        <f>'77'!BB47</f>
        <v>-2.564102564102555E-2</v>
      </c>
      <c r="BL7" s="74">
        <f>'77'!BA47</f>
        <v>-2.564102564102555E-2</v>
      </c>
      <c r="BM7" s="74">
        <f>'77'!AZ47</f>
        <v>0.97435897435897445</v>
      </c>
      <c r="BN7" s="74">
        <f>'77'!AY47</f>
        <v>-2.564102564102555E-2</v>
      </c>
      <c r="BO7" s="74">
        <f>'77'!AX47</f>
        <v>-2.564102564102555E-2</v>
      </c>
      <c r="BP7" s="74">
        <f>'77'!AW47</f>
        <v>-1.0256410256410255</v>
      </c>
      <c r="BQ7" s="74">
        <f>'77'!AV47</f>
        <v>-2.564102564102555E-2</v>
      </c>
      <c r="BR7" s="74">
        <f>'77'!AU47</f>
        <v>0.97435897435897445</v>
      </c>
      <c r="BS7" s="74">
        <f>'77'!AT47</f>
        <v>-2.564102564102555E-2</v>
      </c>
      <c r="BT7" s="74">
        <f>'77'!AS47</f>
        <v>-2.564102564102555E-2</v>
      </c>
      <c r="BU7" s="74">
        <f>'77'!AR47</f>
        <v>0.97435897435897445</v>
      </c>
      <c r="BV7" s="74">
        <f>'77'!AQ47</f>
        <v>-2.564102564102555E-2</v>
      </c>
      <c r="BW7" s="74">
        <f>'77'!AP47</f>
        <v>-1.0256410256410255</v>
      </c>
      <c r="BX7" s="74">
        <f>'77'!AO47</f>
        <v>0.97435897435897445</v>
      </c>
      <c r="BY7" s="74">
        <f>'77'!AN47</f>
        <v>-2.564102564102555E-2</v>
      </c>
      <c r="BZ7" s="74">
        <f>'77'!AM47</f>
        <v>-2.564102564102555E-2</v>
      </c>
      <c r="CA7" s="74">
        <f>'77'!AL47</f>
        <v>0.97435897435897445</v>
      </c>
      <c r="CB7" s="74">
        <f>'77'!AK47</f>
        <v>-2.564102564102555E-2</v>
      </c>
      <c r="CC7" s="74">
        <f>'77'!AJ47</f>
        <v>-2.564102564102555E-2</v>
      </c>
      <c r="CD7" s="74">
        <f>'77'!AI47</f>
        <v>-2.564102564102555E-2</v>
      </c>
      <c r="CE7" s="74">
        <f>'77'!AH47</f>
        <v>-2.564102564102555E-2</v>
      </c>
      <c r="CF7" s="74">
        <f>'77'!AG47</f>
        <v>-2.564102564102555E-2</v>
      </c>
      <c r="CG7" s="74">
        <f>'77'!AF47</f>
        <v>-2.564102564102555E-2</v>
      </c>
      <c r="CH7" s="74">
        <f>'77'!AE47</f>
        <v>-1.0256410256410255</v>
      </c>
      <c r="CI7" s="74">
        <f>'77'!AD47</f>
        <v>-2.564102564102555E-2</v>
      </c>
      <c r="CJ7" s="74">
        <f>'77'!AC47</f>
        <v>0.97435897435897445</v>
      </c>
      <c r="CK7" s="74">
        <f>'77'!AB47</f>
        <v>-2.564102564102555E-2</v>
      </c>
      <c r="CL7" s="74">
        <f>'77'!AA47</f>
        <v>-2.564102564102555E-2</v>
      </c>
      <c r="CM7" s="74">
        <f>'77'!Z47</f>
        <v>-1.0256410256410255</v>
      </c>
      <c r="CN7" s="74">
        <f>'77'!Y47</f>
        <v>-2.564102564102555E-2</v>
      </c>
      <c r="CO7" s="74">
        <f>'77'!X47</f>
        <v>-1.0256410256410255</v>
      </c>
      <c r="CP7" s="74">
        <f>'77'!W47</f>
        <v>-2.564102564102555E-2</v>
      </c>
      <c r="CQ7" s="74">
        <f>'77'!V47</f>
        <v>-2.564102564102555E-2</v>
      </c>
      <c r="CR7" s="74">
        <f>'77'!U47</f>
        <v>-1.0256410256410255</v>
      </c>
      <c r="CS7" s="74">
        <f>'77'!T47</f>
        <v>-1.0256410256410255</v>
      </c>
      <c r="CT7" s="74">
        <f>'77'!S47</f>
        <v>-2.564102564102555E-2</v>
      </c>
      <c r="CU7" s="74">
        <f>'77'!R47</f>
        <v>-2.564102564102555E-2</v>
      </c>
      <c r="CV7" s="74">
        <f>'77'!Q47</f>
        <v>-1.0256410256410255</v>
      </c>
      <c r="CW7" s="74">
        <f>'77'!P47</f>
        <v>-1.0256410256410255</v>
      </c>
      <c r="CX7" s="74">
        <f>'77'!O47</f>
        <v>-2.564102564102555E-2</v>
      </c>
      <c r="CY7" s="74">
        <f>'77'!N47</f>
        <v>-2.564102564102555E-2</v>
      </c>
      <c r="CZ7" s="74">
        <f>'77'!M47</f>
        <v>-2.0256410256410255</v>
      </c>
      <c r="DA7" s="74">
        <f>'77'!L47</f>
        <v>-2.564102564102564E-2</v>
      </c>
      <c r="DB7" s="74">
        <f>'77'!K47</f>
        <v>-2.564102564102564E-2</v>
      </c>
      <c r="DC7" s="118">
        <v>49</v>
      </c>
    </row>
    <row r="8" spans="1:107">
      <c r="A8" s="112"/>
      <c r="B8" s="114"/>
      <c r="C8" s="74"/>
      <c r="D8" s="74"/>
      <c r="E8" s="74"/>
      <c r="F8" s="114"/>
      <c r="G8" s="74"/>
      <c r="H8" s="74"/>
      <c r="I8" s="74"/>
      <c r="J8" s="114"/>
      <c r="K8" s="74"/>
      <c r="L8" s="74"/>
      <c r="M8" s="74"/>
      <c r="N8" s="114"/>
      <c r="O8" s="74"/>
      <c r="P8" s="74"/>
      <c r="Q8" s="74"/>
      <c r="R8" s="114"/>
      <c r="S8" s="129"/>
      <c r="T8" s="114"/>
      <c r="U8" s="114"/>
      <c r="V8" s="129"/>
      <c r="W8" s="114"/>
      <c r="X8" s="118">
        <f>'77'!D49</f>
        <v>45</v>
      </c>
      <c r="Y8" s="74">
        <f>'77'!E49</f>
        <v>0</v>
      </c>
      <c r="Z8" s="74">
        <f>'77'!F49</f>
        <v>0</v>
      </c>
      <c r="AA8" s="74">
        <f>'77'!G49</f>
        <v>0</v>
      </c>
      <c r="AB8" s="74">
        <f>'77'!H49</f>
        <v>0</v>
      </c>
      <c r="AC8" s="74">
        <f>'77'!I49</f>
        <v>0</v>
      </c>
      <c r="AD8" s="74">
        <f>'77'!CI49</f>
        <v>-0.92307692307692313</v>
      </c>
      <c r="AE8" s="74">
        <f>'77'!CH49</f>
        <v>7.6923076923076872E-2</v>
      </c>
      <c r="AF8" s="74">
        <f>'77'!CG49</f>
        <v>1.0769230769230769</v>
      </c>
      <c r="AG8" s="74">
        <f>'77'!CF49</f>
        <v>7.6923076923076927E-2</v>
      </c>
      <c r="AH8" s="74">
        <f>'77'!CE49</f>
        <v>1.0769230769230769</v>
      </c>
      <c r="AI8" s="74">
        <f>'77'!CD49</f>
        <v>7.6923076923076872E-2</v>
      </c>
      <c r="AJ8" s="74">
        <f>'77'!CC49</f>
        <v>1.0769230769230771</v>
      </c>
      <c r="AK8" s="74">
        <f>'77'!CB49</f>
        <v>7.6923076923077094E-2</v>
      </c>
      <c r="AL8" s="74">
        <f>'77'!CA49</f>
        <v>7.6923076923077094E-2</v>
      </c>
      <c r="AM8" s="74">
        <f>'77'!BZ49</f>
        <v>1.0769230769230771</v>
      </c>
      <c r="AN8" s="74">
        <f>'77'!BY49</f>
        <v>7.6923076923077094E-2</v>
      </c>
      <c r="AO8" s="74">
        <f>'77'!BX49</f>
        <v>7.6923076923077094E-2</v>
      </c>
      <c r="AP8" s="74">
        <f>'77'!BW49</f>
        <v>1.0769230769230766</v>
      </c>
      <c r="AQ8" s="74">
        <f>'77'!BV49</f>
        <v>1.0769230769230766</v>
      </c>
      <c r="AR8" s="74">
        <f>'77'!BU49</f>
        <v>7.692307692307665E-2</v>
      </c>
      <c r="AS8" s="74">
        <f>'77'!BT49</f>
        <v>7.692307692307665E-2</v>
      </c>
      <c r="AT8" s="74">
        <f>'77'!BS49</f>
        <v>-0.92307692307692335</v>
      </c>
      <c r="AU8" s="74">
        <f>'77'!BR49</f>
        <v>7.692307692307665E-2</v>
      </c>
      <c r="AV8" s="74">
        <f>'77'!BQ49</f>
        <v>1.0769230769230766</v>
      </c>
      <c r="AW8" s="74">
        <f>'77'!BP49</f>
        <v>7.692307692307665E-2</v>
      </c>
      <c r="AX8" s="74">
        <f>'77'!BO49</f>
        <v>7.692307692307665E-2</v>
      </c>
      <c r="AY8" s="74">
        <f>'77'!BN49</f>
        <v>7.692307692307665E-2</v>
      </c>
      <c r="AZ8" s="74">
        <f>'77'!BM49</f>
        <v>7.692307692307665E-2</v>
      </c>
      <c r="BA8" s="74">
        <f>'77'!BL49</f>
        <v>7.692307692307665E-2</v>
      </c>
      <c r="BB8" s="74">
        <f>'77'!BK49</f>
        <v>7.692307692307665E-2</v>
      </c>
      <c r="BC8" s="74">
        <f>'77'!BJ49</f>
        <v>7.692307692307665E-2</v>
      </c>
      <c r="BD8" s="74">
        <f>'77'!BI49</f>
        <v>7.692307692307665E-2</v>
      </c>
      <c r="BE8" s="74">
        <f>'77'!BH49</f>
        <v>7.692307692307665E-2</v>
      </c>
      <c r="BF8" s="74">
        <f>'77'!BG49</f>
        <v>7.692307692307665E-2</v>
      </c>
      <c r="BG8" s="74">
        <f>'77'!BF49</f>
        <v>7.692307692307665E-2</v>
      </c>
      <c r="BH8" s="74">
        <f>'77'!BE49</f>
        <v>7.692307692307665E-2</v>
      </c>
      <c r="BI8" s="74">
        <f>'77'!BD49</f>
        <v>7.692307692307665E-2</v>
      </c>
      <c r="BJ8" s="74">
        <f>'77'!BC49</f>
        <v>7.692307692307665E-2</v>
      </c>
      <c r="BK8" s="74">
        <f>'77'!BB49</f>
        <v>7.692307692307665E-2</v>
      </c>
      <c r="BL8" s="74">
        <f>'77'!BA49</f>
        <v>7.692307692307665E-2</v>
      </c>
      <c r="BM8" s="74">
        <f>'77'!AZ49</f>
        <v>7.692307692307665E-2</v>
      </c>
      <c r="BN8" s="74">
        <f>'77'!AY49</f>
        <v>7.692307692307665E-2</v>
      </c>
      <c r="BO8" s="74">
        <f>'77'!AX49</f>
        <v>1.0769230769230766</v>
      </c>
      <c r="BP8" s="74">
        <f>'77'!AW49</f>
        <v>-0.92307692307692335</v>
      </c>
      <c r="BQ8" s="74">
        <f>'77'!AV49</f>
        <v>7.692307692307665E-2</v>
      </c>
      <c r="BR8" s="74">
        <f>'77'!AU49</f>
        <v>1.0769230769230766</v>
      </c>
      <c r="BS8" s="74">
        <f>'77'!AT49</f>
        <v>7.692307692307665E-2</v>
      </c>
      <c r="BT8" s="74">
        <f>'77'!AS49</f>
        <v>7.692307692307665E-2</v>
      </c>
      <c r="BU8" s="74">
        <f>'77'!AR49</f>
        <v>7.692307692307665E-2</v>
      </c>
      <c r="BV8" s="74">
        <f>'77'!AQ49</f>
        <v>7.692307692307665E-2</v>
      </c>
      <c r="BW8" s="74">
        <f>'77'!AP49</f>
        <v>7.692307692307665E-2</v>
      </c>
      <c r="BX8" s="74">
        <f>'77'!AO49</f>
        <v>7.692307692307665E-2</v>
      </c>
      <c r="BY8" s="74">
        <f>'77'!AN49</f>
        <v>1.0769230769230766</v>
      </c>
      <c r="BZ8" s="74">
        <f>'77'!AM49</f>
        <v>7.692307692307665E-2</v>
      </c>
      <c r="CA8" s="74">
        <f>'77'!AL49</f>
        <v>7.692307692307665E-2</v>
      </c>
      <c r="CB8" s="74">
        <f>'77'!AK49</f>
        <v>1.0769230769230766</v>
      </c>
      <c r="CC8" s="74">
        <f>'77'!AJ49</f>
        <v>7.692307692307665E-2</v>
      </c>
      <c r="CD8" s="74">
        <f>'77'!AI49</f>
        <v>7.692307692307665E-2</v>
      </c>
      <c r="CE8" s="74">
        <f>'77'!AH49</f>
        <v>7.692307692307665E-2</v>
      </c>
      <c r="CF8" s="74">
        <f>'77'!AG49</f>
        <v>1.0769230769230766</v>
      </c>
      <c r="CG8" s="74">
        <f>'77'!AF49</f>
        <v>7.692307692307665E-2</v>
      </c>
      <c r="CH8" s="74">
        <f>'77'!AE49</f>
        <v>7.692307692307665E-2</v>
      </c>
      <c r="CI8" s="74">
        <f>'77'!AD49</f>
        <v>7.692307692307665E-2</v>
      </c>
      <c r="CJ8" s="74">
        <f>'77'!AC49</f>
        <v>7.692307692307665E-2</v>
      </c>
      <c r="CK8" s="74">
        <f>'77'!AB49</f>
        <v>1.0769230769230766</v>
      </c>
      <c r="CL8" s="74">
        <f>'77'!AA49</f>
        <v>7.692307692307665E-2</v>
      </c>
      <c r="CM8" s="74">
        <f>'77'!Z49</f>
        <v>-0.92307692307692335</v>
      </c>
      <c r="CN8" s="74">
        <f>'77'!Y49</f>
        <v>-0.92307692307692335</v>
      </c>
      <c r="CO8" s="74">
        <f>'77'!X49</f>
        <v>7.692307692307665E-2</v>
      </c>
      <c r="CP8" s="74">
        <f>'77'!W49</f>
        <v>7.692307692307665E-2</v>
      </c>
      <c r="CQ8" s="74">
        <f>'77'!V49</f>
        <v>7.692307692307665E-2</v>
      </c>
      <c r="CR8" s="74">
        <f>'77'!U49</f>
        <v>-0.92307692307692335</v>
      </c>
      <c r="CS8" s="74">
        <f>'77'!T49</f>
        <v>-0.92307692307692335</v>
      </c>
      <c r="CT8" s="74">
        <f>'77'!S49</f>
        <v>-0.92307692307692335</v>
      </c>
      <c r="CU8" s="74">
        <f>'77'!R49</f>
        <v>-0.92307692307692335</v>
      </c>
      <c r="CV8" s="74">
        <f>'77'!Q49</f>
        <v>-0.92307692307692291</v>
      </c>
      <c r="CW8" s="74">
        <f>'77'!P49</f>
        <v>-0.92307692307692291</v>
      </c>
      <c r="CX8" s="74">
        <f>'77'!O49</f>
        <v>-0.92307692307692313</v>
      </c>
      <c r="CY8" s="74">
        <f>'77'!N49</f>
        <v>7.6923076923076872E-2</v>
      </c>
      <c r="CZ8" s="74">
        <f>'77'!M49</f>
        <v>-1.9230769230769231</v>
      </c>
      <c r="DA8" s="74">
        <f>'77'!L49</f>
        <v>1.0769230769230769</v>
      </c>
      <c r="DB8" s="74">
        <f>'77'!K49</f>
        <v>7.6923076923076927E-2</v>
      </c>
      <c r="DC8" s="118">
        <v>45.5</v>
      </c>
    </row>
    <row r="9" spans="1:107">
      <c r="A9" s="112"/>
      <c r="B9" s="114"/>
      <c r="C9" s="74"/>
      <c r="D9" s="74"/>
      <c r="E9" s="74"/>
      <c r="F9" s="114"/>
      <c r="G9" s="74"/>
      <c r="H9" s="74"/>
      <c r="I9" s="74"/>
      <c r="J9" s="114"/>
      <c r="K9" s="74"/>
      <c r="L9" s="74"/>
      <c r="M9" s="74"/>
      <c r="N9" s="114"/>
      <c r="O9" s="74"/>
      <c r="P9" s="74"/>
      <c r="Q9" s="74"/>
      <c r="R9" s="114"/>
      <c r="S9" s="129"/>
      <c r="T9" s="124" t="s">
        <v>169</v>
      </c>
      <c r="U9" s="124" t="s">
        <v>171</v>
      </c>
      <c r="V9" s="130"/>
      <c r="W9" s="127"/>
      <c r="X9" s="118">
        <f>'77'!D51</f>
        <v>41</v>
      </c>
      <c r="Y9" s="119">
        <f>'77'!E51</f>
        <v>0</v>
      </c>
      <c r="Z9" s="119">
        <f>'77'!F51</f>
        <v>0</v>
      </c>
      <c r="AA9" s="119">
        <f>'77'!G51</f>
        <v>0</v>
      </c>
      <c r="AB9" s="119">
        <f>'77'!H51</f>
        <v>0</v>
      </c>
      <c r="AC9" s="119">
        <f>'77'!I51</f>
        <v>0</v>
      </c>
      <c r="AD9" s="74">
        <f>'77'!CI51</f>
        <v>-0.97435897435897434</v>
      </c>
      <c r="AE9" s="74">
        <f>'77'!CH51</f>
        <v>-0.97435897435897445</v>
      </c>
      <c r="AF9" s="74">
        <f>'77'!CG51</f>
        <v>1.0256410256410255</v>
      </c>
      <c r="AG9" s="74">
        <f>'77'!CF51</f>
        <v>-0.97435897435897445</v>
      </c>
      <c r="AH9" s="74">
        <f>'77'!CE51</f>
        <v>2.564102564102555E-2</v>
      </c>
      <c r="AI9" s="74">
        <f>'77'!CD51</f>
        <v>2.564102564102555E-2</v>
      </c>
      <c r="AJ9" s="74">
        <f>'77'!CC51</f>
        <v>1.0256410256410255</v>
      </c>
      <c r="AK9" s="74">
        <f>'77'!CB51</f>
        <v>2.5641025641025661E-2</v>
      </c>
      <c r="AL9" s="74">
        <f>'77'!CA51</f>
        <v>1.0256410256410255</v>
      </c>
      <c r="AM9" s="74">
        <f>'77'!BZ51</f>
        <v>2.564102564102564E-2</v>
      </c>
      <c r="AN9" s="74">
        <f>'77'!BY51</f>
        <v>2.564102564102564E-2</v>
      </c>
      <c r="AO9" s="74">
        <f>'77'!BX51</f>
        <v>2.564102564102564E-2</v>
      </c>
      <c r="AP9" s="74">
        <f>'77'!BW51</f>
        <v>1.0256410256410255</v>
      </c>
      <c r="AQ9" s="74">
        <f>'77'!BV51</f>
        <v>2.564102564102555E-2</v>
      </c>
      <c r="AR9" s="74">
        <f>'77'!BU51</f>
        <v>2.564102564102555E-2</v>
      </c>
      <c r="AS9" s="74">
        <f>'77'!BT51</f>
        <v>2.564102564102555E-2</v>
      </c>
      <c r="AT9" s="74">
        <f>'77'!BS51</f>
        <v>2.564102564102555E-2</v>
      </c>
      <c r="AU9" s="74">
        <f>'77'!BR51</f>
        <v>-0.97435897435897434</v>
      </c>
      <c r="AV9" s="74">
        <f>'77'!BQ51</f>
        <v>1.0256410256410255</v>
      </c>
      <c r="AW9" s="74">
        <f>'77'!BP51</f>
        <v>2.564102564102555E-2</v>
      </c>
      <c r="AX9" s="74">
        <f>'77'!BO51</f>
        <v>2.564102564102555E-2</v>
      </c>
      <c r="AY9" s="74">
        <f>'77'!BN51</f>
        <v>2.564102564102555E-2</v>
      </c>
      <c r="AZ9" s="74">
        <f>'77'!BM51</f>
        <v>2.564102564102555E-2</v>
      </c>
      <c r="BA9" s="74">
        <f>'77'!BL51</f>
        <v>-0.97435897435897434</v>
      </c>
      <c r="BB9" s="74">
        <f>'77'!BK51</f>
        <v>2.564102564102564E-2</v>
      </c>
      <c r="BC9" s="74">
        <f>'77'!BJ51</f>
        <v>2.564102564102564E-2</v>
      </c>
      <c r="BD9" s="74">
        <f>'77'!BI51</f>
        <v>1.0256410256410255</v>
      </c>
      <c r="BE9" s="74">
        <f>'77'!BH51</f>
        <v>2.564102564102555E-2</v>
      </c>
      <c r="BF9" s="74">
        <f>'77'!BG51</f>
        <v>2.564102564102555E-2</v>
      </c>
      <c r="BG9" s="74">
        <f>'77'!BF51</f>
        <v>2.564102564102555E-2</v>
      </c>
      <c r="BH9" s="74">
        <f>'77'!BE51</f>
        <v>2.564102564102555E-2</v>
      </c>
      <c r="BI9" s="74">
        <f>'77'!BD51</f>
        <v>2.564102564102555E-2</v>
      </c>
      <c r="BJ9" s="74">
        <f>'77'!BC51</f>
        <v>1.0256410256410255</v>
      </c>
      <c r="BK9" s="74">
        <f>'77'!BB51</f>
        <v>2.564102564102555E-2</v>
      </c>
      <c r="BL9" s="74">
        <f>'77'!BA51</f>
        <v>1.0256410256410255</v>
      </c>
      <c r="BM9" s="74">
        <f>'77'!AZ51</f>
        <v>2.564102564102555E-2</v>
      </c>
      <c r="BN9" s="74">
        <f>'77'!AY51</f>
        <v>2.564102564102555E-2</v>
      </c>
      <c r="BO9" s="74">
        <f>'77'!AX51</f>
        <v>2.564102564102555E-2</v>
      </c>
      <c r="BP9" s="74">
        <f>'77'!AW51</f>
        <v>2.564102564102555E-2</v>
      </c>
      <c r="BQ9" s="74">
        <f>'77'!AV51</f>
        <v>2.564102564102555E-2</v>
      </c>
      <c r="BR9" s="74">
        <f>'77'!AU51</f>
        <v>2.564102564102555E-2</v>
      </c>
      <c r="BS9" s="74">
        <f>'77'!AT51</f>
        <v>2.564102564102555E-2</v>
      </c>
      <c r="BT9" s="74">
        <f>'77'!AS51</f>
        <v>2.564102564102555E-2</v>
      </c>
      <c r="BU9" s="74">
        <f>'77'!AR51</f>
        <v>2.564102564102555E-2</v>
      </c>
      <c r="BV9" s="74">
        <f>'77'!AQ51</f>
        <v>2.564102564102555E-2</v>
      </c>
      <c r="BW9" s="74">
        <f>'77'!AP51</f>
        <v>2.564102564102555E-2</v>
      </c>
      <c r="BX9" s="74">
        <f>'77'!AO51</f>
        <v>2.564102564102555E-2</v>
      </c>
      <c r="BY9" s="74">
        <f>'77'!AN51</f>
        <v>2.564102564102555E-2</v>
      </c>
      <c r="BZ9" s="74">
        <f>'77'!AM51</f>
        <v>2.564102564102555E-2</v>
      </c>
      <c r="CA9" s="74">
        <f>'77'!AL51</f>
        <v>2.564102564102555E-2</v>
      </c>
      <c r="CB9" s="74">
        <f>'77'!AK51</f>
        <v>2.564102564102555E-2</v>
      </c>
      <c r="CC9" s="74">
        <f>'77'!AJ51</f>
        <v>2.564102564102555E-2</v>
      </c>
      <c r="CD9" s="74">
        <f>'77'!AI51</f>
        <v>1.0256410256410255</v>
      </c>
      <c r="CE9" s="74">
        <f>'77'!AH51</f>
        <v>2.564102564102555E-2</v>
      </c>
      <c r="CF9" s="74">
        <f>'77'!AG51</f>
        <v>1.0256410256410255</v>
      </c>
      <c r="CG9" s="74">
        <f>'77'!AF51</f>
        <v>2.564102564102555E-2</v>
      </c>
      <c r="CH9" s="74">
        <f>'77'!AE51</f>
        <v>2.564102564102555E-2</v>
      </c>
      <c r="CI9" s="74">
        <f>'77'!AD51</f>
        <v>1.0256410256410255</v>
      </c>
      <c r="CJ9" s="74">
        <f>'77'!AC51</f>
        <v>1.0256410256410255</v>
      </c>
      <c r="CK9" s="74">
        <f>'77'!AB51</f>
        <v>1.0256410256410255</v>
      </c>
      <c r="CL9" s="74">
        <f>'77'!AA51</f>
        <v>2.564102564102555E-2</v>
      </c>
      <c r="CM9" s="74">
        <f>'77'!Z51</f>
        <v>2.564102564102555E-2</v>
      </c>
      <c r="CN9" s="74">
        <f>'77'!Y51</f>
        <v>2.564102564102555E-2</v>
      </c>
      <c r="CO9" s="74">
        <f>'77'!X51</f>
        <v>-0.97435897435897445</v>
      </c>
      <c r="CP9" s="74">
        <f>'77'!W51</f>
        <v>1.0256410256410255</v>
      </c>
      <c r="CQ9" s="74">
        <f>'77'!V51</f>
        <v>2.564102564102555E-2</v>
      </c>
      <c r="CR9" s="74">
        <f>'77'!U51</f>
        <v>-0.97435897435897445</v>
      </c>
      <c r="CS9" s="74">
        <f>'77'!T51</f>
        <v>-0.97435897435897445</v>
      </c>
      <c r="CT9" s="74">
        <f>'77'!S51</f>
        <v>-0.97435897435897445</v>
      </c>
      <c r="CU9" s="74">
        <f>'77'!R51</f>
        <v>-0.97435897435897445</v>
      </c>
      <c r="CV9" s="74">
        <f>'77'!Q51</f>
        <v>-0.97435897435897445</v>
      </c>
      <c r="CW9" s="74">
        <f>'77'!P51</f>
        <v>-0.97435897435897445</v>
      </c>
      <c r="CX9" s="74">
        <f>'77'!O51</f>
        <v>2.564102564102555E-2</v>
      </c>
      <c r="CY9" s="74">
        <f>'77'!N51</f>
        <v>2.564102564102555E-2</v>
      </c>
      <c r="CZ9" s="74">
        <f>'77'!M51</f>
        <v>-2.9743589743589745</v>
      </c>
      <c r="DA9" s="74">
        <f>'77'!L51</f>
        <v>1.0256410256410255</v>
      </c>
      <c r="DB9" s="74">
        <f>'77'!K51</f>
        <v>2.564102564102564E-2</v>
      </c>
      <c r="DC9" s="118">
        <v>42</v>
      </c>
    </row>
    <row r="10" spans="1:107">
      <c r="B10" s="114"/>
      <c r="C10" s="74"/>
      <c r="D10" s="74"/>
      <c r="E10" s="74"/>
      <c r="F10" s="114"/>
      <c r="G10" s="74"/>
      <c r="H10" s="74"/>
      <c r="I10" s="74"/>
      <c r="J10" s="114"/>
      <c r="K10" s="74"/>
      <c r="L10" s="74"/>
      <c r="M10" s="74"/>
      <c r="N10" s="114"/>
      <c r="O10" s="74"/>
      <c r="P10" s="74"/>
      <c r="Q10" s="74"/>
      <c r="R10" s="114"/>
      <c r="S10" s="129"/>
      <c r="T10" s="123" t="s">
        <v>170</v>
      </c>
      <c r="U10" s="123" t="s">
        <v>170</v>
      </c>
      <c r="V10" s="130"/>
      <c r="W10" s="127"/>
      <c r="X10" s="118">
        <f>'77'!D52</f>
        <v>39</v>
      </c>
      <c r="Y10" s="74">
        <f>'77'!E52</f>
        <v>0</v>
      </c>
      <c r="Z10" s="74">
        <f>'77'!F52</f>
        <v>0</v>
      </c>
      <c r="AA10" s="74">
        <f>'77'!G52</f>
        <v>0</v>
      </c>
      <c r="AB10" s="74">
        <f>'77'!H52</f>
        <v>0</v>
      </c>
      <c r="AC10" s="74">
        <f>'77'!I52</f>
        <v>0</v>
      </c>
      <c r="AD10" s="74">
        <f>'77'!CI52</f>
        <v>-1.282051282051282E-2</v>
      </c>
      <c r="AE10" s="74">
        <f>'77'!CH52</f>
        <v>-1.282051282051282E-2</v>
      </c>
      <c r="AF10" s="74">
        <f>'77'!CG52</f>
        <v>-1.282051282051282E-2</v>
      </c>
      <c r="AG10" s="74">
        <f>'77'!CF52</f>
        <v>0.98717948717948723</v>
      </c>
      <c r="AH10" s="74">
        <f>'77'!CE52</f>
        <v>-1.2820512820512775E-2</v>
      </c>
      <c r="AI10" s="74">
        <f>'77'!CD52</f>
        <v>0.98717948717948723</v>
      </c>
      <c r="AJ10" s="74">
        <f>'77'!CC52</f>
        <v>-1.2820512820512775E-2</v>
      </c>
      <c r="AK10" s="74">
        <f>'77'!CB52</f>
        <v>0.98717948717948723</v>
      </c>
      <c r="AL10" s="74">
        <f>'77'!CA52</f>
        <v>0.98717948717948723</v>
      </c>
      <c r="AM10" s="74">
        <f>'77'!BZ52</f>
        <v>0.98717948717948723</v>
      </c>
      <c r="AN10" s="74">
        <f>'77'!BY52</f>
        <v>-1.2820512820512775E-2</v>
      </c>
      <c r="AO10" s="74">
        <f>'77'!BX52</f>
        <v>-1.2820512820512775E-2</v>
      </c>
      <c r="AP10" s="74">
        <f>'77'!BW52</f>
        <v>0.98717948717948723</v>
      </c>
      <c r="AQ10" s="74">
        <f>'77'!BV52</f>
        <v>-1.2820512820512775E-2</v>
      </c>
      <c r="AR10" s="74">
        <f>'77'!BU52</f>
        <v>-1.0128205128205128</v>
      </c>
      <c r="AS10" s="74">
        <f>'77'!BT52</f>
        <v>-1.2820512820512775E-2</v>
      </c>
      <c r="AT10" s="74">
        <f>'77'!BS52</f>
        <v>-1.0128205128205128</v>
      </c>
      <c r="AU10" s="74">
        <f>'77'!BR52</f>
        <v>-1.2820512820512775E-2</v>
      </c>
      <c r="AV10" s="74">
        <f>'77'!BQ52</f>
        <v>0.98717948717948723</v>
      </c>
      <c r="AW10" s="74">
        <f>'77'!BP52</f>
        <v>-1.2820512820512775E-2</v>
      </c>
      <c r="AX10" s="74">
        <f>'77'!BO52</f>
        <v>-1.0128205128205128</v>
      </c>
      <c r="AY10" s="74">
        <f>'77'!BN52</f>
        <v>-1.0128205128205128</v>
      </c>
      <c r="AZ10" s="74">
        <f>'77'!BM52</f>
        <v>-1.2820512820512775E-2</v>
      </c>
      <c r="BA10" s="74">
        <f>'77'!BL52</f>
        <v>0.98717948717948723</v>
      </c>
      <c r="BB10" s="74">
        <f>'77'!BK52</f>
        <v>-1.2820512820512775E-2</v>
      </c>
      <c r="BC10" s="74">
        <f>'77'!BJ52</f>
        <v>-1.0128205128205128</v>
      </c>
      <c r="BD10" s="74">
        <f>'77'!BI52</f>
        <v>-1.2820512820512775E-2</v>
      </c>
      <c r="BE10" s="74">
        <f>'77'!BH52</f>
        <v>-1.2820512820512775E-2</v>
      </c>
      <c r="BF10" s="74">
        <f>'77'!BG52</f>
        <v>-1.2820512820512775E-2</v>
      </c>
      <c r="BG10" s="74">
        <f>'77'!BF52</f>
        <v>-1.2820512820512775E-2</v>
      </c>
      <c r="BH10" s="74">
        <f>'77'!BE52</f>
        <v>-1.2820512820512775E-2</v>
      </c>
      <c r="BI10" s="74">
        <f>'77'!BD52</f>
        <v>0.98717948717948723</v>
      </c>
      <c r="BJ10" s="74">
        <f>'77'!BC52</f>
        <v>-1.2820512820512775E-2</v>
      </c>
      <c r="BK10" s="74">
        <f>'77'!BB52</f>
        <v>0.98717948717948723</v>
      </c>
      <c r="BL10" s="74">
        <f>'77'!BA52</f>
        <v>-1.2820512820512775E-2</v>
      </c>
      <c r="BM10" s="74">
        <f>'77'!AZ52</f>
        <v>0.98717948717948723</v>
      </c>
      <c r="BN10" s="74">
        <f>'77'!AY52</f>
        <v>-1.2820512820512775E-2</v>
      </c>
      <c r="BO10" s="74">
        <f>'77'!AX52</f>
        <v>0.98717948717948723</v>
      </c>
      <c r="BP10" s="74">
        <f>'77'!AW52</f>
        <v>-1.0128205128205128</v>
      </c>
      <c r="BQ10" s="74">
        <f>'77'!AV52</f>
        <v>-1.2820512820512775E-2</v>
      </c>
      <c r="BR10" s="74">
        <f>'77'!AU52</f>
        <v>-1.2820512820512775E-2</v>
      </c>
      <c r="BS10" s="74">
        <f>'77'!AT52</f>
        <v>-1.2820512820512775E-2</v>
      </c>
      <c r="BT10" s="74">
        <f>'77'!AS52</f>
        <v>-1.0128205128205128</v>
      </c>
      <c r="BU10" s="74">
        <f>'77'!AR52</f>
        <v>-1.2820512820512775E-2</v>
      </c>
      <c r="BV10" s="74">
        <f>'77'!AQ52</f>
        <v>-1.0128205128205128</v>
      </c>
      <c r="BW10" s="74">
        <f>'77'!AP52</f>
        <v>-1.0128205128205128</v>
      </c>
      <c r="BX10" s="74">
        <f>'77'!AO52</f>
        <v>-1.0128205128205128</v>
      </c>
      <c r="BY10" s="74">
        <f>'77'!AN52</f>
        <v>-1.0128205128205128</v>
      </c>
      <c r="BZ10" s="74">
        <f>'77'!AM52</f>
        <v>-1.0128205128205128</v>
      </c>
      <c r="CA10" s="74">
        <f>'77'!AL52</f>
        <v>-1.282051282051282E-2</v>
      </c>
      <c r="CB10" s="74">
        <f>'77'!AK52</f>
        <v>0.98717948717948723</v>
      </c>
      <c r="CC10" s="74">
        <f>'77'!AJ52</f>
        <v>-1.2820512820512775E-2</v>
      </c>
      <c r="CD10" s="74">
        <f>'77'!AI52</f>
        <v>-1.2820512820512775E-2</v>
      </c>
      <c r="CE10" s="74">
        <f>'77'!AH52</f>
        <v>-1.2820512820512775E-2</v>
      </c>
      <c r="CF10" s="74">
        <f>'77'!AG52</f>
        <v>-1.2820512820512775E-2</v>
      </c>
      <c r="CG10" s="74">
        <f>'77'!AF52</f>
        <v>-1.2820512820512775E-2</v>
      </c>
      <c r="CH10" s="74">
        <f>'77'!AE52</f>
        <v>0.98717948717948723</v>
      </c>
      <c r="CI10" s="74">
        <f>'77'!AD52</f>
        <v>0.98717948717948723</v>
      </c>
      <c r="CJ10" s="74">
        <f>'77'!AC52</f>
        <v>0.98717948717948723</v>
      </c>
      <c r="CK10" s="74">
        <f>'77'!AB52</f>
        <v>1.9871794871794872</v>
      </c>
      <c r="CL10" s="74">
        <f>'77'!AA52</f>
        <v>-1.0128205128205128</v>
      </c>
      <c r="CM10" s="74">
        <f>'77'!Z52</f>
        <v>-1.2820512820512775E-2</v>
      </c>
      <c r="CN10" s="74">
        <f>'77'!Y52</f>
        <v>-1.2820512820512775E-2</v>
      </c>
      <c r="CO10" s="74">
        <f>'77'!X52</f>
        <v>-1.2820512820512775E-2</v>
      </c>
      <c r="CP10" s="74">
        <f>'77'!W52</f>
        <v>-1.2820512820512775E-2</v>
      </c>
      <c r="CQ10" s="74">
        <f>'77'!V52</f>
        <v>-1.2820512820512775E-2</v>
      </c>
      <c r="CR10" s="74">
        <f>'77'!U52</f>
        <v>-1.0128205128205128</v>
      </c>
      <c r="CS10" s="74">
        <f>'77'!T52</f>
        <v>-1.0128205128205128</v>
      </c>
      <c r="CT10" s="74">
        <f>'77'!S52</f>
        <v>-1.2820512820512775E-2</v>
      </c>
      <c r="CU10" s="74">
        <f>'77'!R52</f>
        <v>-1.2820512820512775E-2</v>
      </c>
      <c r="CV10" s="74">
        <f>'77'!Q52</f>
        <v>-1.2820512820512775E-2</v>
      </c>
      <c r="CW10" s="74">
        <f>'77'!P52</f>
        <v>-1.2820512820512775E-2</v>
      </c>
      <c r="CX10" s="74">
        <f>'77'!O52</f>
        <v>-1.2820512820512775E-2</v>
      </c>
      <c r="CY10" s="74">
        <f>'77'!N52</f>
        <v>-1.0128205128205128</v>
      </c>
      <c r="CZ10" s="74">
        <f>'77'!M52</f>
        <v>-2.0128205128205128</v>
      </c>
      <c r="DA10" s="74">
        <f>'77'!L52</f>
        <v>-1.282051282051282E-2</v>
      </c>
      <c r="DB10" s="74">
        <f>'77'!K52</f>
        <v>-1.282051282051282E-2</v>
      </c>
      <c r="DC10" s="118">
        <v>38.5</v>
      </c>
    </row>
    <row r="11" spans="1:107">
      <c r="B11" s="114">
        <v>1</v>
      </c>
      <c r="C11" s="74">
        <f t="shared" ref="C11:C65" si="9">SUM(0.25*(F11-B11),B11)</f>
        <v>1</v>
      </c>
      <c r="D11" s="74">
        <f t="shared" ref="D11:D59" si="10">SUM(0.5*(F11-B11)+B11)</f>
        <v>1</v>
      </c>
      <c r="E11" s="74">
        <f t="shared" ref="E11:E65" si="11">SUM(0.75*(F11-B11),B11)</f>
        <v>1</v>
      </c>
      <c r="F11" s="114">
        <v>1</v>
      </c>
      <c r="G11" s="74">
        <f t="shared" ref="G11:G65" si="12">SUM(0.25*(J11-F11),F11)</f>
        <v>1</v>
      </c>
      <c r="H11" s="74">
        <f t="shared" ref="H11:H65" si="13">SUM(0.5*(J11-F11),F11)</f>
        <v>1</v>
      </c>
      <c r="I11" s="74">
        <f t="shared" ref="I11:I65" si="14">SUM(0.75*(J11-F11),F11)</f>
        <v>1</v>
      </c>
      <c r="J11" s="114">
        <f t="shared" ref="J11:J65" si="15">SUM(F11,-B11,F11)</f>
        <v>1</v>
      </c>
      <c r="K11" s="74">
        <f t="shared" ref="K11:K65" si="16">SUM(0.25*(N11-J11),J11)</f>
        <v>1.8</v>
      </c>
      <c r="L11" s="74">
        <f t="shared" ref="L11:L65" si="17">SUM(0.5*(N11-J11),J11)</f>
        <v>2.6</v>
      </c>
      <c r="M11" s="74">
        <f t="shared" ref="M11:M65" si="18">SUM(0.75*(N11-J11),J11)</f>
        <v>3.4000000000000004</v>
      </c>
      <c r="N11" s="114">
        <f>SUM(F11,-B11,J11,0.25*ABS(J11-F11),0.2*(17-F11))</f>
        <v>4.2</v>
      </c>
      <c r="O11" s="74">
        <f>SUM(0.25*(R11-N11),N11)</f>
        <v>7.4</v>
      </c>
      <c r="P11" s="74">
        <f>SUM(0.5*(R11-N11),N11)</f>
        <v>10.600000000000001</v>
      </c>
      <c r="Q11" s="74">
        <f>SUM(0.75*(R11-N11),N11)</f>
        <v>13.8</v>
      </c>
      <c r="R11" s="114">
        <v>17</v>
      </c>
      <c r="S11" s="129"/>
      <c r="T11" s="117">
        <f>SUM((DB20+DB19+DB18+DB17+DB16+DB15+DB14+DB13+DB12+DA11+CZ10)*0.132,(CY9+CX9+CW8+CV8)*0.132/2,(CU7+CT7+CS7+CR7+CQ7+CP7+CO7+CN6+CM6+CL6+CK6+CJ6+CI6+CH6)*0.132/7,(CG5+CF5+CE5+CD5+CC5+CB5+CA4+BZ4+BY4+BX4+BW4+BV4)*0.132/6,17)</f>
        <v>16.843824175824174</v>
      </c>
      <c r="U11" s="117"/>
      <c r="V11" s="129"/>
      <c r="W11" s="114"/>
      <c r="X11" s="118">
        <f>'77'!D54</f>
        <v>35</v>
      </c>
      <c r="Y11" s="74">
        <f>'77'!E54</f>
        <v>0</v>
      </c>
      <c r="Z11" s="74">
        <f>'77'!F54</f>
        <v>0</v>
      </c>
      <c r="AA11" s="74">
        <f>'77'!G54</f>
        <v>0</v>
      </c>
      <c r="AB11" s="74">
        <f>'77'!H54</f>
        <v>0</v>
      </c>
      <c r="AC11" s="74">
        <f>'77'!I54</f>
        <v>0</v>
      </c>
      <c r="AD11" s="74">
        <f>'77'!CI54</f>
        <v>-0.62820512820512819</v>
      </c>
      <c r="AE11" s="74">
        <f>'77'!CH54</f>
        <v>0.37179487179487181</v>
      </c>
      <c r="AF11" s="74">
        <f>'77'!CG54</f>
        <v>1.3717948717948718</v>
      </c>
      <c r="AG11" s="74">
        <f>'77'!CF54</f>
        <v>0.37179487179487181</v>
      </c>
      <c r="AH11" s="74">
        <f>'77'!CE54</f>
        <v>0.37179487179487181</v>
      </c>
      <c r="AI11" s="74">
        <f>'77'!CD54</f>
        <v>0.37179487179487181</v>
      </c>
      <c r="AJ11" s="74">
        <f>'77'!CC54</f>
        <v>0.37179487179487181</v>
      </c>
      <c r="AK11" s="74">
        <f>'77'!CB54</f>
        <v>0.37179487179487181</v>
      </c>
      <c r="AL11" s="74">
        <f>'77'!CA54</f>
        <v>0.37179487179487181</v>
      </c>
      <c r="AM11" s="74">
        <f>'77'!BZ54</f>
        <v>1.3717948717948718</v>
      </c>
      <c r="AN11" s="74">
        <f>'77'!BY54</f>
        <v>0.37179487179487181</v>
      </c>
      <c r="AO11" s="74">
        <f>'77'!BX54</f>
        <v>-0.62820512820512819</v>
      </c>
      <c r="AP11" s="74">
        <f>'77'!BW54</f>
        <v>1.3717948717948718</v>
      </c>
      <c r="AQ11" s="74">
        <f>'77'!BV54</f>
        <v>0.37179487179487181</v>
      </c>
      <c r="AR11" s="74">
        <f>'77'!BU54</f>
        <v>0.37179487179487181</v>
      </c>
      <c r="AS11" s="74">
        <f>'77'!BT54</f>
        <v>0.37179487179487181</v>
      </c>
      <c r="AT11" s="74">
        <f>'77'!BS54</f>
        <v>-0.62820512820512819</v>
      </c>
      <c r="AU11" s="74">
        <f>'77'!BR54</f>
        <v>0.37179487179487181</v>
      </c>
      <c r="AV11" s="74">
        <f>'77'!BQ54</f>
        <v>0.37179487179487181</v>
      </c>
      <c r="AW11" s="74">
        <f>'77'!BP54</f>
        <v>0.37179487179487181</v>
      </c>
      <c r="AX11" s="74">
        <f>'77'!BO54</f>
        <v>0.37179487179487181</v>
      </c>
      <c r="AY11" s="74">
        <f>'77'!BN54</f>
        <v>0.37179487179487181</v>
      </c>
      <c r="AZ11" s="74">
        <f>'77'!BM54</f>
        <v>0.37179487179487181</v>
      </c>
      <c r="BA11" s="74">
        <f>'77'!BL54</f>
        <v>0.37179487179487181</v>
      </c>
      <c r="BB11" s="74">
        <f>'77'!BK54</f>
        <v>0.37179487179487181</v>
      </c>
      <c r="BC11" s="74">
        <f>'77'!BJ54</f>
        <v>0.37179487179487181</v>
      </c>
      <c r="BD11" s="74">
        <f>'77'!BI54</f>
        <v>0.37179487179487181</v>
      </c>
      <c r="BE11" s="74">
        <f>'77'!BH54</f>
        <v>-0.62820512820512819</v>
      </c>
      <c r="BF11" s="74">
        <f>'77'!BG54</f>
        <v>0.37179487179487181</v>
      </c>
      <c r="BG11" s="74">
        <f>'77'!BF54</f>
        <v>0.37179487179487181</v>
      </c>
      <c r="BH11" s="74">
        <f>'77'!BE54</f>
        <v>1.3717948717948718</v>
      </c>
      <c r="BI11" s="74">
        <f>'77'!BD54</f>
        <v>0.37179487179487181</v>
      </c>
      <c r="BJ11" s="74">
        <f>'77'!BC54</f>
        <v>0.37179487179487181</v>
      </c>
      <c r="BK11" s="74">
        <f>'77'!BB54</f>
        <v>0.37179487179487181</v>
      </c>
      <c r="BL11" s="74">
        <f>'77'!BA54</f>
        <v>1.3717948717948718</v>
      </c>
      <c r="BM11" s="74">
        <f>'77'!AZ54</f>
        <v>0.37179487179487181</v>
      </c>
      <c r="BN11" s="74">
        <f>'77'!AY54</f>
        <v>0.37179487179487181</v>
      </c>
      <c r="BO11" s="74">
        <f>'77'!AX54</f>
        <v>0.37179487179487181</v>
      </c>
      <c r="BP11" s="74">
        <f>'77'!AW54</f>
        <v>0.37179487179487181</v>
      </c>
      <c r="BQ11" s="74">
        <f>'77'!AV54</f>
        <v>0.37179487179487181</v>
      </c>
      <c r="BR11" s="74">
        <f>'77'!AU54</f>
        <v>0.37179487179487181</v>
      </c>
      <c r="BS11" s="74">
        <f>'77'!AT54</f>
        <v>0.37179487179487181</v>
      </c>
      <c r="BT11" s="74">
        <f>'77'!AS54</f>
        <v>1.3717948717948718</v>
      </c>
      <c r="BU11" s="74">
        <f>'77'!AR54</f>
        <v>0.37179487179487181</v>
      </c>
      <c r="BV11" s="74">
        <f>'77'!AQ54</f>
        <v>0.37179487179487181</v>
      </c>
      <c r="BW11" s="74">
        <f>'77'!AP54</f>
        <v>0.37179487179487181</v>
      </c>
      <c r="BX11" s="74">
        <f>'77'!AO54</f>
        <v>1.3717948717948718</v>
      </c>
      <c r="BY11" s="74">
        <f>'77'!AN54</f>
        <v>0.37179487179487181</v>
      </c>
      <c r="BZ11" s="74">
        <f>'77'!AM54</f>
        <v>0.37179487179487181</v>
      </c>
      <c r="CA11" s="74">
        <f>'77'!AL54</f>
        <v>0.37179487179487181</v>
      </c>
      <c r="CB11" s="74">
        <f>'77'!AK54</f>
        <v>0.37179487179487181</v>
      </c>
      <c r="CC11" s="74">
        <f>'77'!AJ54</f>
        <v>1.3717948717948723</v>
      </c>
      <c r="CD11" s="74">
        <f>'77'!AI54</f>
        <v>0.37179487179487225</v>
      </c>
      <c r="CE11" s="74">
        <f>'77'!AH54</f>
        <v>0.37179487179487225</v>
      </c>
      <c r="CF11" s="74">
        <f>'77'!AG54</f>
        <v>1.3717948717948723</v>
      </c>
      <c r="CG11" s="74">
        <f>'77'!AF54</f>
        <v>0.37179487179487225</v>
      </c>
      <c r="CH11" s="74">
        <f>'77'!AE54</f>
        <v>0.37179487179487225</v>
      </c>
      <c r="CI11" s="74">
        <f>'77'!AD54</f>
        <v>-0.62820512820512775</v>
      </c>
      <c r="CJ11" s="74">
        <f>'77'!AC54</f>
        <v>1.3717948717948723</v>
      </c>
      <c r="CK11" s="74">
        <f>'77'!AB54</f>
        <v>0.37179487179487225</v>
      </c>
      <c r="CL11" s="74">
        <f>'77'!AA54</f>
        <v>-0.62820512820512775</v>
      </c>
      <c r="CM11" s="74">
        <f>'77'!Z54</f>
        <v>0.37179487179487225</v>
      </c>
      <c r="CN11" s="74">
        <f>'77'!Y54</f>
        <v>-0.62820512820512819</v>
      </c>
      <c r="CO11" s="74">
        <f>'77'!X54</f>
        <v>-0.62820512820512819</v>
      </c>
      <c r="CP11" s="74">
        <f>'77'!W54</f>
        <v>0.37179487179487181</v>
      </c>
      <c r="CQ11" s="74">
        <f>'77'!V54</f>
        <v>1.3717948717948718</v>
      </c>
      <c r="CR11" s="74">
        <f>'77'!U54</f>
        <v>-0.62820512820512819</v>
      </c>
      <c r="CS11" s="74">
        <f>'77'!T54</f>
        <v>-0.62820512820512819</v>
      </c>
      <c r="CT11" s="74">
        <f>'77'!S54</f>
        <v>0.37179487179487181</v>
      </c>
      <c r="CU11" s="74">
        <f>'77'!R54</f>
        <v>0.37179487179487181</v>
      </c>
      <c r="CV11" s="74">
        <f>'77'!Q54</f>
        <v>0.37179487179487181</v>
      </c>
      <c r="CW11" s="74">
        <f>'77'!P54</f>
        <v>0.37179487179487181</v>
      </c>
      <c r="CX11" s="74">
        <f>'77'!O54</f>
        <v>0.37179487179487181</v>
      </c>
      <c r="CY11" s="74">
        <f>'77'!N54</f>
        <v>0.37179487179487181</v>
      </c>
      <c r="CZ11" s="74">
        <f>'77'!M54</f>
        <v>-1.6282051282051282</v>
      </c>
      <c r="DA11" s="74">
        <f>'77'!L54</f>
        <v>1.3717948717948718</v>
      </c>
      <c r="DB11" s="74">
        <f>'77'!K54</f>
        <v>0.37179487179487181</v>
      </c>
      <c r="DC11" s="118">
        <v>35</v>
      </c>
    </row>
    <row r="12" spans="1:107">
      <c r="B12" s="114"/>
      <c r="C12" s="74"/>
      <c r="D12" s="74"/>
      <c r="E12" s="74"/>
      <c r="F12" s="114"/>
      <c r="G12" s="74"/>
      <c r="H12" s="74"/>
      <c r="I12" s="74"/>
      <c r="J12" s="114"/>
      <c r="K12" s="74"/>
      <c r="L12" s="74"/>
      <c r="M12" s="74"/>
      <c r="N12" s="114"/>
      <c r="O12" s="74"/>
      <c r="P12" s="74"/>
      <c r="Q12" s="74"/>
      <c r="R12" s="114"/>
      <c r="S12" s="129"/>
      <c r="T12" s="117"/>
      <c r="U12" s="117"/>
      <c r="V12" s="129"/>
      <c r="W12" s="114"/>
      <c r="X12" s="118">
        <f>'77'!D56</f>
        <v>31</v>
      </c>
      <c r="Y12" s="74">
        <f>'77'!E56</f>
        <v>0</v>
      </c>
      <c r="Z12" s="74">
        <f>'77'!F56</f>
        <v>0</v>
      </c>
      <c r="AA12" s="74">
        <f>'77'!G56</f>
        <v>0</v>
      </c>
      <c r="AB12" s="74">
        <f>'77'!H56</f>
        <v>0</v>
      </c>
      <c r="AC12" s="74">
        <f>'77'!I56</f>
        <v>0</v>
      </c>
      <c r="AD12" s="119">
        <f>'77'!CI56</f>
        <v>-0.91025641025641024</v>
      </c>
      <c r="AE12" s="119">
        <f>'77'!CH56</f>
        <v>8.9743589743589758E-2</v>
      </c>
      <c r="AF12" s="119">
        <f>'77'!CG56</f>
        <v>1.0897435897435896</v>
      </c>
      <c r="AG12" s="119">
        <f>'77'!CF56</f>
        <v>8.9743589743589744E-2</v>
      </c>
      <c r="AH12" s="119">
        <f>'77'!CE56</f>
        <v>8.9743589743589744E-2</v>
      </c>
      <c r="AI12" s="119">
        <f>'77'!CD56</f>
        <v>8.9743589743589744E-2</v>
      </c>
      <c r="AJ12" s="119">
        <f>'77'!CC56</f>
        <v>1.0897435897435896</v>
      </c>
      <c r="AK12" s="119">
        <f>'77'!CB56</f>
        <v>1.0897435897435899</v>
      </c>
      <c r="AL12" s="119">
        <f>'77'!CA56</f>
        <v>8.9743589743589869E-2</v>
      </c>
      <c r="AM12" s="119">
        <f>'77'!BZ56</f>
        <v>1.0897435897435899</v>
      </c>
      <c r="AN12" s="119">
        <f>'77'!BY56</f>
        <v>-0.91025641025641013</v>
      </c>
      <c r="AO12" s="119">
        <f>'77'!BX56</f>
        <v>8.9743589743589869E-2</v>
      </c>
      <c r="AP12" s="119">
        <f>'77'!BW56</f>
        <v>1.0897435897435899</v>
      </c>
      <c r="AQ12" s="119">
        <f>'77'!BV56</f>
        <v>1.0897435897435894</v>
      </c>
      <c r="AR12" s="119">
        <f>'77'!BU56</f>
        <v>-0.91025641025641013</v>
      </c>
      <c r="AS12" s="119">
        <f>'77'!BT56</f>
        <v>-0.91025641025641013</v>
      </c>
      <c r="AT12" s="119">
        <f>'77'!BS56</f>
        <v>-1.9102564102564104</v>
      </c>
      <c r="AU12" s="119">
        <f>'77'!BR56</f>
        <v>-0.91025641025641024</v>
      </c>
      <c r="AV12" s="119">
        <f>'77'!BQ56</f>
        <v>8.9743589743589758E-2</v>
      </c>
      <c r="AW12" s="119">
        <f>'77'!BP56</f>
        <v>8.9743589743589758E-2</v>
      </c>
      <c r="AX12" s="119">
        <f>'77'!BO56</f>
        <v>-0.91025641025641035</v>
      </c>
      <c r="AY12" s="119">
        <f>'77'!BN56</f>
        <v>-0.91025641025641013</v>
      </c>
      <c r="AZ12" s="119">
        <f>'77'!BM56</f>
        <v>8.9743589743589869E-2</v>
      </c>
      <c r="BA12" s="119">
        <f>'77'!BL56</f>
        <v>8.9743589743589869E-2</v>
      </c>
      <c r="BB12" s="119">
        <f>'77'!BK56</f>
        <v>8.9743589743589869E-2</v>
      </c>
      <c r="BC12" s="119">
        <f>'77'!BJ56</f>
        <v>-0.91025641025641013</v>
      </c>
      <c r="BD12" s="119">
        <f>'77'!BI56</f>
        <v>8.9743589743589869E-2</v>
      </c>
      <c r="BE12" s="119">
        <f>'77'!BH56</f>
        <v>-0.91025641025641058</v>
      </c>
      <c r="BF12" s="119">
        <f>'77'!BG56</f>
        <v>8.9743589743589425E-2</v>
      </c>
      <c r="BG12" s="119">
        <f>'77'!BF56</f>
        <v>8.9743589743589425E-2</v>
      </c>
      <c r="BH12" s="119">
        <f>'77'!BE56</f>
        <v>8.9743589743589425E-2</v>
      </c>
      <c r="BI12" s="119">
        <f>'77'!BD56</f>
        <v>8.9743589743589425E-2</v>
      </c>
      <c r="BJ12" s="119">
        <f>'77'!BC56</f>
        <v>8.9743589743589425E-2</v>
      </c>
      <c r="BK12" s="119">
        <f>'77'!BB56</f>
        <v>8.9743589743589425E-2</v>
      </c>
      <c r="BL12" s="119">
        <f>'77'!BA56</f>
        <v>8.9743589743589425E-2</v>
      </c>
      <c r="BM12" s="119">
        <f>'77'!AZ56</f>
        <v>8.9743589743589425E-2</v>
      </c>
      <c r="BN12" s="119">
        <f>'77'!AY56</f>
        <v>8.9743589743589425E-2</v>
      </c>
      <c r="BO12" s="119">
        <f>'77'!AX56</f>
        <v>8.9743589743589425E-2</v>
      </c>
      <c r="BP12" s="119">
        <f>'77'!AW56</f>
        <v>8.9743589743589425E-2</v>
      </c>
      <c r="BQ12" s="119">
        <f>'77'!AV56</f>
        <v>-0.91025641025641058</v>
      </c>
      <c r="BR12" s="119">
        <f>'77'!AU56</f>
        <v>8.9743589743589425E-2</v>
      </c>
      <c r="BS12" s="119">
        <f>'77'!AT56</f>
        <v>8.9743589743589425E-2</v>
      </c>
      <c r="BT12" s="119">
        <f>'77'!AS56</f>
        <v>8.9743589743589425E-2</v>
      </c>
      <c r="BU12" s="119">
        <f>'77'!AR56</f>
        <v>8.9743589743589425E-2</v>
      </c>
      <c r="BV12" s="119">
        <f>'77'!AQ56</f>
        <v>8.9743589743589425E-2</v>
      </c>
      <c r="BW12" s="119">
        <f>'77'!AP56</f>
        <v>8.9743589743589425E-2</v>
      </c>
      <c r="BX12" s="119">
        <f>'77'!AO56</f>
        <v>1.0897435897435894</v>
      </c>
      <c r="BY12" s="119">
        <f>'77'!AN56</f>
        <v>8.9743589743589425E-2</v>
      </c>
      <c r="BZ12" s="119">
        <f>'77'!AM56</f>
        <v>1.0897435897435899</v>
      </c>
      <c r="CA12" s="119">
        <f>'77'!AL56</f>
        <v>1.0897435897435899</v>
      </c>
      <c r="CB12" s="119">
        <f>'77'!AK56</f>
        <v>1.0897435897435896</v>
      </c>
      <c r="CC12" s="119">
        <f>'77'!AJ56</f>
        <v>8.9743589743589647E-2</v>
      </c>
      <c r="CD12" s="119">
        <f>'77'!AI56</f>
        <v>1.0897435897435899</v>
      </c>
      <c r="CE12" s="119">
        <f>'77'!AH56</f>
        <v>1.0897435897435896</v>
      </c>
      <c r="CF12" s="119">
        <f>'77'!AG56</f>
        <v>1.0897435897435896</v>
      </c>
      <c r="CG12" s="119">
        <f>'77'!AF56</f>
        <v>1.0897435897435899</v>
      </c>
      <c r="CH12" s="119">
        <f>'77'!AE56</f>
        <v>1.0897435897435899</v>
      </c>
      <c r="CI12" s="119">
        <f>'77'!AD56</f>
        <v>8.9743589743589869E-2</v>
      </c>
      <c r="CJ12" s="119">
        <f>'77'!AC56</f>
        <v>1.0897435897435894</v>
      </c>
      <c r="CK12" s="119">
        <f>'77'!AB56</f>
        <v>1.0897435897435894</v>
      </c>
      <c r="CL12" s="119">
        <f>'77'!AA56</f>
        <v>8.9743589743589425E-2</v>
      </c>
      <c r="CM12" s="119">
        <f>'77'!Z56</f>
        <v>8.9743589743589425E-2</v>
      </c>
      <c r="CN12" s="119">
        <f>'77'!Y56</f>
        <v>8.9743589743589425E-2</v>
      </c>
      <c r="CO12" s="119">
        <f>'77'!X56</f>
        <v>8.9743589743589425E-2</v>
      </c>
      <c r="CP12" s="119">
        <f>'77'!W56</f>
        <v>1.0897435897435894</v>
      </c>
      <c r="CQ12" s="119">
        <f>'77'!V56</f>
        <v>8.9743589743589425E-2</v>
      </c>
      <c r="CR12" s="119">
        <f>'77'!U56</f>
        <v>-0.91025641025641058</v>
      </c>
      <c r="CS12" s="119">
        <f>'77'!T56</f>
        <v>-0.91025641025641058</v>
      </c>
      <c r="CT12" s="119">
        <f>'77'!S56</f>
        <v>8.9743589743589425E-2</v>
      </c>
      <c r="CU12" s="119">
        <f>'77'!R56</f>
        <v>-0.91025641025641013</v>
      </c>
      <c r="CV12" s="119">
        <f>'77'!Q56</f>
        <v>8.9743589743589869E-2</v>
      </c>
      <c r="CW12" s="119">
        <f>'77'!P56</f>
        <v>8.9743589743589869E-2</v>
      </c>
      <c r="CX12" s="119">
        <f>'77'!O56</f>
        <v>8.9743589743589869E-2</v>
      </c>
      <c r="CY12" s="119">
        <f>'77'!N56</f>
        <v>-1.9102564102564104</v>
      </c>
      <c r="CZ12" s="119">
        <f>'77'!M56</f>
        <v>-1.9102564102564101</v>
      </c>
      <c r="DA12" s="119">
        <f>'77'!L56</f>
        <v>1.0897435897435896</v>
      </c>
      <c r="DB12" s="119">
        <f>'77'!K56</f>
        <v>8.9743589743589744E-2</v>
      </c>
      <c r="DC12" s="118">
        <v>31.5</v>
      </c>
    </row>
    <row r="13" spans="1:107">
      <c r="B13" s="114">
        <v>1</v>
      </c>
      <c r="C13" s="74">
        <f t="shared" si="9"/>
        <v>1.25</v>
      </c>
      <c r="D13" s="74">
        <f t="shared" si="10"/>
        <v>1.5</v>
      </c>
      <c r="E13" s="74">
        <f t="shared" si="11"/>
        <v>1.75</v>
      </c>
      <c r="F13" s="114">
        <v>2</v>
      </c>
      <c r="G13" s="74">
        <f t="shared" si="12"/>
        <v>2.25</v>
      </c>
      <c r="H13" s="74">
        <f t="shared" si="13"/>
        <v>2.5</v>
      </c>
      <c r="I13" s="74">
        <f t="shared" si="14"/>
        <v>2.75</v>
      </c>
      <c r="J13" s="114">
        <f t="shared" si="15"/>
        <v>3</v>
      </c>
      <c r="K13" s="74">
        <f t="shared" si="16"/>
        <v>3.3125</v>
      </c>
      <c r="L13" s="74">
        <f t="shared" si="17"/>
        <v>3.625</v>
      </c>
      <c r="M13" s="74">
        <f t="shared" si="18"/>
        <v>3.9375</v>
      </c>
      <c r="N13" s="114">
        <f>SUM(F13,-B13,J13,0.25*ABS(J13-F13))</f>
        <v>4.25</v>
      </c>
      <c r="O13" s="74">
        <f>SUM(0.25*(R13-N13),N13)</f>
        <v>7.4375</v>
      </c>
      <c r="P13" s="74">
        <f>SUM(0.5*(R13-N13),N13)</f>
        <v>10.625</v>
      </c>
      <c r="Q13" s="74">
        <f>SUM(0.75*(R13-N13),N13)</f>
        <v>13.8125</v>
      </c>
      <c r="R13" s="114">
        <v>17</v>
      </c>
      <c r="S13" s="129"/>
      <c r="T13" s="117">
        <f>SUM((DB20+DA19+DA18+CZ17+CZ16+CY15+CY14+CX13+CX12+CW11+CW10+CV9+CU8)*0.132,(CT7+CS7+CR7+CQ7+CP7+CO7+CN7)*0.132/7,(CM6+CL6+CK6+CJ6+CI6+CH6+CG5+CF5+CE5+CD5+CC5+CB5+CA4+BZ4+BY4+BX4+BW4+BV4)*0.132/6,17)</f>
        <v>16.714967032967031</v>
      </c>
      <c r="U13" s="117"/>
      <c r="V13" s="129"/>
      <c r="W13" s="114"/>
      <c r="X13" s="118">
        <f>'77'!D57</f>
        <v>29</v>
      </c>
      <c r="Y13" s="74">
        <f>'77'!E57</f>
        <v>0</v>
      </c>
      <c r="Z13" s="74">
        <f>'77'!F57</f>
        <v>0</v>
      </c>
      <c r="AA13" s="74">
        <f>'77'!G57</f>
        <v>0</v>
      </c>
      <c r="AB13" s="74">
        <f>'77'!H57</f>
        <v>0</v>
      </c>
      <c r="AC13" s="74">
        <f>'77'!I57</f>
        <v>0</v>
      </c>
      <c r="AD13" s="74">
        <f>'77'!CI57</f>
        <v>-0.17948717948717949</v>
      </c>
      <c r="AE13" s="74">
        <f>'77'!CH57</f>
        <v>-0.17948717948717949</v>
      </c>
      <c r="AF13" s="74">
        <f>'77'!CG57</f>
        <v>-0.17948717948717949</v>
      </c>
      <c r="AG13" s="74">
        <f>'77'!CF57</f>
        <v>-0.17948717948717949</v>
      </c>
      <c r="AH13" s="74">
        <f>'77'!CE57</f>
        <v>-0.17948717948717949</v>
      </c>
      <c r="AI13" s="74">
        <f>'77'!CD57</f>
        <v>-0.17948717948717949</v>
      </c>
      <c r="AJ13" s="74">
        <f>'77'!CC57</f>
        <v>-0.17948717948717949</v>
      </c>
      <c r="AK13" s="74">
        <f>'77'!CB57</f>
        <v>-0.17948717948717949</v>
      </c>
      <c r="AL13" s="74">
        <f>'77'!CA57</f>
        <v>-0.17948717948717949</v>
      </c>
      <c r="AM13" s="74">
        <f>'77'!BZ57</f>
        <v>-0.17948717948717949</v>
      </c>
      <c r="AN13" s="74">
        <f>'77'!BY57</f>
        <v>-1.1794871794871795</v>
      </c>
      <c r="AO13" s="74">
        <f>'77'!BX57</f>
        <v>-1.1794871794871793</v>
      </c>
      <c r="AP13" s="74">
        <f>'77'!BW57</f>
        <v>-1.1794871794871793</v>
      </c>
      <c r="AQ13" s="74">
        <f>'77'!BV57</f>
        <v>-1.1794871794871797</v>
      </c>
      <c r="AR13" s="74">
        <f>'77'!BU57</f>
        <v>-2.1794871794871797</v>
      </c>
      <c r="AS13" s="74">
        <f>'77'!BT57</f>
        <v>-2.1794871794871788</v>
      </c>
      <c r="AT13" s="74">
        <f>'77'!BS57</f>
        <v>-1.1794871794871788</v>
      </c>
      <c r="AU13" s="74">
        <f>'77'!BR57</f>
        <v>-3.1794871794871788</v>
      </c>
      <c r="AV13" s="74">
        <f>'77'!BQ57</f>
        <v>-0.17948717948717885</v>
      </c>
      <c r="AW13" s="74">
        <f>'77'!BP57</f>
        <v>-1.1794871794871788</v>
      </c>
      <c r="AX13" s="74">
        <f>'77'!BO57</f>
        <v>-0.17948717948717885</v>
      </c>
      <c r="AY13" s="74">
        <f>'77'!BN57</f>
        <v>-1.1794871794871788</v>
      </c>
      <c r="AZ13" s="74">
        <f>'77'!BM57</f>
        <v>-1.1794871794871788</v>
      </c>
      <c r="BA13" s="74">
        <f>'77'!BL57</f>
        <v>-2.1794871794871788</v>
      </c>
      <c r="BB13" s="74">
        <f>'77'!BK57</f>
        <v>-0.17948717948717885</v>
      </c>
      <c r="BC13" s="74">
        <f>'77'!BJ57</f>
        <v>0.82051282051282115</v>
      </c>
      <c r="BD13" s="74">
        <f>'77'!BI57</f>
        <v>-0.17948717948717885</v>
      </c>
      <c r="BE13" s="74">
        <f>'77'!BH57</f>
        <v>0.82051282051282115</v>
      </c>
      <c r="BF13" s="74">
        <f>'77'!BG57</f>
        <v>-0.17948717948717885</v>
      </c>
      <c r="BG13" s="74">
        <f>'77'!BF57</f>
        <v>-0.17948717948717885</v>
      </c>
      <c r="BH13" s="74">
        <f>'77'!BE57</f>
        <v>-0.17948717948717885</v>
      </c>
      <c r="BI13" s="74">
        <f>'77'!BD57</f>
        <v>-0.17948717948717885</v>
      </c>
      <c r="BJ13" s="74">
        <f>'77'!BC57</f>
        <v>-0.17948717948717885</v>
      </c>
      <c r="BK13" s="74">
        <f>'77'!BB57</f>
        <v>-1.1794871794871788</v>
      </c>
      <c r="BL13" s="74">
        <f>'77'!BA57</f>
        <v>-0.17948717948717885</v>
      </c>
      <c r="BM13" s="74">
        <f>'77'!AZ57</f>
        <v>-0.17948717948717885</v>
      </c>
      <c r="BN13" s="74">
        <f>'77'!AY57</f>
        <v>-1.1794871794871788</v>
      </c>
      <c r="BO13" s="74">
        <f>'77'!AX57</f>
        <v>-0.17948717948717885</v>
      </c>
      <c r="BP13" s="74">
        <f>'77'!AW57</f>
        <v>-0.17948717948717885</v>
      </c>
      <c r="BQ13" s="74">
        <f>'77'!AV57</f>
        <v>-1.1794871794871788</v>
      </c>
      <c r="BR13" s="74">
        <f>'77'!AU57</f>
        <v>-0.17948717948717885</v>
      </c>
      <c r="BS13" s="74">
        <f>'77'!AT57</f>
        <v>-1.1794871794871788</v>
      </c>
      <c r="BT13" s="74">
        <f>'77'!AS57</f>
        <v>-0.17948717948717885</v>
      </c>
      <c r="BU13" s="74">
        <f>'77'!AR57</f>
        <v>-0.17948717948717885</v>
      </c>
      <c r="BV13" s="74">
        <f>'77'!AQ57</f>
        <v>-1.1794871794871788</v>
      </c>
      <c r="BW13" s="74">
        <f>'77'!AP57</f>
        <v>-0.17948717948717885</v>
      </c>
      <c r="BX13" s="74">
        <f>'77'!AO57</f>
        <v>-0.17948717948717885</v>
      </c>
      <c r="BY13" s="74">
        <f>'77'!AN57</f>
        <v>-1.1794871794871788</v>
      </c>
      <c r="BZ13" s="74">
        <f>'77'!AM57</f>
        <v>-1.1794871794871788</v>
      </c>
      <c r="CA13" s="74">
        <f>'77'!AL57</f>
        <v>-0.17948717948717885</v>
      </c>
      <c r="CB13" s="74">
        <f>'77'!AK57</f>
        <v>0.82051282051282115</v>
      </c>
      <c r="CC13" s="74">
        <f>'77'!AJ57</f>
        <v>0.82051282051282115</v>
      </c>
      <c r="CD13" s="74">
        <f>'77'!AI57</f>
        <v>0.82051282051282115</v>
      </c>
      <c r="CE13" s="74">
        <f>'77'!AH57</f>
        <v>-0.17948717948717885</v>
      </c>
      <c r="CF13" s="74">
        <f>'77'!AG57</f>
        <v>0.82051282051282115</v>
      </c>
      <c r="CG13" s="74">
        <f>'77'!AF57</f>
        <v>0.82051282051282115</v>
      </c>
      <c r="CH13" s="74">
        <f>'77'!AE57</f>
        <v>1.8205128205128212</v>
      </c>
      <c r="CI13" s="74">
        <f>'77'!AD57</f>
        <v>1.8205128205128212</v>
      </c>
      <c r="CJ13" s="74">
        <f>'77'!AC57</f>
        <v>2.8205128205128212</v>
      </c>
      <c r="CK13" s="74">
        <f>'77'!AB57</f>
        <v>1.8205128205128212</v>
      </c>
      <c r="CL13" s="74">
        <f>'77'!AA57</f>
        <v>0.82051282051282026</v>
      </c>
      <c r="CM13" s="74">
        <f>'77'!Z57</f>
        <v>1.8205128205128203</v>
      </c>
      <c r="CN13" s="74">
        <f>'77'!Y57</f>
        <v>-0.17948717948717974</v>
      </c>
      <c r="CO13" s="74">
        <f>'77'!X57</f>
        <v>0.82051282051282026</v>
      </c>
      <c r="CP13" s="74">
        <f>'77'!W57</f>
        <v>0.82051282051282071</v>
      </c>
      <c r="CQ13" s="74">
        <f>'77'!V57</f>
        <v>0.82051282051282071</v>
      </c>
      <c r="CR13" s="74">
        <f>'77'!U57</f>
        <v>-0.17948717948717929</v>
      </c>
      <c r="CS13" s="74">
        <f>'77'!T57</f>
        <v>0.82051282051282048</v>
      </c>
      <c r="CT13" s="74">
        <f>'77'!S57</f>
        <v>0.82051282051282048</v>
      </c>
      <c r="CU13" s="74">
        <f>'77'!R57</f>
        <v>-0.17948717948717949</v>
      </c>
      <c r="CV13" s="74">
        <f>'77'!Q57</f>
        <v>0.82051282051282048</v>
      </c>
      <c r="CW13" s="74">
        <f>'77'!P57</f>
        <v>-0.17948717948717952</v>
      </c>
      <c r="CX13" s="74">
        <f>'77'!O57</f>
        <v>-0.17948717948717952</v>
      </c>
      <c r="CY13" s="74">
        <f>'77'!N57</f>
        <v>-0.17948717948717952</v>
      </c>
      <c r="CZ13" s="74">
        <f>'77'!M57</f>
        <v>-2.1794871794871797</v>
      </c>
      <c r="DA13" s="74">
        <f>'77'!L57</f>
        <v>0.82051282051282048</v>
      </c>
      <c r="DB13" s="74">
        <f>'77'!K57</f>
        <v>-0.17948717948717949</v>
      </c>
      <c r="DC13" s="118">
        <v>28</v>
      </c>
    </row>
    <row r="14" spans="1:107">
      <c r="B14" s="114">
        <v>2</v>
      </c>
      <c r="C14" s="74">
        <f t="shared" si="9"/>
        <v>2</v>
      </c>
      <c r="D14" s="74">
        <f t="shared" si="10"/>
        <v>2</v>
      </c>
      <c r="E14" s="74">
        <f t="shared" si="11"/>
        <v>2</v>
      </c>
      <c r="F14" s="114">
        <v>2</v>
      </c>
      <c r="G14" s="74">
        <f t="shared" si="12"/>
        <v>2</v>
      </c>
      <c r="H14" s="74">
        <f t="shared" si="13"/>
        <v>2</v>
      </c>
      <c r="I14" s="74">
        <f t="shared" si="14"/>
        <v>2</v>
      </c>
      <c r="J14" s="114">
        <f t="shared" si="15"/>
        <v>2</v>
      </c>
      <c r="K14" s="74">
        <f t="shared" si="16"/>
        <v>2.75</v>
      </c>
      <c r="L14" s="74">
        <f t="shared" si="17"/>
        <v>3.5</v>
      </c>
      <c r="M14" s="74">
        <f t="shared" si="18"/>
        <v>4.25</v>
      </c>
      <c r="N14" s="114">
        <f>SUM(F14,-B14,J14,0.2*ABS(J14-F14),0.2*(17-F14))</f>
        <v>5</v>
      </c>
      <c r="O14" s="74">
        <f>SUM(0.25*(R14-N14),N14)</f>
        <v>8</v>
      </c>
      <c r="P14" s="74">
        <f>SUM(0.5*(R14-N14),N14)</f>
        <v>11</v>
      </c>
      <c r="Q14" s="74">
        <f>SUM(0.75*(R14-N14),N14)</f>
        <v>14</v>
      </c>
      <c r="R14" s="114">
        <v>17</v>
      </c>
      <c r="S14" s="129"/>
      <c r="T14" s="117">
        <f>SUM((CZ20+CZ19+CZ18+CZ17+CZ16+CZ15+CZ14+CZ13+CZ12+CY11+CX10)*0.132,(CW9+CV9+CU8+CT8)*0.132/2,(CS7+CR7+CQ7+CP7+CO7+CN7+CM6+CL6+CK6+CJ6+CI6+CH6+CG5+CF5+CE5+CD5+CC5+CB5+CA4+BZ4+BY4+BX4+BW4+BV4)*0.132/6,17)</f>
        <v>15.517538461538461</v>
      </c>
      <c r="U14" s="117"/>
      <c r="V14" s="129"/>
      <c r="W14" s="114"/>
      <c r="X14" s="118">
        <f>'77'!D59</f>
        <v>25</v>
      </c>
      <c r="Y14" s="74">
        <f>'77'!E59</f>
        <v>0</v>
      </c>
      <c r="Z14" s="74">
        <f>'77'!F59</f>
        <v>0</v>
      </c>
      <c r="AA14" s="74">
        <f>'77'!G59</f>
        <v>0</v>
      </c>
      <c r="AB14" s="74">
        <f>'77'!H59</f>
        <v>0</v>
      </c>
      <c r="AC14" s="74">
        <f>'77'!I59</f>
        <v>0</v>
      </c>
      <c r="AD14" s="74">
        <f>'77'!CI59</f>
        <v>0.42307692307692307</v>
      </c>
      <c r="AE14" s="74">
        <f>'77'!CH59</f>
        <v>0.42307692307692307</v>
      </c>
      <c r="AF14" s="74">
        <f>'77'!CG59</f>
        <v>0.42307692307692307</v>
      </c>
      <c r="AG14" s="74">
        <f>'77'!CF59</f>
        <v>0.42307692307692307</v>
      </c>
      <c r="AH14" s="74">
        <f>'77'!CE59</f>
        <v>0.42307692307692307</v>
      </c>
      <c r="AI14" s="74">
        <f>'77'!CD59</f>
        <v>0.42307692307692307</v>
      </c>
      <c r="AJ14" s="74">
        <f>'77'!CC59</f>
        <v>0.42307692307692307</v>
      </c>
      <c r="AK14" s="74">
        <f>'77'!CB59</f>
        <v>0.42307692307692307</v>
      </c>
      <c r="AL14" s="74">
        <f>'77'!CA59</f>
        <v>0.42307692307692307</v>
      </c>
      <c r="AM14" s="74">
        <f>'77'!BZ59</f>
        <v>0.42307692307692307</v>
      </c>
      <c r="AN14" s="74">
        <f>'77'!BY59</f>
        <v>-0.57692307692307687</v>
      </c>
      <c r="AO14" s="74">
        <f>'77'!BX59</f>
        <v>-0.57692307692307687</v>
      </c>
      <c r="AP14" s="74">
        <f>'77'!BW59</f>
        <v>-0.57692307692307709</v>
      </c>
      <c r="AQ14" s="74">
        <f>'77'!BV59</f>
        <v>-0.57692307692307709</v>
      </c>
      <c r="AR14" s="74">
        <f>'77'!BU59</f>
        <v>-1.5769230769230766</v>
      </c>
      <c r="AS14" s="74">
        <f>'77'!BT59</f>
        <v>-1.5769230769230766</v>
      </c>
      <c r="AT14" s="74">
        <f>'77'!BS59</f>
        <v>-0.57692307692307665</v>
      </c>
      <c r="AU14" s="74">
        <f>'77'!BR59</f>
        <v>-2.5769230769230766</v>
      </c>
      <c r="AV14" s="74">
        <f>'77'!BQ59</f>
        <v>0.42307692307692335</v>
      </c>
      <c r="AW14" s="74">
        <f>'77'!BP59</f>
        <v>-0.57692307692307665</v>
      </c>
      <c r="AX14" s="74">
        <f>'77'!BO59</f>
        <v>0.42307692307692335</v>
      </c>
      <c r="AY14" s="74">
        <f>'77'!BN59</f>
        <v>-0.57692307692307665</v>
      </c>
      <c r="AZ14" s="74">
        <f>'77'!BM59</f>
        <v>-0.57692307692307665</v>
      </c>
      <c r="BA14" s="74">
        <f>'77'!BL59</f>
        <v>-1.5769230769230766</v>
      </c>
      <c r="BB14" s="74">
        <f>'77'!BK59</f>
        <v>0.42307692307692335</v>
      </c>
      <c r="BC14" s="74">
        <f>'77'!BJ59</f>
        <v>1.4230769230769234</v>
      </c>
      <c r="BD14" s="74">
        <f>'77'!BI59</f>
        <v>0.42307692307692335</v>
      </c>
      <c r="BE14" s="74">
        <f>'77'!BH59</f>
        <v>1.4230769230769234</v>
      </c>
      <c r="BF14" s="74">
        <f>'77'!BG59</f>
        <v>0.42307692307692335</v>
      </c>
      <c r="BG14" s="74">
        <f>'77'!BF59</f>
        <v>0.42307692307692335</v>
      </c>
      <c r="BH14" s="74">
        <f>'77'!BE59</f>
        <v>0.42307692307692335</v>
      </c>
      <c r="BI14" s="74">
        <f>'77'!BD59</f>
        <v>0.42307692307692335</v>
      </c>
      <c r="BJ14" s="74">
        <f>'77'!BC59</f>
        <v>0.42307692307692335</v>
      </c>
      <c r="BK14" s="74">
        <f>'77'!BB59</f>
        <v>-0.57692307692307665</v>
      </c>
      <c r="BL14" s="74">
        <f>'77'!BA59</f>
        <v>0.42307692307692335</v>
      </c>
      <c r="BM14" s="74">
        <f>'77'!AZ59</f>
        <v>0.42307692307692335</v>
      </c>
      <c r="BN14" s="74">
        <f>'77'!AY59</f>
        <v>-0.57692307692307665</v>
      </c>
      <c r="BO14" s="74">
        <f>'77'!AX59</f>
        <v>0.42307692307692335</v>
      </c>
      <c r="BP14" s="74">
        <f>'77'!AW59</f>
        <v>0.42307692307692335</v>
      </c>
      <c r="BQ14" s="74">
        <f>'77'!AV59</f>
        <v>-0.57692307692307665</v>
      </c>
      <c r="BR14" s="74">
        <f>'77'!AU59</f>
        <v>0.42307692307692335</v>
      </c>
      <c r="BS14" s="74">
        <f>'77'!AT59</f>
        <v>-0.57692307692307665</v>
      </c>
      <c r="BT14" s="74">
        <f>'77'!AS59</f>
        <v>0.42307692307692335</v>
      </c>
      <c r="BU14" s="74">
        <f>'77'!AR59</f>
        <v>0.42307692307692335</v>
      </c>
      <c r="BV14" s="74">
        <f>'77'!AQ59</f>
        <v>-0.57692307692307665</v>
      </c>
      <c r="BW14" s="74">
        <f>'77'!AP59</f>
        <v>0.42307692307692335</v>
      </c>
      <c r="BX14" s="74">
        <f>'77'!AO59</f>
        <v>0.42307692307692335</v>
      </c>
      <c r="BY14" s="74">
        <f>'77'!AN59</f>
        <v>-0.57692307692307665</v>
      </c>
      <c r="BZ14" s="74">
        <f>'77'!AM59</f>
        <v>-0.57692307692307665</v>
      </c>
      <c r="CA14" s="74">
        <f>'77'!AL59</f>
        <v>0.42307692307692335</v>
      </c>
      <c r="CB14" s="74">
        <f>'77'!AK59</f>
        <v>1.4230769230769234</v>
      </c>
      <c r="CC14" s="74">
        <f>'77'!AJ59</f>
        <v>1.4230769230769234</v>
      </c>
      <c r="CD14" s="74">
        <f>'77'!AI59</f>
        <v>1.4230769230769234</v>
      </c>
      <c r="CE14" s="74">
        <f>'77'!AH59</f>
        <v>0.42307692307692335</v>
      </c>
      <c r="CF14" s="74">
        <f>'77'!AG59</f>
        <v>1.4230769230769234</v>
      </c>
      <c r="CG14" s="74">
        <f>'77'!AF59</f>
        <v>1.4230769230769234</v>
      </c>
      <c r="CH14" s="74">
        <f>'77'!AE59</f>
        <v>2.4230769230769234</v>
      </c>
      <c r="CI14" s="74">
        <f>'77'!AD59</f>
        <v>2.4230769230769234</v>
      </c>
      <c r="CJ14" s="74">
        <f>'77'!AC59</f>
        <v>3.4230769230769234</v>
      </c>
      <c r="CK14" s="74">
        <f>'77'!AB59</f>
        <v>2.4230769230769234</v>
      </c>
      <c r="CL14" s="74">
        <f>'77'!AA59</f>
        <v>1.4230769230769234</v>
      </c>
      <c r="CM14" s="74">
        <f>'77'!Z59</f>
        <v>2.4230769230769234</v>
      </c>
      <c r="CN14" s="74">
        <f>'77'!Y59</f>
        <v>0.42307692307692335</v>
      </c>
      <c r="CO14" s="74">
        <f>'77'!X59</f>
        <v>1.4230769230769229</v>
      </c>
      <c r="CP14" s="74">
        <f>'77'!W59</f>
        <v>1.4230769230769229</v>
      </c>
      <c r="CQ14" s="74">
        <f>'77'!V59</f>
        <v>1.4230769230769231</v>
      </c>
      <c r="CR14" s="74">
        <f>'77'!U59</f>
        <v>0.42307692307692313</v>
      </c>
      <c r="CS14" s="74">
        <f>'77'!T59</f>
        <v>1.4230769230769231</v>
      </c>
      <c r="CT14" s="74">
        <f>'77'!S59</f>
        <v>1.4230769230769231</v>
      </c>
      <c r="CU14" s="74">
        <f>'77'!R59</f>
        <v>0.42307692307692307</v>
      </c>
      <c r="CV14" s="74">
        <f>'77'!Q59</f>
        <v>1.4230769230769231</v>
      </c>
      <c r="CW14" s="74">
        <f>'77'!P59</f>
        <v>0.42307692307692313</v>
      </c>
      <c r="CX14" s="74">
        <f>'77'!O59</f>
        <v>0.42307692307692313</v>
      </c>
      <c r="CY14" s="74">
        <f>'77'!N59</f>
        <v>0.42307692307692313</v>
      </c>
      <c r="CZ14" s="74">
        <f>'77'!M59</f>
        <v>-1.5769230769230769</v>
      </c>
      <c r="DA14" s="74">
        <f>'77'!L59</f>
        <v>1.4230769230769231</v>
      </c>
      <c r="DB14" s="74">
        <f>'77'!K59</f>
        <v>0.42307692307692307</v>
      </c>
      <c r="DC14" s="118">
        <v>24.5</v>
      </c>
    </row>
    <row r="15" spans="1:107">
      <c r="B15" s="114"/>
      <c r="C15" s="74"/>
      <c r="D15" s="74"/>
      <c r="E15" s="74"/>
      <c r="F15" s="114"/>
      <c r="G15" s="74"/>
      <c r="H15" s="74"/>
      <c r="I15" s="74"/>
      <c r="J15" s="114"/>
      <c r="K15" s="74"/>
      <c r="L15" s="74"/>
      <c r="M15" s="74"/>
      <c r="N15" s="114"/>
      <c r="O15" s="74"/>
      <c r="P15" s="74"/>
      <c r="Q15" s="74"/>
      <c r="R15" s="114"/>
      <c r="S15" s="129"/>
      <c r="T15" s="117"/>
      <c r="U15" s="117"/>
      <c r="V15" s="129"/>
      <c r="W15" s="114"/>
      <c r="X15" s="118">
        <f>'77'!D61</f>
        <v>21</v>
      </c>
      <c r="Y15" s="74">
        <f>'77'!E61</f>
        <v>0</v>
      </c>
      <c r="Z15" s="74">
        <f>'77'!F61</f>
        <v>0</v>
      </c>
      <c r="AA15" s="74">
        <f>'77'!G61</f>
        <v>0</v>
      </c>
      <c r="AB15" s="74">
        <f>'77'!H61</f>
        <v>0</v>
      </c>
      <c r="AC15" s="74">
        <f>'77'!I61</f>
        <v>0</v>
      </c>
      <c r="AD15" s="74">
        <f>'77'!CI61</f>
        <v>0.74358974358974361</v>
      </c>
      <c r="AE15" s="74">
        <f>'77'!CH61</f>
        <v>0.74358974358974361</v>
      </c>
      <c r="AF15" s="74">
        <f>'77'!CG61</f>
        <v>0.74358974358974361</v>
      </c>
      <c r="AG15" s="74">
        <f>'77'!CF61</f>
        <v>0.74358974358974361</v>
      </c>
      <c r="AH15" s="74">
        <f>'77'!CE61</f>
        <v>0.74358974358974361</v>
      </c>
      <c r="AI15" s="74">
        <f>'77'!CD61</f>
        <v>0.74358974358974361</v>
      </c>
      <c r="AJ15" s="74">
        <f>'77'!CC61</f>
        <v>0.74358974358974361</v>
      </c>
      <c r="AK15" s="74">
        <f>'77'!CB61</f>
        <v>0.74358974358974361</v>
      </c>
      <c r="AL15" s="74">
        <f>'77'!CA61</f>
        <v>0.74358974358974361</v>
      </c>
      <c r="AM15" s="74">
        <f>'77'!BZ61</f>
        <v>0.74358974358974361</v>
      </c>
      <c r="AN15" s="74">
        <f>'77'!BY61</f>
        <v>-0.25641025641025639</v>
      </c>
      <c r="AO15" s="74">
        <f>'77'!BX61</f>
        <v>-0.25641025641025639</v>
      </c>
      <c r="AP15" s="74">
        <f>'77'!BW61</f>
        <v>-0.25641025641025639</v>
      </c>
      <c r="AQ15" s="74">
        <f>'77'!BV61</f>
        <v>-0.25641025641025639</v>
      </c>
      <c r="AR15" s="74">
        <f>'77'!BU61</f>
        <v>-1.2564102564102564</v>
      </c>
      <c r="AS15" s="74">
        <f>'77'!BT61</f>
        <v>-1.2564102564102564</v>
      </c>
      <c r="AT15" s="74">
        <f>'77'!BS61</f>
        <v>-0.2564102564102555</v>
      </c>
      <c r="AU15" s="74">
        <f>'77'!BR61</f>
        <v>-2.2564102564102555</v>
      </c>
      <c r="AV15" s="74">
        <f>'77'!BQ61</f>
        <v>0.7435897435897445</v>
      </c>
      <c r="AW15" s="74">
        <f>'77'!BP61</f>
        <v>-0.2564102564102555</v>
      </c>
      <c r="AX15" s="74">
        <f>'77'!BO61</f>
        <v>0.7435897435897445</v>
      </c>
      <c r="AY15" s="74">
        <f>'77'!BN61</f>
        <v>-0.2564102564102555</v>
      </c>
      <c r="AZ15" s="74">
        <f>'77'!BM61</f>
        <v>-0.2564102564102555</v>
      </c>
      <c r="BA15" s="74">
        <f>'77'!BL61</f>
        <v>-1.2564102564102555</v>
      </c>
      <c r="BB15" s="74">
        <f>'77'!BK61</f>
        <v>0.7435897435897445</v>
      </c>
      <c r="BC15" s="74">
        <f>'77'!BJ61</f>
        <v>1.7435897435897445</v>
      </c>
      <c r="BD15" s="74">
        <f>'77'!BI61</f>
        <v>0.7435897435897445</v>
      </c>
      <c r="BE15" s="74">
        <f>'77'!BH61</f>
        <v>1.7435897435897445</v>
      </c>
      <c r="BF15" s="74">
        <f>'77'!BG61</f>
        <v>0.7435897435897445</v>
      </c>
      <c r="BG15" s="74">
        <f>'77'!BF61</f>
        <v>0.7435897435897445</v>
      </c>
      <c r="BH15" s="74">
        <f>'77'!BE61</f>
        <v>0.7435897435897445</v>
      </c>
      <c r="BI15" s="74">
        <f>'77'!BD61</f>
        <v>0.7435897435897445</v>
      </c>
      <c r="BJ15" s="74">
        <f>'77'!BC61</f>
        <v>0.7435897435897445</v>
      </c>
      <c r="BK15" s="74">
        <f>'77'!BB61</f>
        <v>-0.2564102564102555</v>
      </c>
      <c r="BL15" s="74">
        <f>'77'!BA61</f>
        <v>0.7435897435897445</v>
      </c>
      <c r="BM15" s="74">
        <f>'77'!AZ61</f>
        <v>0.7435897435897445</v>
      </c>
      <c r="BN15" s="74">
        <f>'77'!AY61</f>
        <v>-0.2564102564102555</v>
      </c>
      <c r="BO15" s="74">
        <f>'77'!AX61</f>
        <v>0.7435897435897445</v>
      </c>
      <c r="BP15" s="74">
        <f>'77'!AW61</f>
        <v>0.7435897435897445</v>
      </c>
      <c r="BQ15" s="74">
        <f>'77'!AV61</f>
        <v>-0.2564102564102555</v>
      </c>
      <c r="BR15" s="74">
        <f>'77'!AU61</f>
        <v>0.7435897435897445</v>
      </c>
      <c r="BS15" s="74">
        <f>'77'!AT61</f>
        <v>-0.2564102564102555</v>
      </c>
      <c r="BT15" s="74">
        <f>'77'!AS61</f>
        <v>0.7435897435897445</v>
      </c>
      <c r="BU15" s="74">
        <f>'77'!AR61</f>
        <v>0.7435897435897445</v>
      </c>
      <c r="BV15" s="74">
        <f>'77'!AQ61</f>
        <v>-0.2564102564102555</v>
      </c>
      <c r="BW15" s="74">
        <f>'77'!AP61</f>
        <v>0.7435897435897445</v>
      </c>
      <c r="BX15" s="74">
        <f>'77'!AO61</f>
        <v>0.7435897435897445</v>
      </c>
      <c r="BY15" s="74">
        <f>'77'!AN61</f>
        <v>-0.2564102564102555</v>
      </c>
      <c r="BZ15" s="74">
        <f>'77'!AM61</f>
        <v>-0.2564102564102555</v>
      </c>
      <c r="CA15" s="74">
        <f>'77'!AL61</f>
        <v>0.7435897435897445</v>
      </c>
      <c r="CB15" s="74">
        <f>'77'!AK61</f>
        <v>1.7435897435897445</v>
      </c>
      <c r="CC15" s="74">
        <f>'77'!AJ61</f>
        <v>1.7435897435897445</v>
      </c>
      <c r="CD15" s="74">
        <f>'77'!AI61</f>
        <v>1.7435897435897445</v>
      </c>
      <c r="CE15" s="74">
        <f>'77'!AH61</f>
        <v>0.7435897435897445</v>
      </c>
      <c r="CF15" s="74">
        <f>'77'!AG61</f>
        <v>1.7435897435897445</v>
      </c>
      <c r="CG15" s="74">
        <f>'77'!AF61</f>
        <v>1.7435897435897445</v>
      </c>
      <c r="CH15" s="74">
        <f>'77'!AE61</f>
        <v>2.7435897435897445</v>
      </c>
      <c r="CI15" s="74">
        <f>'77'!AD61</f>
        <v>2.7435897435897445</v>
      </c>
      <c r="CJ15" s="74">
        <f>'77'!AC61</f>
        <v>3.7435897435897445</v>
      </c>
      <c r="CK15" s="74">
        <f>'77'!AB61</f>
        <v>2.7435897435897436</v>
      </c>
      <c r="CL15" s="74">
        <f>'77'!AA61</f>
        <v>1.7435897435897436</v>
      </c>
      <c r="CM15" s="74">
        <f>'77'!Z61</f>
        <v>2.7435897435897436</v>
      </c>
      <c r="CN15" s="74">
        <f>'77'!Y61</f>
        <v>0.74358974358974361</v>
      </c>
      <c r="CO15" s="74">
        <f>'77'!X61</f>
        <v>1.7435897435897436</v>
      </c>
      <c r="CP15" s="74">
        <f>'77'!W61</f>
        <v>1.7435897435897436</v>
      </c>
      <c r="CQ15" s="74">
        <f>'77'!V61</f>
        <v>1.7435897435897436</v>
      </c>
      <c r="CR15" s="74">
        <f>'77'!U61</f>
        <v>0.74358974358974361</v>
      </c>
      <c r="CS15" s="74">
        <f>'77'!T61</f>
        <v>1.7435897435897436</v>
      </c>
      <c r="CT15" s="74">
        <f>'77'!S61</f>
        <v>1.7435897435897436</v>
      </c>
      <c r="CU15" s="74">
        <f>'77'!R61</f>
        <v>0.74358974358974361</v>
      </c>
      <c r="CV15" s="74">
        <f>'77'!Q61</f>
        <v>1.7435897435897436</v>
      </c>
      <c r="CW15" s="74">
        <f>'77'!P61</f>
        <v>0.74358974358974361</v>
      </c>
      <c r="CX15" s="74">
        <f>'77'!O61</f>
        <v>0.74358974358974361</v>
      </c>
      <c r="CY15" s="74">
        <f>'77'!N61</f>
        <v>0.74358974358974361</v>
      </c>
      <c r="CZ15" s="74">
        <f>'77'!M61</f>
        <v>-1.2564102564102564</v>
      </c>
      <c r="DA15" s="74">
        <f>'77'!L61</f>
        <v>1.7435897435897436</v>
      </c>
      <c r="DB15" s="74">
        <f>'77'!K61</f>
        <v>0.74358974358974361</v>
      </c>
      <c r="DC15" s="118">
        <v>21</v>
      </c>
    </row>
    <row r="16" spans="1:107">
      <c r="B16" s="114">
        <v>1</v>
      </c>
      <c r="C16" s="74">
        <f t="shared" si="9"/>
        <v>1.5</v>
      </c>
      <c r="D16" s="74">
        <f t="shared" si="10"/>
        <v>2</v>
      </c>
      <c r="E16" s="74">
        <f t="shared" si="11"/>
        <v>2.5</v>
      </c>
      <c r="F16" s="114">
        <v>3</v>
      </c>
      <c r="G16" s="74">
        <f t="shared" si="12"/>
        <v>3.5</v>
      </c>
      <c r="H16" s="74">
        <f t="shared" si="13"/>
        <v>4</v>
      </c>
      <c r="I16" s="74">
        <f t="shared" si="14"/>
        <v>4.5</v>
      </c>
      <c r="J16" s="114">
        <f t="shared" si="15"/>
        <v>5</v>
      </c>
      <c r="K16" s="74">
        <f t="shared" si="16"/>
        <v>5.625</v>
      </c>
      <c r="L16" s="74">
        <f t="shared" si="17"/>
        <v>6.25</v>
      </c>
      <c r="M16" s="74">
        <f t="shared" si="18"/>
        <v>6.875</v>
      </c>
      <c r="N16" s="114">
        <f>SUM(F16,-B16,J16,0.25*ABS(J16-F16))</f>
        <v>7.5</v>
      </c>
      <c r="O16" s="74">
        <f>SUM(0.25*(R16-N16),N16)</f>
        <v>9.875</v>
      </c>
      <c r="P16" s="74">
        <f>SUM(0.5*(R16-N16),N16)</f>
        <v>12.25</v>
      </c>
      <c r="Q16" s="74">
        <f>SUM(0.75*(R16-N16),N16)</f>
        <v>14.625</v>
      </c>
      <c r="R16" s="114">
        <v>17</v>
      </c>
      <c r="S16" s="129"/>
      <c r="T16" s="117">
        <f>SUM((DB20+DA19+CZ18+CY17+CX16+CW15+CV14+CU13+CT12+CS11+CR10)*0.132,(CQ9+CP9)*0.132/2,(CO8+CN8)*0.132/2,(CM7+CL7+CK7+CJ7+CI7)*0.132/5,(CH6+CG6+CF6+CE6+CD6)*0.132/5,(CC5+CB5+CA5+BZ5)*0.132/4,(BY4+BX4+BW4+BV4)*0.132/4,17)</f>
        <v>17.15653846153846</v>
      </c>
      <c r="U16" s="117"/>
      <c r="V16" s="129"/>
      <c r="W16" s="114"/>
      <c r="X16" s="118">
        <f>'77'!D63</f>
        <v>17</v>
      </c>
      <c r="Y16" s="74">
        <f>'77'!E63</f>
        <v>0</v>
      </c>
      <c r="Z16" s="74">
        <f>'77'!F63</f>
        <v>0</v>
      </c>
      <c r="AA16" s="74">
        <f>'77'!G63</f>
        <v>0</v>
      </c>
      <c r="AB16" s="74">
        <f>'77'!H63</f>
        <v>0</v>
      </c>
      <c r="AC16" s="74">
        <f>'77'!I63</f>
        <v>0</v>
      </c>
      <c r="AD16" s="119">
        <f>'77'!CI63</f>
        <v>-1.1282051282051282</v>
      </c>
      <c r="AE16" s="119">
        <f>'77'!CH63</f>
        <v>-2.1282051282051282</v>
      </c>
      <c r="AF16" s="119">
        <f>'77'!CG63</f>
        <v>-1.1282051282051277</v>
      </c>
      <c r="AG16" s="119">
        <f>'77'!CF63</f>
        <v>-1.1282051282051277</v>
      </c>
      <c r="AH16" s="119">
        <f>'77'!CE63</f>
        <v>-2.1282051282051277</v>
      </c>
      <c r="AI16" s="119">
        <f>'77'!CD63</f>
        <v>-2.1282051282051277</v>
      </c>
      <c r="AJ16" s="119">
        <f>'77'!CC63</f>
        <v>-3.1282051282051277</v>
      </c>
      <c r="AK16" s="119">
        <f>'77'!CB63</f>
        <v>-5.1282051282051277</v>
      </c>
      <c r="AL16" s="119">
        <f>'77'!CA63</f>
        <v>-3.1282051282051277</v>
      </c>
      <c r="AM16" s="119">
        <f>'77'!BZ63</f>
        <v>-2.1282051282051277</v>
      </c>
      <c r="AN16" s="119">
        <f>'77'!BY63</f>
        <v>-4.1282051282051277</v>
      </c>
      <c r="AO16" s="119">
        <f>'77'!BX63</f>
        <v>-4.1282051282051277</v>
      </c>
      <c r="AP16" s="119">
        <f>'77'!BW63</f>
        <v>-4.1282051282051313</v>
      </c>
      <c r="AQ16" s="119">
        <f>'77'!BV63</f>
        <v>-4.1282051282051313</v>
      </c>
      <c r="AR16" s="119">
        <f>'77'!BU63</f>
        <v>-6.1282051282051313</v>
      </c>
      <c r="AS16" s="119">
        <f>'77'!BT63</f>
        <v>-7.1282051282051313</v>
      </c>
      <c r="AT16" s="119">
        <f>'77'!BS63</f>
        <v>-4.1282051282051313</v>
      </c>
      <c r="AU16" s="119">
        <f>'77'!BR63</f>
        <v>-5.1282051282051313</v>
      </c>
      <c r="AV16" s="119">
        <f>'77'!BQ63</f>
        <v>-3.1282051282051313</v>
      </c>
      <c r="AW16" s="119">
        <f>'77'!BP63</f>
        <v>-4.1282051282051242</v>
      </c>
      <c r="AX16" s="119">
        <f>'77'!BO63</f>
        <v>-3.1282051282051242</v>
      </c>
      <c r="AY16" s="119">
        <f>'77'!BN63</f>
        <v>-4.1282051282051242</v>
      </c>
      <c r="AZ16" s="119">
        <f>'77'!BM63</f>
        <v>-3.1282051282051242</v>
      </c>
      <c r="BA16" s="119">
        <f>'77'!BL63</f>
        <v>-3.1282051282051242</v>
      </c>
      <c r="BB16" s="119">
        <f>'77'!BK63</f>
        <v>-2.1282051282051242</v>
      </c>
      <c r="BC16" s="119">
        <f>'77'!BJ63</f>
        <v>-2.1282051282051242</v>
      </c>
      <c r="BD16" s="119">
        <f>'77'!BI63</f>
        <v>-2.1282051282051242</v>
      </c>
      <c r="BE16" s="119">
        <f>'77'!BH63</f>
        <v>-2.1282051282051242</v>
      </c>
      <c r="BF16" s="119">
        <f>'77'!BG63</f>
        <v>-0.1282051282051242</v>
      </c>
      <c r="BG16" s="119">
        <f>'77'!BF63</f>
        <v>-1.1282051282051242</v>
      </c>
      <c r="BH16" s="119">
        <f>'77'!BE63</f>
        <v>-1.1282051282051242</v>
      </c>
      <c r="BI16" s="119">
        <f>'77'!BD63</f>
        <v>-1.1282051282051242</v>
      </c>
      <c r="BJ16" s="119">
        <f>'77'!BC63</f>
        <v>0.8717948717948758</v>
      </c>
      <c r="BK16" s="119">
        <f>'77'!BB63</f>
        <v>0.8717948717948758</v>
      </c>
      <c r="BL16" s="119">
        <f>'77'!BA63</f>
        <v>1.8717948717948758</v>
      </c>
      <c r="BM16" s="119">
        <f>'77'!AZ63</f>
        <v>1.8717948717948758</v>
      </c>
      <c r="BN16" s="119">
        <f>'77'!AY63</f>
        <v>0.8717948717948758</v>
      </c>
      <c r="BO16" s="119">
        <f>'77'!AX63</f>
        <v>0.8717948717948758</v>
      </c>
      <c r="BP16" s="119">
        <f>'77'!AW63</f>
        <v>2.8717948717948758</v>
      </c>
      <c r="BQ16" s="119">
        <f>'77'!AV63</f>
        <v>0.8717948717948758</v>
      </c>
      <c r="BR16" s="119">
        <f>'77'!AU63</f>
        <v>1.8717948717948758</v>
      </c>
      <c r="BS16" s="119">
        <f>'77'!AT63</f>
        <v>2.8717948717948758</v>
      </c>
      <c r="BT16" s="119">
        <f>'77'!AS63</f>
        <v>1.8717948717948758</v>
      </c>
      <c r="BU16" s="119">
        <f>'77'!AR63</f>
        <v>1.8717948717948758</v>
      </c>
      <c r="BV16" s="119">
        <f>'77'!AQ63</f>
        <v>1.8717948717948758</v>
      </c>
      <c r="BW16" s="119">
        <f>'77'!AP63</f>
        <v>1.8717948717948758</v>
      </c>
      <c r="BX16" s="119">
        <f>'77'!AO63</f>
        <v>2.8717948717948687</v>
      </c>
      <c r="BY16" s="119">
        <f>'77'!AN63</f>
        <v>2.8717948717948687</v>
      </c>
      <c r="BZ16" s="119">
        <f>'77'!AM63</f>
        <v>2.8717948717948687</v>
      </c>
      <c r="CA16" s="119">
        <f>'77'!AL63</f>
        <v>1.8717948717948687</v>
      </c>
      <c r="CB16" s="119">
        <f>'77'!AK63</f>
        <v>1.8717948717948687</v>
      </c>
      <c r="CC16" s="119">
        <f>'77'!AJ63</f>
        <v>1.8717948717948687</v>
      </c>
      <c r="CD16" s="119">
        <f>'77'!AI63</f>
        <v>2.8717948717948687</v>
      </c>
      <c r="CE16" s="119">
        <f>'77'!AH63</f>
        <v>1.8717948717948687</v>
      </c>
      <c r="CF16" s="119">
        <f>'77'!AG63</f>
        <v>1.8717948717948687</v>
      </c>
      <c r="CG16" s="119">
        <f>'77'!AF63</f>
        <v>1.8717948717948687</v>
      </c>
      <c r="CH16" s="119">
        <f>'77'!AE63</f>
        <v>1.8717948717948687</v>
      </c>
      <c r="CI16" s="119">
        <f>'77'!AD63</f>
        <v>2.8717948717948687</v>
      </c>
      <c r="CJ16" s="119">
        <f>'77'!AC63</f>
        <v>2.8717948717948687</v>
      </c>
      <c r="CK16" s="119">
        <f>'77'!AB63</f>
        <v>2.8717948717948723</v>
      </c>
      <c r="CL16" s="119">
        <f>'77'!AA63</f>
        <v>1.8717948717948723</v>
      </c>
      <c r="CM16" s="119">
        <f>'77'!Z63</f>
        <v>1.8717948717948723</v>
      </c>
      <c r="CN16" s="119">
        <f>'77'!Y63</f>
        <v>1.8717948717948723</v>
      </c>
      <c r="CO16" s="119">
        <f>'77'!X63</f>
        <v>2.8717948717948723</v>
      </c>
      <c r="CP16" s="119">
        <f>'77'!W63</f>
        <v>1.8717948717948723</v>
      </c>
      <c r="CQ16" s="119">
        <f>'77'!V63</f>
        <v>2.8717948717948723</v>
      </c>
      <c r="CR16" s="119">
        <f>'77'!U63</f>
        <v>2.8717948717948723</v>
      </c>
      <c r="CS16" s="119">
        <f>'77'!T63</f>
        <v>0.87179487179487225</v>
      </c>
      <c r="CT16" s="119">
        <f>'77'!S63</f>
        <v>2.8717948717948723</v>
      </c>
      <c r="CU16" s="119">
        <f>'77'!R63</f>
        <v>2.8717948717948723</v>
      </c>
      <c r="CV16" s="119">
        <f>'77'!Q63</f>
        <v>2.8717948717948723</v>
      </c>
      <c r="CW16" s="119">
        <f>'77'!P63</f>
        <v>-0.12820512820512775</v>
      </c>
      <c r="CX16" s="119">
        <f>'77'!O63</f>
        <v>1.8717948717948718</v>
      </c>
      <c r="CY16" s="119">
        <f>'77'!N63</f>
        <v>0.87179487179487181</v>
      </c>
      <c r="CZ16" s="119">
        <f>'77'!M63</f>
        <v>-0.12820512820512819</v>
      </c>
      <c r="DA16" s="119">
        <f>'77'!L63</f>
        <v>0.87179487179487181</v>
      </c>
      <c r="DB16" s="119">
        <f>'77'!K63</f>
        <v>-0.12820512820512819</v>
      </c>
      <c r="DC16" s="118">
        <v>17.5</v>
      </c>
    </row>
    <row r="17" spans="2:107">
      <c r="B17" s="114">
        <v>2</v>
      </c>
      <c r="C17" s="74">
        <f t="shared" si="9"/>
        <v>2.25</v>
      </c>
      <c r="D17" s="74">
        <f t="shared" si="10"/>
        <v>2.5</v>
      </c>
      <c r="E17" s="74">
        <f t="shared" si="11"/>
        <v>2.75</v>
      </c>
      <c r="F17" s="114">
        <v>3</v>
      </c>
      <c r="G17" s="74">
        <f t="shared" si="12"/>
        <v>3.25</v>
      </c>
      <c r="H17" s="74">
        <f t="shared" si="13"/>
        <v>3.5</v>
      </c>
      <c r="I17" s="74">
        <f t="shared" si="14"/>
        <v>3.75</v>
      </c>
      <c r="J17" s="114">
        <f t="shared" si="15"/>
        <v>4</v>
      </c>
      <c r="K17" s="74">
        <f t="shared" si="16"/>
        <v>4.3125</v>
      </c>
      <c r="L17" s="74">
        <f t="shared" si="17"/>
        <v>4.625</v>
      </c>
      <c r="M17" s="74">
        <f t="shared" si="18"/>
        <v>4.9375</v>
      </c>
      <c r="N17" s="114">
        <f>SUM(F17,-B17,J17,0.25*ABS(J17-F17))</f>
        <v>5.25</v>
      </c>
      <c r="O17" s="74">
        <f>SUM(0.25*(R17-N17),N17)</f>
        <v>8.1875</v>
      </c>
      <c r="P17" s="74">
        <f>SUM(0.5*(R17-N17),N17)</f>
        <v>11.125</v>
      </c>
      <c r="Q17" s="74">
        <f>SUM(0.75*(R17-N17),N17)</f>
        <v>14.0625</v>
      </c>
      <c r="R17" s="114">
        <v>17</v>
      </c>
      <c r="S17" s="129"/>
      <c r="T17" s="117">
        <f>SUM((CZ20+CY19+CY18+CX17+CX16+CW15+CW14+CV13+CV12+CU11+CT10+CS9+CR8)*0.132,(CQ7+CP7+CO7+CN7+CM7+CL7)*0.132/6,(CK6+CJ6+CI6+CH6+CG6+CF6)*0.132/6,(CE5+CD5+CC5+CB5+CA5)*0.132/5,(BZ4+BY4+BX4+BW4+BV4)*0.132/5,17)</f>
        <v>16.731938461538462</v>
      </c>
      <c r="U17" s="117"/>
      <c r="V17" s="129"/>
      <c r="W17" s="114"/>
      <c r="X17" s="118">
        <f>'77'!D64</f>
        <v>15</v>
      </c>
      <c r="Y17" s="74">
        <f>'77'!E64</f>
        <v>0</v>
      </c>
      <c r="Z17" s="74">
        <f>'77'!F64</f>
        <v>0</v>
      </c>
      <c r="AA17" s="74">
        <f>'77'!G64</f>
        <v>0</v>
      </c>
      <c r="AB17" s="74">
        <f>'77'!H64</f>
        <v>0</v>
      </c>
      <c r="AC17" s="74">
        <f>'77'!I64</f>
        <v>0</v>
      </c>
      <c r="AD17" s="74">
        <f>'77'!CI64</f>
        <v>-4.3589743589743586</v>
      </c>
      <c r="AE17" s="74">
        <f>'77'!CH64</f>
        <v>-5.3589743589743595</v>
      </c>
      <c r="AF17" s="74">
        <f>'77'!CG64</f>
        <v>-1.3589743589743595</v>
      </c>
      <c r="AG17" s="74">
        <f>'77'!CF64</f>
        <v>-1.3589743589743595</v>
      </c>
      <c r="AH17" s="74">
        <f>'77'!CE64</f>
        <v>-2.3589743589743595</v>
      </c>
      <c r="AI17" s="74">
        <f>'77'!CD64</f>
        <v>-2.3589743589743595</v>
      </c>
      <c r="AJ17" s="74">
        <f>'77'!CC64</f>
        <v>-0.35897435897435948</v>
      </c>
      <c r="AK17" s="74">
        <f>'77'!CB64</f>
        <v>-1.3589743589743577</v>
      </c>
      <c r="AL17" s="74">
        <f>'77'!CA64</f>
        <v>-0.3589743589743577</v>
      </c>
      <c r="AM17" s="74">
        <f>'77'!BZ64</f>
        <v>-1.3589743589743577</v>
      </c>
      <c r="AN17" s="74">
        <f>'77'!BY64</f>
        <v>-1.3589743589743577</v>
      </c>
      <c r="AO17" s="74">
        <f>'77'!BX64</f>
        <v>-1.3589743589743577</v>
      </c>
      <c r="AP17" s="74">
        <f>'77'!BW64</f>
        <v>-0.3589743589743577</v>
      </c>
      <c r="AQ17" s="74">
        <f>'77'!BV64</f>
        <v>-1.3589743589743577</v>
      </c>
      <c r="AR17" s="74">
        <f>'77'!BU64</f>
        <v>-2.3589743589743577</v>
      </c>
      <c r="AS17" s="74">
        <f>'77'!BT64</f>
        <v>-2.3589743589743577</v>
      </c>
      <c r="AT17" s="74">
        <f>'77'!BS64</f>
        <v>-0.3589743589743577</v>
      </c>
      <c r="AU17" s="74">
        <f>'77'!BR64</f>
        <v>-1.3589743589743577</v>
      </c>
      <c r="AV17" s="74">
        <f>'77'!BQ64</f>
        <v>-0.3589743589743577</v>
      </c>
      <c r="AW17" s="74">
        <f>'77'!BP64</f>
        <v>-0.3589743589743577</v>
      </c>
      <c r="AX17" s="74">
        <f>'77'!BO64</f>
        <v>-1.3589743589743577</v>
      </c>
      <c r="AY17" s="74">
        <f>'77'!BN64</f>
        <v>-1.3589743589743577</v>
      </c>
      <c r="AZ17" s="74">
        <f>'77'!BM64</f>
        <v>-0.3589743589743577</v>
      </c>
      <c r="BA17" s="74">
        <f>'77'!BL64</f>
        <v>-0.3589743589743577</v>
      </c>
      <c r="BB17" s="74">
        <f>'77'!BK64</f>
        <v>-0.3589743589743577</v>
      </c>
      <c r="BC17" s="74">
        <f>'77'!BJ64</f>
        <v>-1.3589743589743577</v>
      </c>
      <c r="BD17" s="74">
        <f>'77'!BI64</f>
        <v>-0.3589743589743577</v>
      </c>
      <c r="BE17" s="74">
        <f>'77'!BH64</f>
        <v>-0.3589743589743577</v>
      </c>
      <c r="BF17" s="74">
        <f>'77'!BG64</f>
        <v>-0.3589743589743577</v>
      </c>
      <c r="BG17" s="74">
        <f>'77'!BF64</f>
        <v>-0.3589743589743577</v>
      </c>
      <c r="BH17" s="74">
        <f>'77'!BE64</f>
        <v>-1.3589743589743577</v>
      </c>
      <c r="BI17" s="74">
        <f>'77'!BD64</f>
        <v>-1.3589743589743577</v>
      </c>
      <c r="BJ17" s="74">
        <f>'77'!BC64</f>
        <v>-1.3589743589743577</v>
      </c>
      <c r="BK17" s="74">
        <f>'77'!BB64</f>
        <v>-0.3589743589743577</v>
      </c>
      <c r="BL17" s="74">
        <f>'77'!BA64</f>
        <v>-0.3589743589743577</v>
      </c>
      <c r="BM17" s="74">
        <f>'77'!AZ64</f>
        <v>-0.3589743589743577</v>
      </c>
      <c r="BN17" s="74">
        <f>'77'!AY64</f>
        <v>-0.3589743589743577</v>
      </c>
      <c r="BO17" s="74">
        <f>'77'!AX64</f>
        <v>-0.3589743589743577</v>
      </c>
      <c r="BP17" s="74">
        <f>'77'!AW64</f>
        <v>-0.3589743589743577</v>
      </c>
      <c r="BQ17" s="74">
        <f>'77'!AV64</f>
        <v>-0.3589743589743577</v>
      </c>
      <c r="BR17" s="74">
        <f>'77'!AU64</f>
        <v>0.6410256410256423</v>
      </c>
      <c r="BS17" s="74">
        <f>'77'!AT64</f>
        <v>2.6410256410256423</v>
      </c>
      <c r="BT17" s="74">
        <f>'77'!AS64</f>
        <v>0.6410256410256423</v>
      </c>
      <c r="BU17" s="74">
        <f>'77'!AR64</f>
        <v>1.6410256410256423</v>
      </c>
      <c r="BV17" s="74">
        <f>'77'!AQ64</f>
        <v>1.6410256410256423</v>
      </c>
      <c r="BW17" s="74">
        <f>'77'!AP64</f>
        <v>1.6410256410256423</v>
      </c>
      <c r="BX17" s="74">
        <f>'77'!AO64</f>
        <v>2.6410256410256423</v>
      </c>
      <c r="BY17" s="74">
        <f>'77'!AN64</f>
        <v>1.6410256410256405</v>
      </c>
      <c r="BZ17" s="74">
        <f>'77'!AM64</f>
        <v>2.6410256410256405</v>
      </c>
      <c r="CA17" s="74">
        <f>'77'!AL64</f>
        <v>2.6410256410256405</v>
      </c>
      <c r="CB17" s="74">
        <f>'77'!AK64</f>
        <v>1.6410256410256414</v>
      </c>
      <c r="CC17" s="74">
        <f>'77'!AJ64</f>
        <v>1.6410256410256414</v>
      </c>
      <c r="CD17" s="74">
        <f>'77'!AI64</f>
        <v>2.641025641025641</v>
      </c>
      <c r="CE17" s="74">
        <f>'77'!AH64</f>
        <v>2.641025641025641</v>
      </c>
      <c r="CF17" s="74">
        <f>'77'!AG64</f>
        <v>0.64102564102564097</v>
      </c>
      <c r="CG17" s="74">
        <f>'77'!AF64</f>
        <v>0.64102564102564097</v>
      </c>
      <c r="CH17" s="74">
        <f>'77'!AE64</f>
        <v>1.6410256410256414</v>
      </c>
      <c r="CI17" s="74">
        <f>'77'!AD64</f>
        <v>0.64102564102564141</v>
      </c>
      <c r="CJ17" s="74">
        <f>'77'!AC64</f>
        <v>1.6410256410256414</v>
      </c>
      <c r="CK17" s="74">
        <f>'77'!AB64</f>
        <v>1.6410256410256405</v>
      </c>
      <c r="CL17" s="74">
        <f>'77'!AA64</f>
        <v>0.64102564102564052</v>
      </c>
      <c r="CM17" s="74">
        <f>'77'!Z64</f>
        <v>-0.35897435897435948</v>
      </c>
      <c r="CN17" s="74">
        <f>'77'!Y64</f>
        <v>-0.35897435897435948</v>
      </c>
      <c r="CO17" s="74">
        <f>'77'!X64</f>
        <v>-0.35897435897435948</v>
      </c>
      <c r="CP17" s="74">
        <f>'77'!W64</f>
        <v>0.64102564102564052</v>
      </c>
      <c r="CQ17" s="74">
        <f>'77'!V64</f>
        <v>-0.35897435897435948</v>
      </c>
      <c r="CR17" s="74">
        <f>'77'!U64</f>
        <v>-1.3589743589743595</v>
      </c>
      <c r="CS17" s="74">
        <f>'77'!T64</f>
        <v>-1.3589743589743595</v>
      </c>
      <c r="CT17" s="74">
        <f>'77'!S64</f>
        <v>-1.3589743589743595</v>
      </c>
      <c r="CU17" s="74">
        <f>'77'!R64</f>
        <v>-2.3589743589743586</v>
      </c>
      <c r="CV17" s="74">
        <f>'77'!Q64</f>
        <v>-4.3589743589743595</v>
      </c>
      <c r="CW17" s="74">
        <f>'77'!P64</f>
        <v>-0.35897435897435903</v>
      </c>
      <c r="CX17" s="74">
        <f>'77'!O64</f>
        <v>-1.358974358974359</v>
      </c>
      <c r="CY17" s="74">
        <f>'77'!N64</f>
        <v>-1.358974358974359</v>
      </c>
      <c r="CZ17" s="74">
        <f>'77'!M64</f>
        <v>-1.358974358974359</v>
      </c>
      <c r="DA17" s="74">
        <f>'77'!L64</f>
        <v>-0.35897435897435898</v>
      </c>
      <c r="DB17" s="74">
        <f>'77'!K64</f>
        <v>-0.35897435897435898</v>
      </c>
      <c r="DC17" s="118">
        <v>14</v>
      </c>
    </row>
    <row r="18" spans="2:107">
      <c r="B18" s="114">
        <v>3</v>
      </c>
      <c r="C18" s="74">
        <f t="shared" si="9"/>
        <v>3</v>
      </c>
      <c r="D18" s="74">
        <f t="shared" si="10"/>
        <v>3</v>
      </c>
      <c r="E18" s="74">
        <f t="shared" si="11"/>
        <v>3</v>
      </c>
      <c r="F18" s="114">
        <v>3</v>
      </c>
      <c r="G18" s="74">
        <f t="shared" si="12"/>
        <v>3</v>
      </c>
      <c r="H18" s="74">
        <f t="shared" si="13"/>
        <v>3</v>
      </c>
      <c r="I18" s="74">
        <f t="shared" si="14"/>
        <v>3</v>
      </c>
      <c r="J18" s="114">
        <f t="shared" si="15"/>
        <v>3</v>
      </c>
      <c r="K18" s="74">
        <f t="shared" si="16"/>
        <v>3.7</v>
      </c>
      <c r="L18" s="74">
        <f t="shared" si="17"/>
        <v>4.4000000000000004</v>
      </c>
      <c r="M18" s="74">
        <f t="shared" si="18"/>
        <v>5.1000000000000005</v>
      </c>
      <c r="N18" s="114">
        <f>SUM(F18,-B18,J18,0.25*ABS(J18-F18),0.2*(17-F18))</f>
        <v>5.8000000000000007</v>
      </c>
      <c r="O18" s="74">
        <f>SUM(0.25*(R18-N18),N18)</f>
        <v>8.6000000000000014</v>
      </c>
      <c r="P18" s="74">
        <f>SUM(0.5*(R18-N18),N18)</f>
        <v>11.4</v>
      </c>
      <c r="Q18" s="74">
        <f>SUM(0.75*(R18-N18),N18)</f>
        <v>14.2</v>
      </c>
      <c r="R18" s="114">
        <v>17</v>
      </c>
      <c r="S18" s="129"/>
      <c r="T18" s="117">
        <f>SUM((CX20++CX19+CX18+CX17+CX16+CX15+CX14+CX13+CW12+CW11+CV10+CV9+CV8)*0.132,(CU7+CT7+CS7+CR7+CQ7+CP7+CO7)*0.132/7,(CN6+CM6+CL6+CK6+CJ6+CI6+CH6)*0.132/7,(CG5+CF5+CE5+CD5+CC5+CB5)*0.132/6,(CA4+BZ4+BY4+BX4+BW4+BV4)*0.132/6,17)</f>
        <v>17.107824175824177</v>
      </c>
      <c r="U18" s="117"/>
      <c r="V18" s="129"/>
      <c r="W18" s="114"/>
      <c r="X18" s="118">
        <f>'77'!D66</f>
        <v>11</v>
      </c>
      <c r="Y18" s="74">
        <f>'77'!E66</f>
        <v>0</v>
      </c>
      <c r="Z18" s="74">
        <f>'77'!F66</f>
        <v>0</v>
      </c>
      <c r="AA18" s="74">
        <f>'77'!G66</f>
        <v>0</v>
      </c>
      <c r="AB18" s="74">
        <f>'77'!H66</f>
        <v>0</v>
      </c>
      <c r="AC18" s="74">
        <f>'77'!I66</f>
        <v>0</v>
      </c>
      <c r="AD18" s="74">
        <f>'77'!CI66</f>
        <v>-5.3461538461538458</v>
      </c>
      <c r="AE18" s="74">
        <f>'77'!CH66</f>
        <v>-5.3461538461538467</v>
      </c>
      <c r="AF18" s="74">
        <f>'77'!CG66</f>
        <v>-2.3461538461538467</v>
      </c>
      <c r="AG18" s="74">
        <f>'77'!CF66</f>
        <v>-2.3461538461538467</v>
      </c>
      <c r="AH18" s="74">
        <f>'77'!CE66</f>
        <v>-3.3461538461538467</v>
      </c>
      <c r="AI18" s="74">
        <f>'77'!CD66</f>
        <v>-2.3461538461538467</v>
      </c>
      <c r="AJ18" s="74">
        <f>'77'!CC66</f>
        <v>-6.3461538461538467</v>
      </c>
      <c r="AK18" s="74">
        <f>'77'!CB66</f>
        <v>-5.3461538461538467</v>
      </c>
      <c r="AL18" s="74">
        <f>'77'!CA66</f>
        <v>-3.3461538461538467</v>
      </c>
      <c r="AM18" s="74">
        <f>'77'!BZ66</f>
        <v>-3.3461538461538467</v>
      </c>
      <c r="AN18" s="74">
        <f>'77'!BY66</f>
        <v>-4.3461538461538467</v>
      </c>
      <c r="AO18" s="74">
        <f>'77'!BX66</f>
        <v>-2.3461538461538467</v>
      </c>
      <c r="AP18" s="74">
        <f>'77'!BW66</f>
        <v>-2.3461538461538467</v>
      </c>
      <c r="AQ18" s="74">
        <f>'77'!BV66</f>
        <v>-2.3461538461538467</v>
      </c>
      <c r="AR18" s="74">
        <f>'77'!BU66</f>
        <v>-2.3461538461538467</v>
      </c>
      <c r="AS18" s="74">
        <f>'77'!BT66</f>
        <v>-1.3461538461538467</v>
      </c>
      <c r="AT18" s="74">
        <f>'77'!BS66</f>
        <v>-1.3461538461538467</v>
      </c>
      <c r="AU18" s="74">
        <f>'77'!BR66</f>
        <v>-0.3461538461538467</v>
      </c>
      <c r="AV18" s="74">
        <f>'77'!BQ66</f>
        <v>0.6538461538461533</v>
      </c>
      <c r="AW18" s="74">
        <f>'77'!BP66</f>
        <v>0.6538461538461533</v>
      </c>
      <c r="AX18" s="74">
        <f>'77'!BO66</f>
        <v>0.6538461538461533</v>
      </c>
      <c r="AY18" s="74">
        <f>'77'!BN66</f>
        <v>0.6538461538461533</v>
      </c>
      <c r="AZ18" s="74">
        <f>'77'!BM66</f>
        <v>-0.3461538461538467</v>
      </c>
      <c r="BA18" s="74">
        <f>'77'!BL66</f>
        <v>0.6538461538461533</v>
      </c>
      <c r="BB18" s="74">
        <f>'77'!BK66</f>
        <v>-0.3461538461538467</v>
      </c>
      <c r="BC18" s="74">
        <f>'77'!BJ66</f>
        <v>0.6538461538461533</v>
      </c>
      <c r="BD18" s="74">
        <f>'77'!BI66</f>
        <v>-0.3461538461538467</v>
      </c>
      <c r="BE18" s="74">
        <f>'77'!BH66</f>
        <v>0.6538461538461533</v>
      </c>
      <c r="BF18" s="74">
        <f>'77'!BG66</f>
        <v>0.6538461538461533</v>
      </c>
      <c r="BG18" s="74">
        <f>'77'!BF66</f>
        <v>-0.3461538461538467</v>
      </c>
      <c r="BH18" s="74">
        <f>'77'!BE66</f>
        <v>-0.3461538461538467</v>
      </c>
      <c r="BI18" s="74">
        <f>'77'!BD66</f>
        <v>-1.3461538461538467</v>
      </c>
      <c r="BJ18" s="74">
        <f>'77'!BC66</f>
        <v>-0.3461538461538467</v>
      </c>
      <c r="BK18" s="74">
        <f>'77'!BB66</f>
        <v>-0.3461538461538467</v>
      </c>
      <c r="BL18" s="74">
        <f>'77'!BA66</f>
        <v>-0.3461538461538467</v>
      </c>
      <c r="BM18" s="74">
        <f>'77'!AZ66</f>
        <v>-0.3461538461538467</v>
      </c>
      <c r="BN18" s="74">
        <f>'77'!AY66</f>
        <v>-0.3461538461538467</v>
      </c>
      <c r="BO18" s="74">
        <f>'77'!AX66</f>
        <v>-0.3461538461538467</v>
      </c>
      <c r="BP18" s="74">
        <f>'77'!AW66</f>
        <v>-0.3461538461538467</v>
      </c>
      <c r="BQ18" s="74">
        <f>'77'!AV66</f>
        <v>-0.3461538461538467</v>
      </c>
      <c r="BR18" s="74">
        <f>'77'!AU66</f>
        <v>0.6538461538461533</v>
      </c>
      <c r="BS18" s="74">
        <f>'77'!AT66</f>
        <v>0.6538461538461533</v>
      </c>
      <c r="BT18" s="74">
        <f>'77'!AS66</f>
        <v>0.6538461538461533</v>
      </c>
      <c r="BU18" s="74">
        <f>'77'!AR66</f>
        <v>-0.3461538461538467</v>
      </c>
      <c r="BV18" s="74">
        <f>'77'!AQ66</f>
        <v>0.6538461538461533</v>
      </c>
      <c r="BW18" s="74">
        <f>'77'!AP66</f>
        <v>-0.3461538461538467</v>
      </c>
      <c r="BX18" s="74">
        <f>'77'!AO66</f>
        <v>3.6538461538461533</v>
      </c>
      <c r="BY18" s="74">
        <f>'77'!AN66</f>
        <v>0.6538461538461533</v>
      </c>
      <c r="BZ18" s="74">
        <f>'77'!AM66</f>
        <v>2.6538461538461533</v>
      </c>
      <c r="CA18" s="74">
        <f>'77'!AL66</f>
        <v>1.6538461538461533</v>
      </c>
      <c r="CB18" s="74">
        <f>'77'!AK66</f>
        <v>3.6538461538461533</v>
      </c>
      <c r="CC18" s="74">
        <f>'77'!AJ66</f>
        <v>1.6538461538461533</v>
      </c>
      <c r="CD18" s="74">
        <f>'77'!AI66</f>
        <v>1.6538461538461533</v>
      </c>
      <c r="CE18" s="74">
        <f>'77'!AH66</f>
        <v>1.6538461538461533</v>
      </c>
      <c r="CF18" s="74">
        <f>'77'!AG66</f>
        <v>2.6538461538461533</v>
      </c>
      <c r="CG18" s="74">
        <f>'77'!AF66</f>
        <v>1.6538461538461533</v>
      </c>
      <c r="CH18" s="74">
        <f>'77'!AE66</f>
        <v>3.6538461538461533</v>
      </c>
      <c r="CI18" s="74">
        <f>'77'!AD66</f>
        <v>2.6538461538461542</v>
      </c>
      <c r="CJ18" s="74">
        <f>'77'!AC66</f>
        <v>2.6538461538461542</v>
      </c>
      <c r="CK18" s="74">
        <f>'77'!AB66</f>
        <v>1.6538461538461537</v>
      </c>
      <c r="CL18" s="74">
        <f>'77'!AA66</f>
        <v>1.6538461538461537</v>
      </c>
      <c r="CM18" s="74">
        <f>'77'!Z66</f>
        <v>0.65384615384615385</v>
      </c>
      <c r="CN18" s="74">
        <f>'77'!Y66</f>
        <v>0.65384615384615374</v>
      </c>
      <c r="CO18" s="74">
        <f>'77'!X66</f>
        <v>0.65384615384615374</v>
      </c>
      <c r="CP18" s="74">
        <f>'77'!W66</f>
        <v>0.65384615384615374</v>
      </c>
      <c r="CQ18" s="74">
        <f>'77'!V66</f>
        <v>0.65384615384615419</v>
      </c>
      <c r="CR18" s="74">
        <f>'77'!U66</f>
        <v>-0.34615384615384581</v>
      </c>
      <c r="CS18" s="74">
        <f>'77'!T66</f>
        <v>-0.34615384615384581</v>
      </c>
      <c r="CT18" s="74">
        <f>'77'!S66</f>
        <v>-1.3461538461538463</v>
      </c>
      <c r="CU18" s="74">
        <f>'77'!R66</f>
        <v>-0.34615384615384626</v>
      </c>
      <c r="CV18" s="74">
        <f>'77'!Q66</f>
        <v>-2.3461538461538463</v>
      </c>
      <c r="CW18" s="74">
        <f>'77'!P66</f>
        <v>-0.34615384615384626</v>
      </c>
      <c r="CX18" s="74">
        <f>'77'!O66</f>
        <v>-0.34615384615384626</v>
      </c>
      <c r="CY18" s="74">
        <f>'77'!N66</f>
        <v>-2.3461538461538463</v>
      </c>
      <c r="CZ18" s="74">
        <f>'77'!M66</f>
        <v>-0.34615384615384615</v>
      </c>
      <c r="DA18" s="74">
        <f>'77'!L66</f>
        <v>-0.34615384615384615</v>
      </c>
      <c r="DB18" s="74">
        <f>'77'!K66</f>
        <v>-0.34615384615384615</v>
      </c>
      <c r="DC18" s="118">
        <v>10.5</v>
      </c>
    </row>
    <row r="19" spans="2:107">
      <c r="B19" s="114">
        <v>4</v>
      </c>
      <c r="C19" s="74">
        <f t="shared" si="9"/>
        <v>3.75</v>
      </c>
      <c r="D19" s="74">
        <f t="shared" si="10"/>
        <v>3.5</v>
      </c>
      <c r="E19" s="74">
        <f t="shared" si="11"/>
        <v>3.25</v>
      </c>
      <c r="F19" s="114">
        <v>3</v>
      </c>
      <c r="G19" s="74">
        <f t="shared" si="12"/>
        <v>2.75</v>
      </c>
      <c r="H19" s="74">
        <f t="shared" si="13"/>
        <v>2.5</v>
      </c>
      <c r="I19" s="74">
        <f t="shared" si="14"/>
        <v>2.25</v>
      </c>
      <c r="J19" s="114">
        <f t="shared" si="15"/>
        <v>2</v>
      </c>
      <c r="K19" s="74">
        <f t="shared" si="16"/>
        <v>1.8125</v>
      </c>
      <c r="L19" s="74">
        <f t="shared" si="17"/>
        <v>1.625</v>
      </c>
      <c r="M19" s="74">
        <f t="shared" si="18"/>
        <v>1.4375</v>
      </c>
      <c r="N19" s="114">
        <f>SUM(F19,-B19,J19,0.25*ABS(J19-F19))</f>
        <v>1.25</v>
      </c>
      <c r="O19" s="74">
        <f>SUM(0.25*(R19-N19),N19)</f>
        <v>5.1875</v>
      </c>
      <c r="P19" s="74">
        <f>SUM(0.5*(R19-N19),N19)</f>
        <v>9.125</v>
      </c>
      <c r="Q19" s="74">
        <f>SUM(0.75*(R19-N19),N19)</f>
        <v>13.0625</v>
      </c>
      <c r="R19" s="114">
        <v>17</v>
      </c>
      <c r="S19" s="129"/>
      <c r="T19" s="117">
        <f>SUM((CV20+CV19+CX16+CZ12+CZ8+CW18+CW17+CX15+CY14+CY13+CZ11+CZ10+CZ9)*0.132,(CY7+CX7+CW7+CV7+CU7+CT7+CS7+CR7)*0.132/8,(CQ6+CP6+CO6+CN6+CM6+CL6+CK6+CJ6)*0.132/8,(CI5+CH5+CG5+CF5+CE5+CD5+CC5)*0.132/7,(CB4+CA4+BZ4+BY4+BX4+BW4+BV4)*0.132/7,17)</f>
        <v>16.201895604395606</v>
      </c>
      <c r="U19" s="117"/>
      <c r="V19" s="129"/>
      <c r="W19" s="114"/>
      <c r="X19" s="118">
        <f>'77'!D68</f>
        <v>7</v>
      </c>
      <c r="Y19" s="74">
        <f>'77'!E68</f>
        <v>0</v>
      </c>
      <c r="Z19" s="74">
        <f>'77'!F68</f>
        <v>0</v>
      </c>
      <c r="AA19" s="74">
        <f>'77'!G68</f>
        <v>0</v>
      </c>
      <c r="AB19" s="74">
        <f>'77'!H68</f>
        <v>0</v>
      </c>
      <c r="AC19" s="74">
        <f>'77'!I68</f>
        <v>0</v>
      </c>
      <c r="AD19" s="74">
        <f>'77'!CI68</f>
        <v>-2.8846153846153846</v>
      </c>
      <c r="AE19" s="74">
        <f>'77'!CH68</f>
        <v>-3.884615384615385</v>
      </c>
      <c r="AF19" s="74">
        <f>'77'!CG68</f>
        <v>-2.884615384615385</v>
      </c>
      <c r="AG19" s="74">
        <f>'77'!CF68</f>
        <v>-2.884615384615385</v>
      </c>
      <c r="AH19" s="74">
        <f>'77'!CE68</f>
        <v>-2.884615384615385</v>
      </c>
      <c r="AI19" s="74">
        <f>'77'!CD68</f>
        <v>-2.8846153846153832</v>
      </c>
      <c r="AJ19" s="74">
        <f>'77'!CC68</f>
        <v>-2.8846153846153832</v>
      </c>
      <c r="AK19" s="74">
        <f>'77'!CB68</f>
        <v>-5.8846153846153832</v>
      </c>
      <c r="AL19" s="74">
        <f>'77'!CA68</f>
        <v>-3.8846153846153832</v>
      </c>
      <c r="AM19" s="74">
        <f>'77'!BZ68</f>
        <v>-3.8846153846153868</v>
      </c>
      <c r="AN19" s="74">
        <f>'77'!BY68</f>
        <v>-3.8846153846153868</v>
      </c>
      <c r="AO19" s="74">
        <f>'77'!BX68</f>
        <v>-3.8846153846153868</v>
      </c>
      <c r="AP19" s="74">
        <f>'77'!BW68</f>
        <v>-1.8846153846153868</v>
      </c>
      <c r="AQ19" s="74">
        <f>'77'!BV68</f>
        <v>-3.8846153846153868</v>
      </c>
      <c r="AR19" s="74">
        <f>'77'!BU68</f>
        <v>-2.8846153846153868</v>
      </c>
      <c r="AS19" s="74">
        <f>'77'!BT68</f>
        <v>-2.8846153846153868</v>
      </c>
      <c r="AT19" s="74">
        <f>'77'!BS68</f>
        <v>-0.8846153846153868</v>
      </c>
      <c r="AU19" s="74">
        <f>'77'!BR68</f>
        <v>-1.8846153846153868</v>
      </c>
      <c r="AV19" s="74">
        <f>'77'!BQ68</f>
        <v>-0.8846153846153868</v>
      </c>
      <c r="AW19" s="74">
        <f>'77'!BP68</f>
        <v>-0.8846153846153868</v>
      </c>
      <c r="AX19" s="74">
        <f>'77'!BO68</f>
        <v>0.1153846153846132</v>
      </c>
      <c r="AY19" s="74">
        <f>'77'!BN68</f>
        <v>-0.8846153846153868</v>
      </c>
      <c r="AZ19" s="74">
        <f>'77'!BM68</f>
        <v>0.1153846153846132</v>
      </c>
      <c r="BA19" s="74">
        <f>'77'!BL68</f>
        <v>-0.8846153846153868</v>
      </c>
      <c r="BB19" s="74">
        <f>'77'!BK68</f>
        <v>-0.8846153846153868</v>
      </c>
      <c r="BC19" s="74">
        <f>'77'!BJ68</f>
        <v>-0.8846153846153868</v>
      </c>
      <c r="BD19" s="74">
        <f>'77'!BI68</f>
        <v>-0.8846153846153868</v>
      </c>
      <c r="BE19" s="74">
        <f>'77'!BH68</f>
        <v>-0.8846153846153868</v>
      </c>
      <c r="BF19" s="74">
        <f>'77'!BG68</f>
        <v>-0.8846153846153868</v>
      </c>
      <c r="BG19" s="74">
        <f>'77'!BF68</f>
        <v>-0.8846153846153868</v>
      </c>
      <c r="BH19" s="74">
        <f>'77'!BE68</f>
        <v>-0.8846153846153868</v>
      </c>
      <c r="BI19" s="74">
        <f>'77'!BD68</f>
        <v>-0.8846153846153868</v>
      </c>
      <c r="BJ19" s="74">
        <f>'77'!BC68</f>
        <v>0.1153846153846132</v>
      </c>
      <c r="BK19" s="74">
        <f>'77'!BB68</f>
        <v>-0.8846153846153868</v>
      </c>
      <c r="BL19" s="74">
        <f>'77'!BA68</f>
        <v>0.1153846153846132</v>
      </c>
      <c r="BM19" s="74">
        <f>'77'!AZ68</f>
        <v>1.1153846153846132</v>
      </c>
      <c r="BN19" s="74">
        <f>'77'!AY68</f>
        <v>1.1153846153846132</v>
      </c>
      <c r="BO19" s="74">
        <f>'77'!AX68</f>
        <v>0.1153846153846132</v>
      </c>
      <c r="BP19" s="74">
        <f>'77'!AW68</f>
        <v>-0.8846153846153868</v>
      </c>
      <c r="BQ19" s="74">
        <f>'77'!AV68</f>
        <v>0.1153846153846132</v>
      </c>
      <c r="BR19" s="74">
        <f>'77'!AU68</f>
        <v>1.1153846153846132</v>
      </c>
      <c r="BS19" s="74">
        <f>'77'!AT68</f>
        <v>2.1153846153846132</v>
      </c>
      <c r="BT19" s="74">
        <f>'77'!AS68</f>
        <v>2.1153846153846132</v>
      </c>
      <c r="BU19" s="74">
        <f>'77'!AR68</f>
        <v>1.1153846153846132</v>
      </c>
      <c r="BV19" s="74">
        <f>'77'!AQ68</f>
        <v>1.1153846153846132</v>
      </c>
      <c r="BW19" s="74">
        <f>'77'!AP68</f>
        <v>1.1153846153846132</v>
      </c>
      <c r="BX19" s="74">
        <f>'77'!AO68</f>
        <v>3.1153846153846132</v>
      </c>
      <c r="BY19" s="74">
        <f>'77'!AN68</f>
        <v>3.1153846153846132</v>
      </c>
      <c r="BZ19" s="74">
        <f>'77'!AM68</f>
        <v>3.1153846153846132</v>
      </c>
      <c r="CA19" s="74">
        <f>'77'!AL68</f>
        <v>3.1153846153846132</v>
      </c>
      <c r="CB19" s="74">
        <f>'77'!AK68</f>
        <v>5.1153846153846132</v>
      </c>
      <c r="CC19" s="74">
        <f>'77'!AJ68</f>
        <v>2.1153846153846132</v>
      </c>
      <c r="CD19" s="74">
        <f>'77'!AI68</f>
        <v>3.1153846153846132</v>
      </c>
      <c r="CE19" s="74">
        <f>'77'!AH68</f>
        <v>3.1153846153846132</v>
      </c>
      <c r="CF19" s="74">
        <f>'77'!AG68</f>
        <v>4.1153846153846132</v>
      </c>
      <c r="CG19" s="74">
        <f>'77'!AF68</f>
        <v>3.1153846153846168</v>
      </c>
      <c r="CH19" s="74">
        <f>'77'!AE68</f>
        <v>3.1153846153846168</v>
      </c>
      <c r="CI19" s="74">
        <f>'77'!AD68</f>
        <v>3.1153846153846168</v>
      </c>
      <c r="CJ19" s="74">
        <f>'77'!AC68</f>
        <v>4.1153846153846168</v>
      </c>
      <c r="CK19" s="74">
        <f>'77'!AB68</f>
        <v>2.1153846153846168</v>
      </c>
      <c r="CL19" s="74">
        <f>'77'!AA68</f>
        <v>3.115384615384615</v>
      </c>
      <c r="CM19" s="74">
        <f>'77'!Z68</f>
        <v>2.115384615384615</v>
      </c>
      <c r="CN19" s="74">
        <f>'77'!Y68</f>
        <v>2.115384615384615</v>
      </c>
      <c r="CO19" s="74">
        <f>'77'!X68</f>
        <v>2.115384615384615</v>
      </c>
      <c r="CP19" s="74">
        <f>'77'!W68</f>
        <v>2.115384615384615</v>
      </c>
      <c r="CQ19" s="74">
        <f>'77'!V68</f>
        <v>1.115384615384615</v>
      </c>
      <c r="CR19" s="74">
        <f>'77'!U68</f>
        <v>2.115384615384615</v>
      </c>
      <c r="CS19" s="74">
        <f>'77'!T68</f>
        <v>1.1153846153846154</v>
      </c>
      <c r="CT19" s="74">
        <f>'77'!S68</f>
        <v>1.1153846153846154</v>
      </c>
      <c r="CU19" s="74">
        <f>'77'!R68</f>
        <v>1.1153846153846154</v>
      </c>
      <c r="CV19" s="74">
        <f>'77'!Q68</f>
        <v>1.1153846153846154</v>
      </c>
      <c r="CW19" s="74">
        <f>'77'!P68</f>
        <v>0.11538461538461542</v>
      </c>
      <c r="CX19" s="74">
        <f>'77'!O68</f>
        <v>1.1153846153846154</v>
      </c>
      <c r="CY19" s="74">
        <f>'77'!N68</f>
        <v>0.11538461538461538</v>
      </c>
      <c r="CZ19" s="74">
        <f>'77'!M68</f>
        <v>0.11538461538461538</v>
      </c>
      <c r="DA19" s="74">
        <f>'77'!L68</f>
        <v>0.11538461538461538</v>
      </c>
      <c r="DB19" s="74">
        <f>'77'!K68</f>
        <v>0.11538461538461538</v>
      </c>
      <c r="DC19" s="118">
        <v>7</v>
      </c>
    </row>
    <row r="20" spans="2:107">
      <c r="B20" s="114"/>
      <c r="C20" s="74"/>
      <c r="D20" s="74"/>
      <c r="E20" s="74"/>
      <c r="F20" s="114"/>
      <c r="G20" s="74"/>
      <c r="H20" s="74"/>
      <c r="I20" s="74"/>
      <c r="J20" s="114"/>
      <c r="K20" s="74"/>
      <c r="L20" s="74"/>
      <c r="M20" s="74"/>
      <c r="N20" s="114"/>
      <c r="O20" s="74"/>
      <c r="P20" s="74"/>
      <c r="Q20" s="74"/>
      <c r="R20" s="114"/>
      <c r="S20" s="129"/>
      <c r="T20" s="117"/>
      <c r="U20" s="117"/>
      <c r="V20" s="129"/>
      <c r="W20" s="114"/>
      <c r="X20" s="118">
        <f>'77'!D70</f>
        <v>3</v>
      </c>
      <c r="Y20" s="119">
        <f>'77'!E70</f>
        <v>0</v>
      </c>
      <c r="Z20" s="119">
        <f>'77'!F70</f>
        <v>0</v>
      </c>
      <c r="AA20" s="119">
        <f>'77'!G70</f>
        <v>0</v>
      </c>
      <c r="AB20" s="119">
        <f>'77'!H70</f>
        <v>0</v>
      </c>
      <c r="AC20" s="119">
        <f>'77'!I70</f>
        <v>0</v>
      </c>
      <c r="AD20" s="119">
        <f>'77'!CI70</f>
        <v>-0.98717948717948723</v>
      </c>
      <c r="AE20" s="119">
        <f>'77'!CH70</f>
        <v>-1.9871794871794872</v>
      </c>
      <c r="AF20" s="119">
        <f>'77'!CG70</f>
        <v>-0.98717948717948723</v>
      </c>
      <c r="AG20" s="119">
        <f>'77'!CF70</f>
        <v>-0.98717948717948723</v>
      </c>
      <c r="AH20" s="119">
        <f>'77'!CE70</f>
        <v>-0.98717948717948723</v>
      </c>
      <c r="AI20" s="119">
        <f>'77'!CD70</f>
        <v>-0.98717948717948723</v>
      </c>
      <c r="AJ20" s="119">
        <f>'77'!CC70</f>
        <v>-2.9871794871794872</v>
      </c>
      <c r="AK20" s="119">
        <f>'77'!CB70</f>
        <v>-1.9871794871794872</v>
      </c>
      <c r="AL20" s="119">
        <f>'77'!CA70</f>
        <v>-0.98717948717948723</v>
      </c>
      <c r="AM20" s="119">
        <f>'77'!BZ70</f>
        <v>-1.9871794871794872</v>
      </c>
      <c r="AN20" s="119">
        <f>'77'!BY70</f>
        <v>-1.9871794871794854</v>
      </c>
      <c r="AO20" s="119">
        <f>'77'!BX70</f>
        <v>-1.9871794871794854</v>
      </c>
      <c r="AP20" s="119">
        <f>'77'!BW70</f>
        <v>-0.98717948717948545</v>
      </c>
      <c r="AQ20" s="119">
        <f>'77'!BV70</f>
        <v>-0.98717948717948545</v>
      </c>
      <c r="AR20" s="119">
        <f>'77'!BU70</f>
        <v>-0.98717948717948545</v>
      </c>
      <c r="AS20" s="119">
        <f>'77'!BT70</f>
        <v>-1.9871794871794854</v>
      </c>
      <c r="AT20" s="119">
        <f>'77'!BS70</f>
        <v>-0.98717948717948545</v>
      </c>
      <c r="AU20" s="119">
        <f>'77'!BR70</f>
        <v>-1.9871794871794854</v>
      </c>
      <c r="AV20" s="119">
        <f>'77'!BQ70</f>
        <v>-0.98717948717948545</v>
      </c>
      <c r="AW20" s="119">
        <f>'77'!BP70</f>
        <v>-0.98717948717948545</v>
      </c>
      <c r="AX20" s="119">
        <f>'77'!BO70</f>
        <v>-0.98717948717948545</v>
      </c>
      <c r="AY20" s="119">
        <f>'77'!BN70</f>
        <v>-0.98717948717948545</v>
      </c>
      <c r="AZ20" s="119">
        <f>'77'!BM70</f>
        <v>-0.98717948717948545</v>
      </c>
      <c r="BA20" s="119">
        <f>'77'!BL70</f>
        <v>-0.987179487179489</v>
      </c>
      <c r="BB20" s="119">
        <f>'77'!BK70</f>
        <v>-0.987179487179489</v>
      </c>
      <c r="BC20" s="119">
        <f>'77'!BJ70</f>
        <v>-0.987179487179489</v>
      </c>
      <c r="BD20" s="119">
        <f>'77'!BI70</f>
        <v>-0.987179487179489</v>
      </c>
      <c r="BE20" s="119">
        <f>'77'!BH70</f>
        <v>-1.987179487179489</v>
      </c>
      <c r="BF20" s="119">
        <f>'77'!BG70</f>
        <v>1.2820512820510999E-2</v>
      </c>
      <c r="BG20" s="119">
        <f>'77'!BF70</f>
        <v>-0.987179487179489</v>
      </c>
      <c r="BH20" s="119">
        <f>'77'!BE70</f>
        <v>-0.987179487179489</v>
      </c>
      <c r="BI20" s="119">
        <f>'77'!BD70</f>
        <v>1.2820512820510999E-2</v>
      </c>
      <c r="BJ20" s="119">
        <f>'77'!BC70</f>
        <v>-0.987179487179489</v>
      </c>
      <c r="BK20" s="119">
        <f>'77'!BB70</f>
        <v>1.2820512820510999E-2</v>
      </c>
      <c r="BL20" s="119">
        <f>'77'!BA70</f>
        <v>1.2820512820510999E-2</v>
      </c>
      <c r="BM20" s="119">
        <f>'77'!AZ70</f>
        <v>1.012820512820511</v>
      </c>
      <c r="BN20" s="119">
        <f>'77'!AY70</f>
        <v>1.2820512820510999E-2</v>
      </c>
      <c r="BO20" s="119">
        <f>'77'!AX70</f>
        <v>1.012820512820511</v>
      </c>
      <c r="BP20" s="119">
        <f>'77'!AW70</f>
        <v>1.2820512820510999E-2</v>
      </c>
      <c r="BQ20" s="119">
        <f>'77'!AV70</f>
        <v>1.012820512820511</v>
      </c>
      <c r="BR20" s="119">
        <f>'77'!AU70</f>
        <v>1.012820512820511</v>
      </c>
      <c r="BS20" s="119">
        <f>'77'!AT70</f>
        <v>1.012820512820511</v>
      </c>
      <c r="BT20" s="119">
        <f>'77'!AS70</f>
        <v>1.012820512820511</v>
      </c>
      <c r="BU20" s="119">
        <f>'77'!AR70</f>
        <v>1.012820512820511</v>
      </c>
      <c r="BV20" s="119">
        <f>'77'!AQ70</f>
        <v>2.0128205128205146</v>
      </c>
      <c r="BW20" s="119">
        <f>'77'!AP70</f>
        <v>1.0128205128205146</v>
      </c>
      <c r="BX20" s="119">
        <f>'77'!AO70</f>
        <v>2.0128205128205146</v>
      </c>
      <c r="BY20" s="119">
        <f>'77'!AN70</f>
        <v>1.0128205128205146</v>
      </c>
      <c r="BZ20" s="119">
        <f>'77'!AM70</f>
        <v>2.0128205128205146</v>
      </c>
      <c r="CA20" s="119">
        <f>'77'!AL70</f>
        <v>2.0128205128205146</v>
      </c>
      <c r="CB20" s="119">
        <f>'77'!AK70</f>
        <v>2.0128205128205146</v>
      </c>
      <c r="CC20" s="119">
        <f>'77'!AJ70</f>
        <v>2.0128205128205146</v>
      </c>
      <c r="CD20" s="119">
        <f>'77'!AI70</f>
        <v>2.0128205128205146</v>
      </c>
      <c r="CE20" s="119">
        <f>'77'!AH70</f>
        <v>1.0128205128205146</v>
      </c>
      <c r="CF20" s="119">
        <f>'77'!AG70</f>
        <v>2.0128205128205128</v>
      </c>
      <c r="CG20" s="119">
        <f>'77'!AF70</f>
        <v>1.0128205128205128</v>
      </c>
      <c r="CH20" s="119">
        <f>'77'!AE70</f>
        <v>1.0128205128205128</v>
      </c>
      <c r="CI20" s="119">
        <f>'77'!AD70</f>
        <v>1.0128205128205128</v>
      </c>
      <c r="CJ20" s="119">
        <f>'77'!AC70</f>
        <v>2.0128205128205128</v>
      </c>
      <c r="CK20" s="119">
        <f>'77'!AB70</f>
        <v>2.0128205128205128</v>
      </c>
      <c r="CL20" s="119">
        <f>'77'!AA70</f>
        <v>1.0128205128205128</v>
      </c>
      <c r="CM20" s="119">
        <f>'77'!Z70</f>
        <v>1.0128205128205128</v>
      </c>
      <c r="CN20" s="119">
        <f>'77'!Y70</f>
        <v>1.2820512820512775E-2</v>
      </c>
      <c r="CO20" s="119">
        <f>'77'!X70</f>
        <v>1.0128205128205128</v>
      </c>
      <c r="CP20" s="119">
        <f>'77'!W70</f>
        <v>2.0128205128205128</v>
      </c>
      <c r="CQ20" s="119">
        <f>'77'!V70</f>
        <v>1.0128205128205128</v>
      </c>
      <c r="CR20" s="119">
        <f>'77'!U70</f>
        <v>1.2820512820512775E-2</v>
      </c>
      <c r="CS20" s="119">
        <f>'77'!T70</f>
        <v>1.2820512820512775E-2</v>
      </c>
      <c r="CT20" s="119">
        <f>'77'!S70</f>
        <v>1.0128205128205128</v>
      </c>
      <c r="CU20" s="119">
        <f>'77'!R70</f>
        <v>1.2820512820512775E-2</v>
      </c>
      <c r="CV20" s="119">
        <f>'77'!Q70</f>
        <v>1.0128205128205128</v>
      </c>
      <c r="CW20" s="119">
        <f>'77'!P70</f>
        <v>1.282051282051282E-2</v>
      </c>
      <c r="CX20" s="119">
        <f>'77'!O70</f>
        <v>1.282051282051282E-2</v>
      </c>
      <c r="CY20" s="119">
        <f>'77'!N70</f>
        <v>1.282051282051282E-2</v>
      </c>
      <c r="CZ20" s="119">
        <f>'77'!M70</f>
        <v>-0.98717948717948723</v>
      </c>
      <c r="DA20" s="119">
        <f>'77'!L70</f>
        <v>1.0128205128205128</v>
      </c>
      <c r="DB20" s="119">
        <f>'77'!K70</f>
        <v>1.282051282051282E-2</v>
      </c>
      <c r="DC20" s="118">
        <v>3.5</v>
      </c>
    </row>
    <row r="21" spans="2:107">
      <c r="B21" s="114">
        <v>1</v>
      </c>
      <c r="C21" s="74">
        <f t="shared" si="9"/>
        <v>1.75</v>
      </c>
      <c r="D21" s="74">
        <f t="shared" si="10"/>
        <v>2.5</v>
      </c>
      <c r="E21" s="74">
        <f t="shared" si="11"/>
        <v>3.25</v>
      </c>
      <c r="F21" s="114">
        <v>4</v>
      </c>
      <c r="G21" s="74">
        <f t="shared" si="12"/>
        <v>4.75</v>
      </c>
      <c r="H21" s="74">
        <f t="shared" si="13"/>
        <v>5.5</v>
      </c>
      <c r="I21" s="74">
        <f t="shared" si="14"/>
        <v>6.25</v>
      </c>
      <c r="J21" s="114">
        <f t="shared" si="15"/>
        <v>7</v>
      </c>
      <c r="K21" s="74">
        <f t="shared" si="16"/>
        <v>7.9375</v>
      </c>
      <c r="L21" s="74">
        <f t="shared" si="17"/>
        <v>8.875</v>
      </c>
      <c r="M21" s="74">
        <f t="shared" si="18"/>
        <v>9.8125</v>
      </c>
      <c r="N21" s="114">
        <f>SUM(F21,-B21,J21,0.25*ABS(J21-F21))</f>
        <v>10.75</v>
      </c>
      <c r="O21" s="74">
        <f>SUM(0.25*(R21-N21),N21)</f>
        <v>12.3125</v>
      </c>
      <c r="P21" s="74">
        <f>SUM(0.5*(R21-N21),N21)</f>
        <v>13.875</v>
      </c>
      <c r="Q21" s="74">
        <f>SUM(0.75*(R21-N21),N21)</f>
        <v>15.4375</v>
      </c>
      <c r="R21" s="114">
        <v>17</v>
      </c>
      <c r="S21" s="129"/>
      <c r="T21" s="117">
        <f>SUM((DB20+CV16+CP12+DA19+CU15)*0.132,(CZ18+CY18+CX17+CW17+CT14+CS14+CR13+CQ13+CN11+CO11+CM10+CL10+CK9+CI8++CH8+CJ9)*0.132/2,(CG7+CF7+CE7+CD6+CC6+CB6+CA5+BZ5+BY5+BX4+BW4+BV4)*0.132/3,17)</f>
        <v>17.629538461538463</v>
      </c>
      <c r="U21" s="117"/>
      <c r="V21" s="129"/>
      <c r="W21" s="114"/>
      <c r="X21" s="118">
        <f>'77'!D71</f>
        <v>1</v>
      </c>
      <c r="Y21" s="74">
        <f>'77'!E71</f>
        <v>0</v>
      </c>
      <c r="Z21" s="74">
        <f>'77'!F71</f>
        <v>0</v>
      </c>
      <c r="AA21" s="74">
        <f>'77'!G71</f>
        <v>0</v>
      </c>
      <c r="AB21" s="74">
        <f>'77'!H71</f>
        <v>0</v>
      </c>
      <c r="AC21" s="74">
        <f>'77'!I71</f>
        <v>0</v>
      </c>
      <c r="AD21" s="118">
        <f>'77'!CI71</f>
        <v>-2.6153846153846154</v>
      </c>
      <c r="AE21" s="118">
        <f>'77'!CH71</f>
        <v>-3.615384615384615</v>
      </c>
      <c r="AF21" s="118">
        <f>'77'!CG71</f>
        <v>0.38461538461538503</v>
      </c>
      <c r="AG21" s="118">
        <f>'77'!CF71</f>
        <v>-0.61538461538461497</v>
      </c>
      <c r="AH21" s="118">
        <f>'77'!CE71</f>
        <v>-0.61538461538461497</v>
      </c>
      <c r="AI21" s="118">
        <f>'77'!CD71</f>
        <v>-0.61538461538461497</v>
      </c>
      <c r="AJ21" s="118">
        <f>'77'!CC71</f>
        <v>-1.615384615384615</v>
      </c>
      <c r="AK21" s="118">
        <f>'77'!CB71</f>
        <v>-1.615384615384615</v>
      </c>
      <c r="AL21" s="118">
        <f>'77'!CA71</f>
        <v>-0.61538461538461497</v>
      </c>
      <c r="AM21" s="118">
        <f>'77'!BZ71</f>
        <v>-1.6153846153846168</v>
      </c>
      <c r="AN21" s="118">
        <f>'77'!BY71</f>
        <v>-0.61538461538461675</v>
      </c>
      <c r="AO21" s="118">
        <f>'77'!BX71</f>
        <v>-0.61538461538461675</v>
      </c>
      <c r="AP21" s="118">
        <f>'77'!BW71</f>
        <v>-0.61538461538461675</v>
      </c>
      <c r="AQ21" s="118">
        <f>'77'!BV71</f>
        <v>-0.61538461538461675</v>
      </c>
      <c r="AR21" s="118">
        <f>'77'!BU71</f>
        <v>-1.6153846153846168</v>
      </c>
      <c r="AS21" s="118">
        <f>'77'!BT71</f>
        <v>-1.6153846153846168</v>
      </c>
      <c r="AT21" s="118">
        <f>'77'!BS71</f>
        <v>-0.61538461538461675</v>
      </c>
      <c r="AU21" s="118">
        <f>'77'!BR71</f>
        <v>-0.61538461538461675</v>
      </c>
      <c r="AV21" s="118">
        <f>'77'!BQ71</f>
        <v>-0.61538461538461675</v>
      </c>
      <c r="AW21" s="118">
        <f>'77'!BP71</f>
        <v>-0.61538461538461675</v>
      </c>
      <c r="AX21" s="118">
        <f>'77'!BO71</f>
        <v>-1.6153846153846168</v>
      </c>
      <c r="AY21" s="118">
        <f>'77'!BN71</f>
        <v>-1.6153846153846132</v>
      </c>
      <c r="AZ21" s="118">
        <f>'77'!BM71</f>
        <v>0.3846153846153868</v>
      </c>
      <c r="BA21" s="118">
        <f>'77'!BL71</f>
        <v>-0.6153846153846132</v>
      </c>
      <c r="BB21" s="118">
        <f>'77'!BK71</f>
        <v>-0.6153846153846132</v>
      </c>
      <c r="BC21" s="118">
        <f>'77'!BJ71</f>
        <v>-1.6153846153846132</v>
      </c>
      <c r="BD21" s="118">
        <f>'77'!BI71</f>
        <v>0.3846153846153868</v>
      </c>
      <c r="BE21" s="118">
        <f>'77'!BH71</f>
        <v>0.3846153846153868</v>
      </c>
      <c r="BF21" s="118">
        <f>'77'!BG71</f>
        <v>-0.6153846153846132</v>
      </c>
      <c r="BG21" s="118">
        <f>'77'!BF71</f>
        <v>0.3846153846153868</v>
      </c>
      <c r="BH21" s="118">
        <f>'77'!BE71</f>
        <v>0.3846153846153868</v>
      </c>
      <c r="BI21" s="118">
        <f>'77'!BD71</f>
        <v>-0.6153846153846132</v>
      </c>
      <c r="BJ21" s="118">
        <f>'77'!BC71</f>
        <v>0.3846153846153868</v>
      </c>
      <c r="BK21" s="118">
        <f>'77'!BB71</f>
        <v>1.3846153846153868</v>
      </c>
      <c r="BL21" s="118">
        <f>'77'!BA71</f>
        <v>0.3846153846153868</v>
      </c>
      <c r="BM21" s="118">
        <f>'77'!AZ71</f>
        <v>1.3846153846153868</v>
      </c>
      <c r="BN21" s="118">
        <f>'77'!AY71</f>
        <v>1.3846153846153868</v>
      </c>
      <c r="BO21" s="118">
        <f>'77'!AX71</f>
        <v>1.3846153846153868</v>
      </c>
      <c r="BP21" s="118">
        <f>'77'!AW71</f>
        <v>1.3846153846153868</v>
      </c>
      <c r="BQ21" s="118">
        <f>'77'!AV71</f>
        <v>1.3846153846153868</v>
      </c>
      <c r="BR21" s="118">
        <f>'77'!AU71</f>
        <v>3.3846153846153832</v>
      </c>
      <c r="BS21" s="118">
        <f>'77'!AT71</f>
        <v>2.3846153846153832</v>
      </c>
      <c r="BT21" s="118">
        <f>'77'!AS71</f>
        <v>3.3846153846153832</v>
      </c>
      <c r="BU21" s="118">
        <f>'77'!AR71</f>
        <v>4.3846153846153832</v>
      </c>
      <c r="BV21" s="118">
        <f>'77'!AQ71</f>
        <v>3.3846153846153832</v>
      </c>
      <c r="BW21" s="118">
        <f>'77'!AP71</f>
        <v>2.384615384615385</v>
      </c>
      <c r="BX21" s="118">
        <f>'77'!AO71</f>
        <v>3.384615384615385</v>
      </c>
      <c r="BY21" s="118">
        <f>'77'!AN71</f>
        <v>3.384615384615385</v>
      </c>
      <c r="BZ21" s="118">
        <f>'77'!AM71</f>
        <v>3.384615384615385</v>
      </c>
      <c r="CA21" s="118">
        <f>'77'!AL71</f>
        <v>4.384615384615385</v>
      </c>
      <c r="CB21" s="118">
        <f>'77'!AK71</f>
        <v>3.3846153846153846</v>
      </c>
      <c r="CC21" s="118">
        <f>'77'!AJ71</f>
        <v>2.3846153846153846</v>
      </c>
      <c r="CD21" s="118">
        <f>'77'!AI71</f>
        <v>1.3846153846153846</v>
      </c>
      <c r="CE21" s="118">
        <f>'77'!AH71</f>
        <v>2.384615384615385</v>
      </c>
      <c r="CF21" s="118">
        <f>'77'!AG71</f>
        <v>2.384615384615385</v>
      </c>
      <c r="CG21" s="118">
        <f>'77'!AF71</f>
        <v>2.384615384615385</v>
      </c>
      <c r="CH21" s="118">
        <f>'77'!AE71</f>
        <v>1.384615384615385</v>
      </c>
      <c r="CI21" s="118">
        <f>'77'!AD71</f>
        <v>1.384615384615385</v>
      </c>
      <c r="CJ21" s="118">
        <f>'77'!AC71</f>
        <v>1.384615384615385</v>
      </c>
      <c r="CK21" s="118">
        <f>'77'!AB71</f>
        <v>1.384615384615385</v>
      </c>
      <c r="CL21" s="118">
        <f>'77'!AA71</f>
        <v>0.38461538461538503</v>
      </c>
      <c r="CM21" s="118">
        <f>'77'!Z71</f>
        <v>0.38461538461538503</v>
      </c>
      <c r="CN21" s="118">
        <f>'77'!Y71</f>
        <v>0.38461538461538503</v>
      </c>
      <c r="CO21" s="118">
        <f>'77'!X71</f>
        <v>-0.61538461538461497</v>
      </c>
      <c r="CP21" s="118">
        <f>'77'!W71</f>
        <v>0.38461538461538503</v>
      </c>
      <c r="CQ21" s="118">
        <f>'77'!V71</f>
        <v>0.38461538461538503</v>
      </c>
      <c r="CR21" s="118">
        <f>'77'!U71</f>
        <v>-1.615384615384615</v>
      </c>
      <c r="CS21" s="118">
        <f>'77'!T71</f>
        <v>-0.61538461538461497</v>
      </c>
      <c r="CT21" s="118">
        <f>'77'!S71</f>
        <v>-0.61538461538461497</v>
      </c>
      <c r="CU21" s="118">
        <f>'77'!R71</f>
        <v>-1.615384615384615</v>
      </c>
      <c r="CV21" s="118">
        <f>'77'!Q71</f>
        <v>-0.61538461538461497</v>
      </c>
      <c r="CW21" s="118">
        <f>'77'!P71</f>
        <v>-0.61538461538461497</v>
      </c>
      <c r="CX21" s="118">
        <f>'77'!O71</f>
        <v>-0.61538461538461542</v>
      </c>
      <c r="CY21" s="118">
        <f>'77'!N71</f>
        <v>0.38461538461538458</v>
      </c>
      <c r="CZ21" s="118">
        <f>'77'!M71</f>
        <v>-2.6153846153846154</v>
      </c>
      <c r="DA21" s="118">
        <f>'77'!L71</f>
        <v>0.38461538461538458</v>
      </c>
      <c r="DB21" s="118">
        <f>'77'!K71</f>
        <v>0.38461538461538458</v>
      </c>
      <c r="DC21" s="118">
        <v>0</v>
      </c>
    </row>
    <row r="22" spans="2:107">
      <c r="B22" s="114">
        <v>2</v>
      </c>
      <c r="C22" s="74">
        <f t="shared" si="9"/>
        <v>2.5</v>
      </c>
      <c r="D22" s="74">
        <f t="shared" si="10"/>
        <v>3</v>
      </c>
      <c r="E22" s="74">
        <f t="shared" si="11"/>
        <v>3.5</v>
      </c>
      <c r="F22" s="114">
        <v>4</v>
      </c>
      <c r="G22" s="74">
        <f t="shared" si="12"/>
        <v>4.5</v>
      </c>
      <c r="H22" s="74">
        <f t="shared" si="13"/>
        <v>5</v>
      </c>
      <c r="I22" s="74">
        <f t="shared" si="14"/>
        <v>5.5</v>
      </c>
      <c r="J22" s="114">
        <f t="shared" si="15"/>
        <v>6</v>
      </c>
      <c r="K22" s="74">
        <f t="shared" si="16"/>
        <v>6.625</v>
      </c>
      <c r="L22" s="74">
        <f t="shared" si="17"/>
        <v>7.25</v>
      </c>
      <c r="M22" s="74">
        <f t="shared" si="18"/>
        <v>7.875</v>
      </c>
      <c r="N22" s="114">
        <f>SUM(F22,-B22,J22,0.25*ABS(J22-F22))</f>
        <v>8.5</v>
      </c>
      <c r="O22" s="74">
        <f>SUM(0.25*(R22-N22),N22)</f>
        <v>10.625</v>
      </c>
      <c r="P22" s="74">
        <f>SUM(0.5*(R22-N22),N22)</f>
        <v>12.75</v>
      </c>
      <c r="Q22" s="74">
        <f>SUM(0.75*(R22-N22),N22)</f>
        <v>14.875</v>
      </c>
      <c r="R22" s="114">
        <v>17</v>
      </c>
      <c r="S22" s="129"/>
      <c r="T22" s="117">
        <f>SUM((CZ20+CY19+CX18+CW17+CV16+CU15+CT14+CS13+CR12+CQ11+CP10)*0.132,(CO9+CN9+CM8+CL8)*0.132/2,(CK7+CJ7+CI7+CH7+CG6+CF6+CE6+CD6+CC5+CB5+CA5+BZ5+BY4+BX4+BW4+BV4)*0.132/4,17)</f>
        <v>17.552538461538461</v>
      </c>
      <c r="U22" s="117"/>
      <c r="V22" s="129"/>
      <c r="W22" s="114"/>
      <c r="AD22" s="122">
        <v>77</v>
      </c>
      <c r="AE22" s="122">
        <v>76</v>
      </c>
      <c r="AF22" s="122">
        <v>75</v>
      </c>
      <c r="AG22" s="122">
        <v>74</v>
      </c>
      <c r="AH22" s="122">
        <v>73</v>
      </c>
      <c r="AI22" s="122">
        <v>72</v>
      </c>
      <c r="AJ22" s="122">
        <v>71</v>
      </c>
      <c r="AK22" s="122">
        <v>70</v>
      </c>
      <c r="AL22" s="122">
        <v>69</v>
      </c>
      <c r="AM22" s="122">
        <v>68</v>
      </c>
      <c r="AN22" s="122">
        <v>67</v>
      </c>
      <c r="AO22" s="122">
        <v>66</v>
      </c>
      <c r="AP22" s="122">
        <v>65</v>
      </c>
      <c r="AQ22" s="122">
        <v>64</v>
      </c>
      <c r="AR22" s="122">
        <v>63</v>
      </c>
      <c r="AS22" s="122">
        <v>62</v>
      </c>
      <c r="AT22" s="122">
        <v>61</v>
      </c>
      <c r="AU22" s="122">
        <v>60</v>
      </c>
      <c r="AV22" s="122">
        <v>59</v>
      </c>
      <c r="AW22" s="122">
        <v>58</v>
      </c>
      <c r="AX22" s="122">
        <v>57</v>
      </c>
      <c r="AY22" s="122">
        <v>56</v>
      </c>
      <c r="AZ22" s="122">
        <v>55</v>
      </c>
      <c r="BA22" s="122">
        <v>54</v>
      </c>
      <c r="BB22" s="122">
        <v>53</v>
      </c>
      <c r="BC22" s="122">
        <v>52</v>
      </c>
      <c r="BD22" s="122">
        <v>51</v>
      </c>
      <c r="BE22" s="122">
        <v>50</v>
      </c>
      <c r="BF22" s="122">
        <v>49</v>
      </c>
      <c r="BG22" s="122">
        <v>48</v>
      </c>
      <c r="BH22" s="122">
        <v>47</v>
      </c>
      <c r="BI22" s="122">
        <v>46</v>
      </c>
      <c r="BJ22" s="122">
        <v>45</v>
      </c>
      <c r="BK22" s="122">
        <v>44</v>
      </c>
      <c r="BL22" s="122">
        <v>43</v>
      </c>
      <c r="BM22" s="122">
        <v>42</v>
      </c>
      <c r="BN22" s="122">
        <v>41</v>
      </c>
      <c r="BO22" s="122">
        <v>40</v>
      </c>
      <c r="BP22" s="122">
        <v>39</v>
      </c>
      <c r="BQ22" s="122">
        <v>38</v>
      </c>
      <c r="BR22" s="122">
        <v>37</v>
      </c>
      <c r="BS22" s="122">
        <v>36</v>
      </c>
      <c r="BT22" s="122">
        <v>35</v>
      </c>
      <c r="BU22" s="122">
        <v>34</v>
      </c>
      <c r="BV22" s="122">
        <v>33</v>
      </c>
      <c r="BW22" s="122">
        <v>32</v>
      </c>
      <c r="BX22" s="122">
        <v>31</v>
      </c>
      <c r="BY22" s="122">
        <v>30</v>
      </c>
      <c r="BZ22" s="122">
        <v>29</v>
      </c>
      <c r="CA22" s="122">
        <v>28</v>
      </c>
      <c r="CB22" s="122">
        <v>27</v>
      </c>
      <c r="CC22" s="122">
        <v>26</v>
      </c>
      <c r="CD22" s="122">
        <v>25</v>
      </c>
      <c r="CE22" s="122">
        <v>24</v>
      </c>
      <c r="CF22" s="122">
        <v>23</v>
      </c>
      <c r="CG22" s="122">
        <v>22</v>
      </c>
      <c r="CH22" s="122">
        <v>21</v>
      </c>
      <c r="CI22" s="122">
        <v>20</v>
      </c>
      <c r="CJ22" s="122">
        <v>19</v>
      </c>
      <c r="CK22" s="122">
        <v>18</v>
      </c>
      <c r="CL22" s="122">
        <v>17</v>
      </c>
      <c r="CM22" s="122">
        <v>16</v>
      </c>
      <c r="CN22" s="122">
        <v>15</v>
      </c>
      <c r="CO22" s="122">
        <v>14</v>
      </c>
      <c r="CP22" s="122">
        <v>13</v>
      </c>
      <c r="CQ22" s="122">
        <v>12</v>
      </c>
      <c r="CR22" s="122">
        <v>11</v>
      </c>
      <c r="CS22" s="122">
        <v>10</v>
      </c>
      <c r="CT22" s="122">
        <v>9</v>
      </c>
      <c r="CU22" s="122">
        <v>8</v>
      </c>
      <c r="CV22" s="122">
        <v>7</v>
      </c>
      <c r="CW22" s="122">
        <v>6</v>
      </c>
      <c r="CX22" s="122">
        <v>5</v>
      </c>
      <c r="CY22" s="122">
        <v>4</v>
      </c>
      <c r="CZ22" s="122">
        <v>3</v>
      </c>
      <c r="DA22" s="122">
        <v>2</v>
      </c>
      <c r="DB22" s="122">
        <v>1</v>
      </c>
    </row>
    <row r="23" spans="2:107">
      <c r="B23" s="114">
        <v>3</v>
      </c>
      <c r="C23" s="74">
        <f t="shared" si="9"/>
        <v>3.25</v>
      </c>
      <c r="D23" s="74">
        <f t="shared" si="10"/>
        <v>3.5</v>
      </c>
      <c r="E23" s="74">
        <f t="shared" si="11"/>
        <v>3.75</v>
      </c>
      <c r="F23" s="114">
        <v>4</v>
      </c>
      <c r="G23" s="74">
        <f t="shared" si="12"/>
        <v>4.25</v>
      </c>
      <c r="H23" s="74">
        <f t="shared" si="13"/>
        <v>4.5</v>
      </c>
      <c r="I23" s="74">
        <f t="shared" si="14"/>
        <v>4.75</v>
      </c>
      <c r="J23" s="114">
        <f t="shared" si="15"/>
        <v>5</v>
      </c>
      <c r="K23" s="74">
        <f t="shared" si="16"/>
        <v>5.3125</v>
      </c>
      <c r="L23" s="74">
        <f t="shared" si="17"/>
        <v>5.625</v>
      </c>
      <c r="M23" s="74">
        <f t="shared" si="18"/>
        <v>5.9375</v>
      </c>
      <c r="N23" s="114">
        <f>SUM(F23,-B23,J23,0.25*ABS(J23-F23))</f>
        <v>6.25</v>
      </c>
      <c r="O23" s="74">
        <f>SUM(0.25*(R23-N23),N23)</f>
        <v>8.9375</v>
      </c>
      <c r="P23" s="74">
        <f>SUM(0.5*(R23-N23),N23)</f>
        <v>11.625</v>
      </c>
      <c r="Q23" s="74">
        <f>SUM(0.75*(R23-N23),N23)</f>
        <v>14.3125</v>
      </c>
      <c r="R23" s="114">
        <v>17</v>
      </c>
      <c r="S23" s="129"/>
      <c r="T23" s="117">
        <f>SUM((CX20+CX19+CW18+CW17+CV16+CV15+CU14+CU13+CT12+CS11+CR10+CQ9+CP8)*0.132,(CO7+CN7+CM7+CL7+CK7+CG6+CF6+CJ6+CI6+CH6+CE5+CD5+CC5+CB5+CA5+BZ4+BY4+BX4+BW4+BV4)*0.132/5,17)</f>
        <v>17.493138461538461</v>
      </c>
      <c r="U23" s="117"/>
      <c r="V23" s="129"/>
      <c r="W23" s="114"/>
    </row>
    <row r="24" spans="2:107">
      <c r="B24" s="114">
        <v>4</v>
      </c>
      <c r="C24" s="74">
        <f t="shared" si="9"/>
        <v>4</v>
      </c>
      <c r="D24" s="74">
        <f t="shared" si="10"/>
        <v>4</v>
      </c>
      <c r="E24" s="74">
        <f t="shared" si="11"/>
        <v>4</v>
      </c>
      <c r="F24" s="114">
        <v>4</v>
      </c>
      <c r="G24" s="74">
        <f t="shared" si="12"/>
        <v>4</v>
      </c>
      <c r="H24" s="74">
        <f t="shared" si="13"/>
        <v>4</v>
      </c>
      <c r="I24" s="74">
        <f t="shared" si="14"/>
        <v>4</v>
      </c>
      <c r="J24" s="114">
        <f t="shared" si="15"/>
        <v>4</v>
      </c>
      <c r="K24" s="74">
        <f t="shared" si="16"/>
        <v>4.6500000000000004</v>
      </c>
      <c r="L24" s="74">
        <f t="shared" si="17"/>
        <v>5.3</v>
      </c>
      <c r="M24" s="74">
        <f t="shared" si="18"/>
        <v>5.9499999999999993</v>
      </c>
      <c r="N24" s="114">
        <f>SUM(F24,-B24,J24,0.25*ABS(J24-F24),0.2*(17-F24))</f>
        <v>6.6</v>
      </c>
      <c r="O24" s="74">
        <f>SUM(0.25*(R24-N24),N24)</f>
        <v>9.1999999999999993</v>
      </c>
      <c r="P24" s="74">
        <f>SUM(0.5*(R24-N24),N24)</f>
        <v>11.8</v>
      </c>
      <c r="Q24" s="74">
        <f>SUM(0.75*(R24-N24),N24)</f>
        <v>14.4</v>
      </c>
      <c r="R24" s="114">
        <v>17</v>
      </c>
      <c r="S24" s="129"/>
      <c r="T24" s="117">
        <f>SUM((CV20+CV19+CV18+CV17+CV16+CV15+CV14+CV13+CV12+CU11+CU10+CT9+CT8)*0.132,(CS7+CR7+CQ7+CP7+CO7+CN7+CM6+CL6+CK6+CJ6+CI6+CH6+CG5+CF5+CD5+CE5+CC5+CB5+CA4+BZ4+BY4+BX4+BW4+BV4)*0.132/6,17)</f>
        <v>17.10153846153846</v>
      </c>
      <c r="U24" s="117"/>
      <c r="V24" s="129"/>
      <c r="W24" s="114"/>
    </row>
    <row r="25" spans="2:107">
      <c r="B25" s="114">
        <v>5</v>
      </c>
      <c r="C25" s="74">
        <f t="shared" si="9"/>
        <v>4.75</v>
      </c>
      <c r="D25" s="74">
        <f t="shared" si="10"/>
        <v>4.5</v>
      </c>
      <c r="E25" s="74">
        <f t="shared" si="11"/>
        <v>4.25</v>
      </c>
      <c r="F25" s="114">
        <v>4</v>
      </c>
      <c r="G25" s="74">
        <f t="shared" si="12"/>
        <v>3.75</v>
      </c>
      <c r="H25" s="74">
        <f t="shared" si="13"/>
        <v>3.5</v>
      </c>
      <c r="I25" s="74">
        <f t="shared" si="14"/>
        <v>3.25</v>
      </c>
      <c r="J25" s="114">
        <f t="shared" si="15"/>
        <v>3</v>
      </c>
      <c r="K25" s="74">
        <f t="shared" si="16"/>
        <v>2.8125</v>
      </c>
      <c r="L25" s="74">
        <f t="shared" si="17"/>
        <v>2.625</v>
      </c>
      <c r="M25" s="74">
        <f t="shared" si="18"/>
        <v>2.4375</v>
      </c>
      <c r="N25" s="114">
        <f>SUM(F25,-B25,J25,0.25*ABS(J25-F25))</f>
        <v>2.25</v>
      </c>
      <c r="O25" s="74">
        <f>SUM(0.25*(R25-N25),N25)</f>
        <v>5.9375</v>
      </c>
      <c r="P25" s="74">
        <f>SUM(0.5*(R25-N25),N25)</f>
        <v>9.625</v>
      </c>
      <c r="Q25" s="74">
        <f>SUM(0.75*(R25-N25),N25)</f>
        <v>13.3125</v>
      </c>
      <c r="R25" s="114">
        <v>17</v>
      </c>
      <c r="S25" s="129"/>
      <c r="T25" s="117">
        <f>SUM((CT20+CT19+CU18+CU17+CV16+CV15+CW14+CW13+CX12+CX11+CX10+CX9+CX8)*0.132,(CW7+CV7+CU7+CT7+CS7+CR7+CQ7+CP6+CO6+CN6+CM6+CL6+CK6+CJ6+CI5+CH5+CG5+CF5+CE5+CD5+CC5+CB4+CA4+BZ4+BY4+BX4+BW4+BV4)*0.132/7,17)</f>
        <v>17.50068131868132</v>
      </c>
      <c r="U25" s="117"/>
      <c r="V25" s="129"/>
      <c r="W25" s="114"/>
    </row>
    <row r="26" spans="2:107">
      <c r="B26" s="114"/>
      <c r="C26" s="74"/>
      <c r="D26" s="74"/>
      <c r="E26" s="74"/>
      <c r="F26" s="114"/>
      <c r="G26" s="74"/>
      <c r="H26" s="74"/>
      <c r="I26" s="74"/>
      <c r="J26" s="114"/>
      <c r="K26" s="74"/>
      <c r="L26" s="74"/>
      <c r="M26" s="74"/>
      <c r="N26" s="114"/>
      <c r="O26" s="74"/>
      <c r="P26" s="74"/>
      <c r="Q26" s="74"/>
      <c r="R26" s="114"/>
      <c r="S26" s="129"/>
      <c r="T26" s="117"/>
      <c r="U26" s="117"/>
      <c r="V26" s="129"/>
      <c r="W26" s="114"/>
    </row>
    <row r="27" spans="2:107">
      <c r="B27" s="114">
        <v>1</v>
      </c>
      <c r="C27" s="74">
        <f t="shared" si="9"/>
        <v>2</v>
      </c>
      <c r="D27" s="74">
        <f t="shared" si="10"/>
        <v>3</v>
      </c>
      <c r="E27" s="74">
        <f t="shared" si="11"/>
        <v>4</v>
      </c>
      <c r="F27" s="114">
        <v>5</v>
      </c>
      <c r="G27" s="74">
        <f t="shared" si="12"/>
        <v>6</v>
      </c>
      <c r="H27" s="74">
        <f t="shared" si="13"/>
        <v>7</v>
      </c>
      <c r="I27" s="74">
        <f t="shared" si="14"/>
        <v>8</v>
      </c>
      <c r="J27" s="114">
        <f t="shared" si="15"/>
        <v>9</v>
      </c>
      <c r="K27" s="74">
        <f t="shared" si="16"/>
        <v>10</v>
      </c>
      <c r="L27" s="74">
        <f t="shared" si="17"/>
        <v>11</v>
      </c>
      <c r="M27" s="74">
        <f t="shared" si="18"/>
        <v>12</v>
      </c>
      <c r="N27" s="114">
        <f>SUM(J27,J27,-F27)</f>
        <v>13</v>
      </c>
      <c r="O27" s="74">
        <f t="shared" ref="O27:O33" si="19">SUM(0.25*(R27-N27),N27)</f>
        <v>14</v>
      </c>
      <c r="P27" s="74">
        <f t="shared" ref="P27:P33" si="20">SUM(0.5*(R27-N27),N27)</f>
        <v>15</v>
      </c>
      <c r="Q27" s="74">
        <f t="shared" ref="Q27:Q33" si="21">SUM(0.75*(R27-N27),N27)</f>
        <v>16</v>
      </c>
      <c r="R27" s="114">
        <v>17</v>
      </c>
      <c r="S27" s="129"/>
      <c r="T27" s="117">
        <f>SUM(DB20*0.132,(DA19+CZ19+CY18+CX18+CW17+CV17+CU16+CT16+CS15+CR15+CQ14+CP14+CO13+CN13+CM12+CL12+CK11+CJ11+CI10+CH10+CG9+CF9+CE8+CD8+CC7+CB7+CA6+BZ6+BY5+BX5+BW4+BV4)*0.132/2,17)</f>
        <v>17.651538461538461</v>
      </c>
      <c r="U27" s="117"/>
      <c r="V27" s="129"/>
      <c r="W27" s="114"/>
    </row>
    <row r="28" spans="2:107">
      <c r="B28" s="114">
        <v>2</v>
      </c>
      <c r="C28" s="74">
        <f t="shared" si="9"/>
        <v>2.75</v>
      </c>
      <c r="D28" s="74">
        <f t="shared" si="10"/>
        <v>3.5</v>
      </c>
      <c r="E28" s="74">
        <f t="shared" si="11"/>
        <v>4.25</v>
      </c>
      <c r="F28" s="114">
        <v>5</v>
      </c>
      <c r="G28" s="74">
        <f t="shared" si="12"/>
        <v>5.75</v>
      </c>
      <c r="H28" s="74">
        <f t="shared" si="13"/>
        <v>6.5</v>
      </c>
      <c r="I28" s="74">
        <f t="shared" si="14"/>
        <v>7.25</v>
      </c>
      <c r="J28" s="114">
        <f t="shared" si="15"/>
        <v>8</v>
      </c>
      <c r="K28" s="74">
        <f t="shared" si="16"/>
        <v>8.9375</v>
      </c>
      <c r="L28" s="74">
        <f t="shared" si="17"/>
        <v>9.875</v>
      </c>
      <c r="M28" s="74">
        <f t="shared" si="18"/>
        <v>10.8125</v>
      </c>
      <c r="N28" s="114">
        <f>SUM(F28,-B28,J28,0.25*ABS(J28-F28))</f>
        <v>11.75</v>
      </c>
      <c r="O28" s="74">
        <f t="shared" si="19"/>
        <v>13.0625</v>
      </c>
      <c r="P28" s="74">
        <f t="shared" si="20"/>
        <v>14.375</v>
      </c>
      <c r="Q28" s="74">
        <f t="shared" si="21"/>
        <v>15.6875</v>
      </c>
      <c r="R28" s="114">
        <v>17</v>
      </c>
      <c r="S28" s="129"/>
      <c r="T28" s="117">
        <f>SUM((CZ20+CY19+CS15+CR14+CX18)*0.132,(CW17+CV17+CU16+CT16+CQ13+CP13+CO12+CN12+CM11+CL11+CK10+CJ10+CI9+CH9+CG8+CF8+BY5+BX5+BW4+BV4)*0.132/2,(CE7+CD7+CC7+CB6+CA6+BZ6)*0.132/3,17)</f>
        <v>17.651538461538461</v>
      </c>
      <c r="U28" s="117"/>
      <c r="V28" s="129"/>
      <c r="W28" s="114"/>
    </row>
    <row r="29" spans="2:107">
      <c r="B29" s="114">
        <v>3</v>
      </c>
      <c r="C29" s="74">
        <f t="shared" si="9"/>
        <v>3.5</v>
      </c>
      <c r="D29" s="74">
        <f t="shared" si="10"/>
        <v>4</v>
      </c>
      <c r="E29" s="74">
        <f t="shared" si="11"/>
        <v>4.5</v>
      </c>
      <c r="F29" s="114">
        <v>5</v>
      </c>
      <c r="G29" s="74">
        <f t="shared" si="12"/>
        <v>5.5</v>
      </c>
      <c r="H29" s="74">
        <f t="shared" si="13"/>
        <v>6</v>
      </c>
      <c r="I29" s="74">
        <f t="shared" si="14"/>
        <v>6.5</v>
      </c>
      <c r="J29" s="114">
        <f t="shared" si="15"/>
        <v>7</v>
      </c>
      <c r="K29" s="74">
        <f t="shared" si="16"/>
        <v>7.625</v>
      </c>
      <c r="L29" s="74">
        <f t="shared" si="17"/>
        <v>8.25</v>
      </c>
      <c r="M29" s="74">
        <f t="shared" si="18"/>
        <v>8.875</v>
      </c>
      <c r="N29" s="114">
        <f>SUM(F29,-B29,J29,0.25*ABS(J29-F29))</f>
        <v>9.5</v>
      </c>
      <c r="O29" s="74">
        <f t="shared" si="19"/>
        <v>11.375</v>
      </c>
      <c r="P29" s="74">
        <f t="shared" si="20"/>
        <v>13.25</v>
      </c>
      <c r="Q29" s="74">
        <f t="shared" si="21"/>
        <v>15.125</v>
      </c>
      <c r="R29" s="114">
        <v>17</v>
      </c>
      <c r="S29" s="129"/>
      <c r="T29" s="117">
        <f>SUM((CX20+CW19+CV18+CU17+CT16+CS15+CR14+CQ13+CP12+CO11+CN10)*0.132,(CM9+CL9+CK8+CJ8)*0.132/2,(CI7+CH7+CG7+CF7+CE6+CD6+CC6+CB6)*0.132/4,(CA5+BZ5+BY5+BX4+BW4+BV4)*0.132/3,17)</f>
        <v>17.332538461538462</v>
      </c>
      <c r="U29" s="117"/>
      <c r="V29" s="129"/>
      <c r="W29" s="114"/>
    </row>
    <row r="30" spans="2:107">
      <c r="B30" s="114">
        <v>4</v>
      </c>
      <c r="C30" s="74">
        <f t="shared" si="9"/>
        <v>4.25</v>
      </c>
      <c r="D30" s="74">
        <f t="shared" si="10"/>
        <v>4.5</v>
      </c>
      <c r="E30" s="74">
        <f t="shared" si="11"/>
        <v>4.75</v>
      </c>
      <c r="F30" s="114">
        <v>5</v>
      </c>
      <c r="G30" s="74">
        <f t="shared" si="12"/>
        <v>5.25</v>
      </c>
      <c r="H30" s="74">
        <f t="shared" si="13"/>
        <v>5.5</v>
      </c>
      <c r="I30" s="74">
        <f t="shared" si="14"/>
        <v>5.75</v>
      </c>
      <c r="J30" s="114">
        <f t="shared" si="15"/>
        <v>6</v>
      </c>
      <c r="K30" s="74">
        <f t="shared" si="16"/>
        <v>6.3125</v>
      </c>
      <c r="L30" s="74">
        <f t="shared" si="17"/>
        <v>6.625</v>
      </c>
      <c r="M30" s="74">
        <f t="shared" si="18"/>
        <v>6.9375</v>
      </c>
      <c r="N30" s="114">
        <f>SUM(F30,-B30,J30,0.25*ABS(J30-F30))</f>
        <v>7.25</v>
      </c>
      <c r="O30" s="74">
        <f t="shared" si="19"/>
        <v>9.6875</v>
      </c>
      <c r="P30" s="74">
        <f t="shared" si="20"/>
        <v>12.125</v>
      </c>
      <c r="Q30" s="74">
        <f t="shared" si="21"/>
        <v>14.5625</v>
      </c>
      <c r="R30" s="114">
        <v>17</v>
      </c>
      <c r="S30" s="129"/>
      <c r="T30" s="117">
        <f>SUM((CV20+CV19+CU18+CU17+CT16+CT15+CS14+CS13+CR12+CQ11+CP10+CO9+CN8)*0.132,(CM7+CL7+CK7+CJ7+CI7+CH6+CG6+CF6+CE6+CD6)*0.132/5,(CC5+CB5+CA5+BZ5+BY4+BX4+BW4+BV4)*0.132/4,17)</f>
        <v>17.684538461538462</v>
      </c>
      <c r="U30" s="117"/>
      <c r="V30" s="129"/>
      <c r="W30" s="114"/>
    </row>
    <row r="31" spans="2:107">
      <c r="B31" s="114">
        <v>5</v>
      </c>
      <c r="C31" s="74">
        <f t="shared" si="9"/>
        <v>5</v>
      </c>
      <c r="D31" s="74">
        <f t="shared" si="10"/>
        <v>5</v>
      </c>
      <c r="E31" s="74">
        <f t="shared" si="11"/>
        <v>5</v>
      </c>
      <c r="F31" s="114">
        <v>5</v>
      </c>
      <c r="G31" s="74">
        <f t="shared" si="12"/>
        <v>5</v>
      </c>
      <c r="H31" s="74">
        <f t="shared" si="13"/>
        <v>5</v>
      </c>
      <c r="I31" s="74">
        <f t="shared" si="14"/>
        <v>5</v>
      </c>
      <c r="J31" s="114">
        <f t="shared" si="15"/>
        <v>5</v>
      </c>
      <c r="K31" s="74">
        <f t="shared" si="16"/>
        <v>5.6</v>
      </c>
      <c r="L31" s="74">
        <f t="shared" si="17"/>
        <v>6.2</v>
      </c>
      <c r="M31" s="74">
        <f t="shared" si="18"/>
        <v>6.8000000000000007</v>
      </c>
      <c r="N31" s="114">
        <f>SUM(F31,-B31,J31,0.25*ABS(J31-F31),0.2*(17-F31))</f>
        <v>7.4</v>
      </c>
      <c r="O31" s="74">
        <f t="shared" si="19"/>
        <v>9.8000000000000007</v>
      </c>
      <c r="P31" s="74">
        <f t="shared" si="20"/>
        <v>12.2</v>
      </c>
      <c r="Q31" s="74">
        <f t="shared" si="21"/>
        <v>14.6</v>
      </c>
      <c r="R31" s="114">
        <v>17</v>
      </c>
      <c r="S31" s="129"/>
      <c r="T31" s="117">
        <f>SUM((CT20+CT19+CT18+CT17+CT16+CT15+CT14+CT13+CT12+CS11+CS10+CR9+CR8)*0.132,(CQ7+CP7+CO7+CN7+CM7+CL7+CK6+CJ6+CI6+CH6+CG6+CF6)*0.132/6,(CE5+CD5+CC5+CB5+CA5+BZ4+BY4+BX4+BW4+BV4)*0.132/5,17)</f>
        <v>17.391938461538462</v>
      </c>
      <c r="U31" s="117"/>
      <c r="V31" s="129"/>
      <c r="W31" s="114"/>
    </row>
    <row r="32" spans="2:107">
      <c r="B32" s="114">
        <v>6</v>
      </c>
      <c r="C32" s="74">
        <f t="shared" si="9"/>
        <v>5.75</v>
      </c>
      <c r="D32" s="74">
        <f t="shared" si="10"/>
        <v>5.5</v>
      </c>
      <c r="E32" s="74">
        <f t="shared" si="11"/>
        <v>5.25</v>
      </c>
      <c r="F32" s="114">
        <v>5</v>
      </c>
      <c r="G32" s="74">
        <f t="shared" si="12"/>
        <v>4.75</v>
      </c>
      <c r="H32" s="74">
        <f t="shared" si="13"/>
        <v>4.5</v>
      </c>
      <c r="I32" s="74">
        <f t="shared" si="14"/>
        <v>4.25</v>
      </c>
      <c r="J32" s="114">
        <f t="shared" si="15"/>
        <v>4</v>
      </c>
      <c r="K32" s="74">
        <f t="shared" si="16"/>
        <v>3.8125</v>
      </c>
      <c r="L32" s="74">
        <f t="shared" si="17"/>
        <v>3.625</v>
      </c>
      <c r="M32" s="74">
        <f t="shared" si="18"/>
        <v>3.4375</v>
      </c>
      <c r="N32" s="114">
        <f>SUM(F32,-B32,J32,0.25*ABS(J32-F32))</f>
        <v>3.25</v>
      </c>
      <c r="O32" s="74">
        <f t="shared" si="19"/>
        <v>6.6875</v>
      </c>
      <c r="P32" s="74">
        <f t="shared" si="20"/>
        <v>10.125</v>
      </c>
      <c r="Q32" s="74">
        <f t="shared" si="21"/>
        <v>13.5625</v>
      </c>
      <c r="R32" s="114">
        <v>17</v>
      </c>
      <c r="S32" s="129"/>
      <c r="T32" s="117">
        <f>SUM((CR20+CS19+CS18+CT17+CT16+CU15+CU14+CV13+CV12+CW11+CW10+CV9+CV8)*0.132,(CU7+CT7+CS7+CR7+CQ7+CP7+CO7+CN6+CM6+CL6+CK6+CJ6+CI6+CH6)*0.132/7,(CG5+CF5+CE5+CD5+CC5+CB5+CA4+BZ4+BY4+BX4+BW4+BV4)*0.132/6,17)</f>
        <v>17.371824175824177</v>
      </c>
      <c r="U32" s="117"/>
      <c r="V32" s="129"/>
      <c r="W32" s="114"/>
    </row>
    <row r="33" spans="2:23">
      <c r="B33" s="114">
        <v>7</v>
      </c>
      <c r="C33" s="74">
        <f t="shared" si="9"/>
        <v>6.5</v>
      </c>
      <c r="D33" s="74">
        <f t="shared" si="10"/>
        <v>6</v>
      </c>
      <c r="E33" s="74">
        <f t="shared" si="11"/>
        <v>5.5</v>
      </c>
      <c r="F33" s="114">
        <v>5</v>
      </c>
      <c r="G33" s="74">
        <f t="shared" si="12"/>
        <v>4.5</v>
      </c>
      <c r="H33" s="74">
        <f t="shared" si="13"/>
        <v>4</v>
      </c>
      <c r="I33" s="74">
        <f t="shared" si="14"/>
        <v>3.5</v>
      </c>
      <c r="J33" s="114">
        <f t="shared" si="15"/>
        <v>3</v>
      </c>
      <c r="K33" s="74">
        <f t="shared" si="16"/>
        <v>2.625</v>
      </c>
      <c r="L33" s="74">
        <f t="shared" si="17"/>
        <v>2.25</v>
      </c>
      <c r="M33" s="74">
        <f t="shared" si="18"/>
        <v>1.875</v>
      </c>
      <c r="N33" s="114">
        <f>SUM(F33,-B33,J33,0.25*ABS(J33-F33))</f>
        <v>1.5</v>
      </c>
      <c r="O33" s="74">
        <f t="shared" si="19"/>
        <v>5.375</v>
      </c>
      <c r="P33" s="74">
        <f t="shared" si="20"/>
        <v>9.25</v>
      </c>
      <c r="Q33" s="74">
        <f t="shared" si="21"/>
        <v>13.125</v>
      </c>
      <c r="R33" s="114">
        <v>17</v>
      </c>
      <c r="S33" s="129"/>
      <c r="T33" s="117">
        <f>SUM((CP20+CQ19+CR18+CS17+CT16+CU15+CV14+CX12+CW13+CY11+CY10+CZ9+CZ8)*0.132,(CY7+CX7+CW7+CV7+CU7+CT7+CS7+CR7+CQ6+CP6+CO6+CN6+CM6+CL6+CK6+CJ6)*0.132/8,(CI5+CH5+CG5+CF5+CE5+CD5+CC5+CB4+CA4+BZ4+BY4+BX4+BW4+BV4)*0.132/7,17)</f>
        <v>17.125895604395605</v>
      </c>
      <c r="U33" s="117"/>
      <c r="V33" s="129"/>
      <c r="W33" s="114"/>
    </row>
    <row r="34" spans="2:23">
      <c r="B34" s="114"/>
      <c r="C34" s="74"/>
      <c r="D34" s="74"/>
      <c r="E34" s="74"/>
      <c r="F34" s="114"/>
      <c r="G34" s="74"/>
      <c r="H34" s="74"/>
      <c r="I34" s="74"/>
      <c r="J34" s="114"/>
      <c r="K34" s="74"/>
      <c r="L34" s="74"/>
      <c r="M34" s="74"/>
      <c r="N34" s="114"/>
      <c r="O34" s="74"/>
      <c r="P34" s="74"/>
      <c r="Q34" s="74"/>
      <c r="R34" s="114"/>
      <c r="S34" s="129"/>
      <c r="T34" s="117"/>
      <c r="U34" s="117"/>
      <c r="V34" s="129"/>
      <c r="W34" s="114"/>
    </row>
    <row r="35" spans="2:23">
      <c r="B35" s="114">
        <v>3</v>
      </c>
      <c r="C35" s="74">
        <f t="shared" si="9"/>
        <v>3.75</v>
      </c>
      <c r="D35" s="74">
        <f t="shared" si="10"/>
        <v>4.5</v>
      </c>
      <c r="E35" s="74">
        <f t="shared" si="11"/>
        <v>5.25</v>
      </c>
      <c r="F35" s="114">
        <v>6</v>
      </c>
      <c r="G35" s="74">
        <f t="shared" si="12"/>
        <v>6.75</v>
      </c>
      <c r="H35" s="74">
        <f t="shared" si="13"/>
        <v>7.5</v>
      </c>
      <c r="I35" s="74">
        <f t="shared" si="14"/>
        <v>8.25</v>
      </c>
      <c r="J35" s="114">
        <f t="shared" si="15"/>
        <v>9</v>
      </c>
      <c r="K35" s="74">
        <f t="shared" si="16"/>
        <v>9.9375</v>
      </c>
      <c r="L35" s="74">
        <f t="shared" si="17"/>
        <v>10.875</v>
      </c>
      <c r="M35" s="74">
        <f t="shared" si="18"/>
        <v>11.8125</v>
      </c>
      <c r="N35" s="114">
        <f>SUM(F35,-B35,J35,0.25*ABS(J35-F35))</f>
        <v>12.75</v>
      </c>
      <c r="O35" s="74">
        <f t="shared" ref="O35:O40" si="22">SUM(0.25*(R35-N35),N35)</f>
        <v>13.8125</v>
      </c>
      <c r="P35" s="74">
        <f t="shared" ref="P35:P40" si="23">SUM(0.5*(R35-N35),N35)</f>
        <v>14.875</v>
      </c>
      <c r="Q35" s="74">
        <f t="shared" ref="Q35:Q40" si="24">SUM(0.75*(R35-N35),N35)</f>
        <v>15.9375</v>
      </c>
      <c r="R35" s="114">
        <v>17</v>
      </c>
      <c r="S35" s="129"/>
      <c r="T35" s="117">
        <f>SUM((CX20+CU18+CR16+CO14+CL12+CI10+CF8)*0.132,(CW19+CV19+CT17+CS17+CQ15+CP15+CN13+CM13+CK11+CJ11+CH9+CG9+BY5+BX5+BW4+BV4)*0.132/2,(CE7+CD7+CC7+CB6+CA6+BZ6)*0.132/3,17)</f>
        <v>18.17953846153846</v>
      </c>
      <c r="U35" s="117"/>
      <c r="V35" s="129"/>
      <c r="W35" s="114"/>
    </row>
    <row r="36" spans="2:23">
      <c r="B36" s="114">
        <v>4</v>
      </c>
      <c r="C36" s="74">
        <f t="shared" si="9"/>
        <v>4.5</v>
      </c>
      <c r="D36" s="74">
        <f t="shared" si="10"/>
        <v>5</v>
      </c>
      <c r="E36" s="74">
        <f t="shared" si="11"/>
        <v>5.5</v>
      </c>
      <c r="F36" s="114">
        <v>6</v>
      </c>
      <c r="G36" s="74">
        <f t="shared" si="12"/>
        <v>6.5</v>
      </c>
      <c r="H36" s="74">
        <f t="shared" si="13"/>
        <v>7</v>
      </c>
      <c r="I36" s="74">
        <f t="shared" si="14"/>
        <v>7.5</v>
      </c>
      <c r="J36" s="114">
        <f t="shared" si="15"/>
        <v>8</v>
      </c>
      <c r="K36" s="74">
        <f t="shared" si="16"/>
        <v>8.625</v>
      </c>
      <c r="L36" s="74">
        <f t="shared" si="17"/>
        <v>9.25</v>
      </c>
      <c r="M36" s="74">
        <f t="shared" si="18"/>
        <v>9.875</v>
      </c>
      <c r="N36" s="114">
        <f>SUM(F36,-B36,J36,0.25*ABS(J36-F36))</f>
        <v>10.5</v>
      </c>
      <c r="O36" s="74">
        <f t="shared" si="22"/>
        <v>12.125</v>
      </c>
      <c r="P36" s="74">
        <f t="shared" si="23"/>
        <v>13.75</v>
      </c>
      <c r="Q36" s="74">
        <f t="shared" si="24"/>
        <v>15.375</v>
      </c>
      <c r="R36" s="114">
        <v>17</v>
      </c>
      <c r="S36" s="129"/>
      <c r="T36" s="117">
        <f>SUM((CV20+CU19+CT18+CS17+CR16+CQ15+CP14+CO13+CN12+CM11+CL10)*0.132,(CK9+CJ9+CI8+CH8)*0.132/2,(CG7+CF7+CE7+CD6+CC6+CB6+CA5+BZ5+BY5+BX4+BW4+BV4)*0.132/3,17)</f>
        <v>17.959538461538461</v>
      </c>
      <c r="U36" s="117"/>
      <c r="V36" s="129"/>
      <c r="W36" s="114"/>
    </row>
    <row r="37" spans="2:23">
      <c r="B37" s="114">
        <v>5</v>
      </c>
      <c r="C37" s="74">
        <f t="shared" si="9"/>
        <v>5.25</v>
      </c>
      <c r="D37" s="74">
        <f t="shared" si="10"/>
        <v>5.5</v>
      </c>
      <c r="E37" s="74">
        <f t="shared" si="11"/>
        <v>5.75</v>
      </c>
      <c r="F37" s="114">
        <v>6</v>
      </c>
      <c r="G37" s="74">
        <f t="shared" si="12"/>
        <v>6.25</v>
      </c>
      <c r="H37" s="74">
        <f t="shared" si="13"/>
        <v>6.5</v>
      </c>
      <c r="I37" s="74">
        <f t="shared" si="14"/>
        <v>6.75</v>
      </c>
      <c r="J37" s="114">
        <f t="shared" si="15"/>
        <v>7</v>
      </c>
      <c r="K37" s="74">
        <f t="shared" si="16"/>
        <v>7.3125</v>
      </c>
      <c r="L37" s="74">
        <f t="shared" si="17"/>
        <v>7.625</v>
      </c>
      <c r="M37" s="74">
        <f t="shared" si="18"/>
        <v>7.9375</v>
      </c>
      <c r="N37" s="114">
        <f>SUM(F37,-B37,J37,0.25*ABS(J37-F37))</f>
        <v>8.25</v>
      </c>
      <c r="O37" s="74">
        <f t="shared" si="22"/>
        <v>10.4375</v>
      </c>
      <c r="P37" s="74">
        <f t="shared" si="23"/>
        <v>12.625</v>
      </c>
      <c r="Q37" s="74">
        <f t="shared" si="24"/>
        <v>14.8125</v>
      </c>
      <c r="R37" s="114">
        <v>17</v>
      </c>
      <c r="S37" s="129"/>
      <c r="T37" s="117">
        <f>SUM(CT20*0.132,(CS19+CS18+CR17+CR16+CQ15+CQ14+CP13+CP12)*0.132,(CO11+CN10+CM9+CL8)*0.132,(CK7+CJ7+CI7+CH7+CG6+CF6+CE6+CD6+CC5+CB5+CA5+BZ5+BY4+BX4+BW4+BV4)*0.132/4,17)</f>
        <v>18.080538461538463</v>
      </c>
      <c r="U37" s="117"/>
      <c r="V37" s="129"/>
      <c r="W37" s="114"/>
    </row>
    <row r="38" spans="2:23">
      <c r="B38" s="114">
        <v>6</v>
      </c>
      <c r="C38" s="74">
        <f t="shared" si="9"/>
        <v>6</v>
      </c>
      <c r="D38" s="74">
        <f t="shared" si="10"/>
        <v>6</v>
      </c>
      <c r="E38" s="74">
        <f t="shared" si="11"/>
        <v>6</v>
      </c>
      <c r="F38" s="114">
        <v>6</v>
      </c>
      <c r="G38" s="74">
        <f t="shared" si="12"/>
        <v>6</v>
      </c>
      <c r="H38" s="74">
        <f t="shared" si="13"/>
        <v>6</v>
      </c>
      <c r="I38" s="74">
        <f t="shared" si="14"/>
        <v>6</v>
      </c>
      <c r="J38" s="114">
        <f t="shared" si="15"/>
        <v>6</v>
      </c>
      <c r="K38" s="74">
        <f t="shared" si="16"/>
        <v>6.55</v>
      </c>
      <c r="L38" s="74">
        <f t="shared" si="17"/>
        <v>7.1</v>
      </c>
      <c r="M38" s="74">
        <f t="shared" si="18"/>
        <v>7.6499999999999995</v>
      </c>
      <c r="N38" s="114">
        <f>SUM(F38,-B38,J38,0.25*ABS(J38-F38),0.2*(17-F38))</f>
        <v>8.1999999999999993</v>
      </c>
      <c r="O38" s="74">
        <f t="shared" si="22"/>
        <v>10.399999999999999</v>
      </c>
      <c r="P38" s="74">
        <f t="shared" si="23"/>
        <v>12.6</v>
      </c>
      <c r="Q38" s="74">
        <f t="shared" si="24"/>
        <v>14.8</v>
      </c>
      <c r="R38" s="114">
        <v>17</v>
      </c>
      <c r="S38" s="129"/>
      <c r="T38" s="117">
        <f>SUM((CR20+CR19+CR18+CR17+CR16+CR15+CR14+CR13+CR12+CQ11+CQ10+CP9+CP8)*0.132,(CO7+CN7+CM7+CL7+CK7+CJ6+CI6+CH6+CG6+CF6+CE5+CD5+CC5+CB5+CA5+BZ4+BY4+BX4+BW4+BV4)*0.132/5,17)</f>
        <v>17.75713846153846</v>
      </c>
      <c r="U38" s="117"/>
      <c r="V38" s="129"/>
      <c r="W38" s="114"/>
    </row>
    <row r="39" spans="2:23">
      <c r="B39" s="114">
        <v>7</v>
      </c>
      <c r="C39" s="74">
        <f t="shared" si="9"/>
        <v>6.75</v>
      </c>
      <c r="D39" s="74">
        <f t="shared" si="10"/>
        <v>6.5</v>
      </c>
      <c r="E39" s="74">
        <f t="shared" si="11"/>
        <v>6.25</v>
      </c>
      <c r="F39" s="114">
        <v>6</v>
      </c>
      <c r="G39" s="74">
        <f t="shared" si="12"/>
        <v>5.75</v>
      </c>
      <c r="H39" s="74">
        <f t="shared" si="13"/>
        <v>5.5</v>
      </c>
      <c r="I39" s="74">
        <f t="shared" si="14"/>
        <v>5.25</v>
      </c>
      <c r="J39" s="114">
        <f t="shared" si="15"/>
        <v>5</v>
      </c>
      <c r="K39" s="74">
        <f t="shared" si="16"/>
        <v>4.8125</v>
      </c>
      <c r="L39" s="74">
        <f t="shared" si="17"/>
        <v>4.625</v>
      </c>
      <c r="M39" s="74">
        <f t="shared" si="18"/>
        <v>4.4375</v>
      </c>
      <c r="N39" s="114">
        <f>SUM(F39,-B39,J39,0.25*ABS(J39-F39))</f>
        <v>4.25</v>
      </c>
      <c r="O39" s="74">
        <f t="shared" si="22"/>
        <v>7.4375</v>
      </c>
      <c r="P39" s="74">
        <f t="shared" si="23"/>
        <v>10.625</v>
      </c>
      <c r="Q39" s="74">
        <f t="shared" si="24"/>
        <v>13.8125</v>
      </c>
      <c r="R39" s="114">
        <v>17</v>
      </c>
      <c r="S39" s="129"/>
      <c r="T39" s="117">
        <f>SUM((CP20+CQ19+CQ18+CR17+CR16+CS15+CS14+CT13+CT12+CU11+CU10+CT9+CT8)*0.132,(CS7+CR7+CQ7+CP7+CO7+CN7+CM6+CL6+CK6+CJ6+CI6+CH6+CG5+CF5+CE5+CD5+CC5+CB5+CA4+BZ4+BY4+BX4+BW4+BV4)*0.132/6,17)</f>
        <v>18.02553846153846</v>
      </c>
      <c r="U39" s="117"/>
      <c r="V39" s="129"/>
      <c r="W39" s="114"/>
    </row>
    <row r="40" spans="2:23">
      <c r="B40" s="114">
        <v>8</v>
      </c>
      <c r="C40" s="74">
        <f t="shared" si="9"/>
        <v>7.5</v>
      </c>
      <c r="D40" s="74">
        <f t="shared" si="10"/>
        <v>7</v>
      </c>
      <c r="E40" s="74">
        <f t="shared" si="11"/>
        <v>6.5</v>
      </c>
      <c r="F40" s="114">
        <v>6</v>
      </c>
      <c r="G40" s="74">
        <f t="shared" si="12"/>
        <v>5.5</v>
      </c>
      <c r="H40" s="74">
        <f t="shared" si="13"/>
        <v>5</v>
      </c>
      <c r="I40" s="74">
        <f t="shared" si="14"/>
        <v>4.5</v>
      </c>
      <c r="J40" s="114">
        <f t="shared" si="15"/>
        <v>4</v>
      </c>
      <c r="K40" s="74">
        <f t="shared" si="16"/>
        <v>3.625</v>
      </c>
      <c r="L40" s="74">
        <f t="shared" si="17"/>
        <v>3.25</v>
      </c>
      <c r="M40" s="74">
        <f t="shared" si="18"/>
        <v>2.875</v>
      </c>
      <c r="N40" s="114">
        <f>SUM(F40,-B40,J40,0.25*ABS(J40-F40))</f>
        <v>2.5</v>
      </c>
      <c r="O40" s="74">
        <f t="shared" si="22"/>
        <v>6.125</v>
      </c>
      <c r="P40" s="74">
        <f t="shared" si="23"/>
        <v>9.75</v>
      </c>
      <c r="Q40" s="74">
        <f t="shared" si="24"/>
        <v>13.375</v>
      </c>
      <c r="R40" s="114">
        <v>17</v>
      </c>
      <c r="S40" s="129"/>
      <c r="T40" s="117">
        <f>SUM((CN20+CO19+CP18+CQ17+CR16+CS15+CT14+CU13+CV12+CW11+CW10+CX9+CX8)*0.132,(CW7+CV7+CU7+CT7+CS7+CR7+CQ7+CP6+CO6+CN6+CM6+CL6+CK6+CJ6+CI5+CH5+CG5+CF5+CE5+CD5+CC5+CB4+CA4+BZ4+BY4+BX4+BW4+BV4)*0.132/7,17)</f>
        <v>18.028681318681318</v>
      </c>
      <c r="U40" s="117"/>
      <c r="V40" s="129"/>
      <c r="W40" s="114"/>
    </row>
    <row r="41" spans="2:23">
      <c r="B41" s="114"/>
      <c r="C41" s="74"/>
      <c r="D41" s="74"/>
      <c r="E41" s="74"/>
      <c r="F41" s="114"/>
      <c r="G41" s="74"/>
      <c r="H41" s="74"/>
      <c r="I41" s="74"/>
      <c r="J41" s="114"/>
      <c r="K41" s="74"/>
      <c r="L41" s="74"/>
      <c r="M41" s="74"/>
      <c r="N41" s="114"/>
      <c r="O41" s="74"/>
      <c r="P41" s="74"/>
      <c r="Q41" s="74"/>
      <c r="R41" s="114"/>
      <c r="S41" s="129"/>
      <c r="T41" s="117"/>
      <c r="U41" s="117"/>
      <c r="V41" s="129"/>
      <c r="W41" s="114"/>
    </row>
    <row r="42" spans="2:23">
      <c r="B42" s="114">
        <v>4</v>
      </c>
      <c r="C42" s="74">
        <f t="shared" si="9"/>
        <v>4.75</v>
      </c>
      <c r="D42" s="74">
        <f t="shared" si="10"/>
        <v>5.5</v>
      </c>
      <c r="E42" s="74">
        <f t="shared" si="11"/>
        <v>6.25</v>
      </c>
      <c r="F42" s="114">
        <v>7</v>
      </c>
      <c r="G42" s="74">
        <f t="shared" si="12"/>
        <v>7.75</v>
      </c>
      <c r="H42" s="74">
        <f t="shared" si="13"/>
        <v>8.5</v>
      </c>
      <c r="I42" s="74">
        <f t="shared" si="14"/>
        <v>9.25</v>
      </c>
      <c r="J42" s="114">
        <f t="shared" si="15"/>
        <v>10</v>
      </c>
      <c r="K42" s="74">
        <f t="shared" si="16"/>
        <v>10.75</v>
      </c>
      <c r="L42" s="74">
        <f t="shared" si="17"/>
        <v>11.5</v>
      </c>
      <c r="M42" s="74">
        <f t="shared" si="18"/>
        <v>12.25</v>
      </c>
      <c r="N42" s="114">
        <f>SUM(J42,J42,-F42)</f>
        <v>13</v>
      </c>
      <c r="O42" s="74">
        <f t="shared" ref="O42:O48" si="25">SUM(0.25*(R42-N42),N42)</f>
        <v>14</v>
      </c>
      <c r="P42" s="74">
        <f t="shared" ref="P42:P48" si="26">SUM(0.5*(R42-N42),N42)</f>
        <v>15</v>
      </c>
      <c r="Q42" s="74">
        <f t="shared" ref="Q42:Q48" si="27">SUM(0.75*(R42-N42),N42)</f>
        <v>16</v>
      </c>
      <c r="R42" s="114">
        <v>17</v>
      </c>
      <c r="S42" s="129"/>
      <c r="T42" s="117">
        <f>SUM((CV20+CS18+CP16+CM14+CJ12+CG10+CD8)*0.132,(CU19+CT19+CR17+CQ17+CO15+CN15+CL13+CK13+CI11+CH11+CF9+CE9+CC7+CB7+CA6+BZ6+BY5+BX5+BW4+BV4)*0.132/2,17)</f>
        <v>18.245538461538462</v>
      </c>
      <c r="U42" s="117"/>
      <c r="V42" s="129"/>
      <c r="W42" s="114"/>
    </row>
    <row r="43" spans="2:23">
      <c r="B43" s="114">
        <v>5</v>
      </c>
      <c r="C43" s="74">
        <f t="shared" si="9"/>
        <v>5.5</v>
      </c>
      <c r="D43" s="74">
        <f t="shared" si="10"/>
        <v>6</v>
      </c>
      <c r="E43" s="74">
        <f t="shared" si="11"/>
        <v>6.5</v>
      </c>
      <c r="F43" s="114">
        <v>7</v>
      </c>
      <c r="G43" s="74">
        <f t="shared" si="12"/>
        <v>7.5</v>
      </c>
      <c r="H43" s="74">
        <f t="shared" si="13"/>
        <v>8</v>
      </c>
      <c r="I43" s="74">
        <f t="shared" si="14"/>
        <v>8.5</v>
      </c>
      <c r="J43" s="114">
        <f t="shared" si="15"/>
        <v>9</v>
      </c>
      <c r="K43" s="74">
        <f t="shared" si="16"/>
        <v>9.625</v>
      </c>
      <c r="L43" s="74">
        <f t="shared" si="17"/>
        <v>10.25</v>
      </c>
      <c r="M43" s="74">
        <f t="shared" si="18"/>
        <v>10.875</v>
      </c>
      <c r="N43" s="114">
        <f>SUM(F43,-B43,J43,0.25*ABS(J43-F43))</f>
        <v>11.5</v>
      </c>
      <c r="O43" s="74">
        <f t="shared" si="25"/>
        <v>12.875</v>
      </c>
      <c r="P43" s="74">
        <f t="shared" si="26"/>
        <v>14.25</v>
      </c>
      <c r="Q43" s="74">
        <f t="shared" si="27"/>
        <v>15.625</v>
      </c>
      <c r="R43" s="114">
        <v>17</v>
      </c>
      <c r="S43" s="129"/>
      <c r="T43" s="117">
        <f>SUM((CT20+CS19+CR18+CQ17+CP16+CO15+CN14+CM13+CL12+CI10+CF8)*0.132,(CK11+CJ11+CH9+CG9+BY5+BX5+BW4+BV4)*0.132/2,(CE7+CD7+CC7+CB6+CA6+BZ6)*0.132/3,17)</f>
        <v>18.37753846153846</v>
      </c>
      <c r="U43" s="117"/>
      <c r="V43" s="129"/>
      <c r="W43" s="114"/>
    </row>
    <row r="44" spans="2:23">
      <c r="B44" s="114">
        <v>6</v>
      </c>
      <c r="C44" s="74">
        <f t="shared" si="9"/>
        <v>6.25</v>
      </c>
      <c r="D44" s="74">
        <f t="shared" si="10"/>
        <v>6.5</v>
      </c>
      <c r="E44" s="74">
        <f t="shared" si="11"/>
        <v>6.75</v>
      </c>
      <c r="F44" s="114">
        <v>7</v>
      </c>
      <c r="G44" s="74">
        <f t="shared" si="12"/>
        <v>7.25</v>
      </c>
      <c r="H44" s="74">
        <f t="shared" si="13"/>
        <v>7.5</v>
      </c>
      <c r="I44" s="74">
        <f t="shared" si="14"/>
        <v>7.75</v>
      </c>
      <c r="J44" s="114">
        <f t="shared" si="15"/>
        <v>8</v>
      </c>
      <c r="K44" s="74">
        <f t="shared" si="16"/>
        <v>8.3125</v>
      </c>
      <c r="L44" s="74">
        <f t="shared" si="17"/>
        <v>8.625</v>
      </c>
      <c r="M44" s="74">
        <f t="shared" si="18"/>
        <v>8.9375</v>
      </c>
      <c r="N44" s="114">
        <f>SUM(F44,-B44,J44,0.25*ABS(J44-F44))</f>
        <v>9.25</v>
      </c>
      <c r="O44" s="74">
        <f t="shared" si="25"/>
        <v>11.1875</v>
      </c>
      <c r="P44" s="74">
        <f t="shared" si="26"/>
        <v>13.125</v>
      </c>
      <c r="Q44" s="74">
        <f t="shared" si="27"/>
        <v>15.0625</v>
      </c>
      <c r="R44" s="114">
        <v>17</v>
      </c>
      <c r="S44" s="129"/>
      <c r="T44" s="117">
        <f>SUM((CR20+CQ19+CQ18+CP17+CP16+CO15+CO14+CN13+CN12+CM11+CL10+CK9+CJ8)*0.132,(CI7+CH7+CG7+CF7+CE6+CD6+CC6+CB6)*0.132/4,(CA5+BZ5+BY5+BX4+BW4+BV4)*0.132/3,17)</f>
        <v>18.058538461538461</v>
      </c>
      <c r="U44" s="117"/>
      <c r="V44" s="129"/>
      <c r="W44" s="114"/>
    </row>
    <row r="45" spans="2:23">
      <c r="B45" s="114">
        <v>7</v>
      </c>
      <c r="C45" s="74">
        <f t="shared" si="9"/>
        <v>7</v>
      </c>
      <c r="D45" s="74">
        <f t="shared" si="10"/>
        <v>7</v>
      </c>
      <c r="E45" s="74">
        <f t="shared" si="11"/>
        <v>7</v>
      </c>
      <c r="F45" s="114">
        <v>7</v>
      </c>
      <c r="G45" s="74">
        <f t="shared" si="12"/>
        <v>7</v>
      </c>
      <c r="H45" s="74">
        <f t="shared" si="13"/>
        <v>7</v>
      </c>
      <c r="I45" s="74">
        <f t="shared" si="14"/>
        <v>7</v>
      </c>
      <c r="J45" s="114">
        <f t="shared" si="15"/>
        <v>7</v>
      </c>
      <c r="K45" s="74">
        <f t="shared" si="16"/>
        <v>7.5</v>
      </c>
      <c r="L45" s="74">
        <f t="shared" si="17"/>
        <v>8</v>
      </c>
      <c r="M45" s="74">
        <f t="shared" si="18"/>
        <v>8.5</v>
      </c>
      <c r="N45" s="114">
        <f>SUM(F45,-B45,J45,0.25*ABS(J45-F45),0.2*(17-F45))</f>
        <v>9</v>
      </c>
      <c r="O45" s="74">
        <f t="shared" si="25"/>
        <v>11</v>
      </c>
      <c r="P45" s="74">
        <f t="shared" si="26"/>
        <v>13</v>
      </c>
      <c r="Q45" s="74">
        <f t="shared" si="27"/>
        <v>15</v>
      </c>
      <c r="R45" s="114">
        <v>17</v>
      </c>
      <c r="S45" s="129"/>
      <c r="T45" s="117">
        <f>SUM((CP20+CP19+CP18+CP17+CP16+CP15+CP14+CP13+CP12+CO11+CO10+CN9+CN8)*0.132,(CM7+CL7+CK7+CJ7+CI7+CH6+CG6+CF6+CE6+CD6)*0.132/5,(CC5+CB5+CA5+BZ5+BY4+BX4+BW4+BV4)*0.132/4,17)</f>
        <v>18.47653846153846</v>
      </c>
      <c r="U45" s="117"/>
      <c r="V45" s="129"/>
      <c r="W45" s="114"/>
    </row>
    <row r="46" spans="2:23">
      <c r="B46" s="114">
        <v>8</v>
      </c>
      <c r="C46" s="74">
        <f t="shared" si="9"/>
        <v>7.75</v>
      </c>
      <c r="D46" s="74">
        <f t="shared" si="10"/>
        <v>7.5</v>
      </c>
      <c r="E46" s="74">
        <f t="shared" si="11"/>
        <v>7.25</v>
      </c>
      <c r="F46" s="114">
        <v>7</v>
      </c>
      <c r="G46" s="74">
        <f t="shared" si="12"/>
        <v>6.75</v>
      </c>
      <c r="H46" s="74">
        <f t="shared" si="13"/>
        <v>6.5</v>
      </c>
      <c r="I46" s="74">
        <f t="shared" si="14"/>
        <v>6.25</v>
      </c>
      <c r="J46" s="114">
        <f t="shared" si="15"/>
        <v>6</v>
      </c>
      <c r="K46" s="74">
        <f t="shared" si="16"/>
        <v>5.8125</v>
      </c>
      <c r="L46" s="74">
        <f t="shared" si="17"/>
        <v>5.625</v>
      </c>
      <c r="M46" s="74">
        <f t="shared" si="18"/>
        <v>5.4375</v>
      </c>
      <c r="N46" s="114">
        <f>SUM(F46,-B46,J46,0.25*ABS(J46-F46))</f>
        <v>5.25</v>
      </c>
      <c r="O46" s="74">
        <f t="shared" si="25"/>
        <v>8.1875</v>
      </c>
      <c r="P46" s="74">
        <f t="shared" si="26"/>
        <v>11.125</v>
      </c>
      <c r="Q46" s="74">
        <f t="shared" si="27"/>
        <v>14.0625</v>
      </c>
      <c r="R46" s="114">
        <v>17</v>
      </c>
      <c r="S46" s="129"/>
      <c r="T46" s="117">
        <f>SUM((CN20+CO19+CO18+CP17+CP16+CQ15+CQ14+CR13+CR12+CS11+CS10+CR9+CR8)*0.132,(CQ7+CP7+CO7+CN7+CM7+CL7+CK6+CJ6+CI6+CH6+CG6+CF6)*0.132/6,(CE5+CD5+CC5+CB5+CA5+BZ4+BY4+BX4+BW4+BV4)*0.132/5,17)</f>
        <v>17.52393846153846</v>
      </c>
      <c r="U46" s="117"/>
      <c r="V46" s="129"/>
      <c r="W46" s="114"/>
    </row>
    <row r="47" spans="2:23">
      <c r="B47" s="114">
        <v>9</v>
      </c>
      <c r="C47" s="74">
        <f t="shared" si="9"/>
        <v>8.5</v>
      </c>
      <c r="D47" s="74">
        <f t="shared" si="10"/>
        <v>8</v>
      </c>
      <c r="E47" s="74">
        <f t="shared" si="11"/>
        <v>7.5</v>
      </c>
      <c r="F47" s="114">
        <v>7</v>
      </c>
      <c r="G47" s="74">
        <f t="shared" si="12"/>
        <v>6.5</v>
      </c>
      <c r="H47" s="74">
        <f t="shared" si="13"/>
        <v>6</v>
      </c>
      <c r="I47" s="74">
        <f t="shared" si="14"/>
        <v>5.5</v>
      </c>
      <c r="J47" s="114">
        <f t="shared" si="15"/>
        <v>5</v>
      </c>
      <c r="K47" s="74">
        <f t="shared" si="16"/>
        <v>4.625</v>
      </c>
      <c r="L47" s="74">
        <f t="shared" si="17"/>
        <v>4.25</v>
      </c>
      <c r="M47" s="74">
        <f t="shared" si="18"/>
        <v>3.875</v>
      </c>
      <c r="N47" s="114">
        <f>SUM(F47,-B47,J47,0.25*ABS(J47-F47))</f>
        <v>3.5</v>
      </c>
      <c r="O47" s="74">
        <f t="shared" si="25"/>
        <v>6.875</v>
      </c>
      <c r="P47" s="74">
        <f t="shared" si="26"/>
        <v>10.25</v>
      </c>
      <c r="Q47" s="74">
        <f t="shared" si="27"/>
        <v>13.625</v>
      </c>
      <c r="R47" s="114">
        <v>17</v>
      </c>
      <c r="S47" s="129"/>
      <c r="T47" s="117">
        <f>SUM((CL20+CM19+CN18+CO17+CP16+CQ15+CR14+CS13+CT12+CU11+CU10+CV9+CV8)*0.132,(CU7+CT7+CS7+CR7+CQ7+CP7+CO7+CN6+CM6+CL6+CK6+CJ6+CI6+CH6)*0.132/7,(CG5+CF5+CE5+CD5+CC5+CB5+CA4+BZ4+BY4+BX4+BW4+BV4)*0.132/6,17)</f>
        <v>17.899824175824175</v>
      </c>
      <c r="U47" s="117"/>
      <c r="V47" s="129"/>
      <c r="W47" s="114"/>
    </row>
    <row r="48" spans="2:23">
      <c r="B48" s="114">
        <v>10</v>
      </c>
      <c r="C48" s="74">
        <f t="shared" si="9"/>
        <v>9.25</v>
      </c>
      <c r="D48" s="74">
        <f t="shared" si="10"/>
        <v>8.5</v>
      </c>
      <c r="E48" s="74">
        <f t="shared" si="11"/>
        <v>7.75</v>
      </c>
      <c r="F48" s="114">
        <v>7</v>
      </c>
      <c r="G48" s="74">
        <f t="shared" si="12"/>
        <v>6.25</v>
      </c>
      <c r="H48" s="74">
        <f t="shared" si="13"/>
        <v>5.5</v>
      </c>
      <c r="I48" s="74">
        <f t="shared" si="14"/>
        <v>4.75</v>
      </c>
      <c r="J48" s="114">
        <f t="shared" si="15"/>
        <v>4</v>
      </c>
      <c r="K48" s="74">
        <f t="shared" si="16"/>
        <v>3.4375</v>
      </c>
      <c r="L48" s="74">
        <f t="shared" si="17"/>
        <v>2.875</v>
      </c>
      <c r="M48" s="74">
        <f t="shared" si="18"/>
        <v>2.3125</v>
      </c>
      <c r="N48" s="114">
        <f>SUM(F48,-B48,J48,0.25*ABS(J48-F48))</f>
        <v>1.75</v>
      </c>
      <c r="O48" s="74">
        <f t="shared" si="25"/>
        <v>5.5625</v>
      </c>
      <c r="P48" s="74">
        <f t="shared" si="26"/>
        <v>9.375</v>
      </c>
      <c r="Q48" s="74">
        <f t="shared" si="27"/>
        <v>13.1875</v>
      </c>
      <c r="R48" s="114">
        <v>17</v>
      </c>
      <c r="S48" s="129"/>
      <c r="T48" s="117">
        <f>SUM((CJ20+CP16+CM18+CS14+CV12+CW11+CX10+CY9+CZ8)*0.132,(CK19+CL19+CN17+CO17+CQ15+CR15+CT13+CU13)*0.132/2,(CY7+CX7+CW7+CV7+CU7+CT7+CS7+CR7+CQ6+CP6+CO6+CN6+CM6+CL6+CK6+CJ6)*0.132/8,(CI5+CH5+CG5+CF5+CE5+CD5+CC5+CB4+CA4+BZ4+BY4+BX4+BW4+BV4)*0.132/7,17)</f>
        <v>18.115895604395604</v>
      </c>
      <c r="U48" s="117"/>
      <c r="V48" s="129"/>
      <c r="W48" s="114"/>
    </row>
    <row r="49" spans="2:23">
      <c r="B49" s="114"/>
      <c r="C49" s="74"/>
      <c r="D49" s="74"/>
      <c r="E49" s="74"/>
      <c r="F49" s="114"/>
      <c r="G49" s="74"/>
      <c r="H49" s="74"/>
      <c r="I49" s="74"/>
      <c r="J49" s="114"/>
      <c r="K49" s="74"/>
      <c r="L49" s="74"/>
      <c r="M49" s="74"/>
      <c r="N49" s="114"/>
      <c r="O49" s="74"/>
      <c r="P49" s="74"/>
      <c r="Q49" s="74"/>
      <c r="R49" s="114"/>
      <c r="S49" s="129"/>
      <c r="T49" s="117"/>
      <c r="U49" s="117"/>
      <c r="V49" s="129"/>
      <c r="W49" s="114"/>
    </row>
    <row r="50" spans="2:23">
      <c r="B50" s="114">
        <v>5</v>
      </c>
      <c r="C50" s="74">
        <f t="shared" si="9"/>
        <v>5.75</v>
      </c>
      <c r="D50" s="74">
        <f t="shared" si="10"/>
        <v>6.5</v>
      </c>
      <c r="E50" s="74">
        <f t="shared" si="11"/>
        <v>7.25</v>
      </c>
      <c r="F50" s="114">
        <v>8</v>
      </c>
      <c r="G50" s="74">
        <f t="shared" si="12"/>
        <v>8.75</v>
      </c>
      <c r="H50" s="74">
        <f t="shared" si="13"/>
        <v>9.5</v>
      </c>
      <c r="I50" s="74">
        <f t="shared" si="14"/>
        <v>10.25</v>
      </c>
      <c r="J50" s="114">
        <f t="shared" si="15"/>
        <v>11</v>
      </c>
      <c r="K50" s="74">
        <f t="shared" si="16"/>
        <v>11.75</v>
      </c>
      <c r="L50" s="74">
        <f t="shared" si="17"/>
        <v>12.5</v>
      </c>
      <c r="M50" s="74">
        <f t="shared" si="18"/>
        <v>13.25</v>
      </c>
      <c r="N50" s="114">
        <f>SUM(J50,J50,-F50)</f>
        <v>14</v>
      </c>
      <c r="O50" s="74">
        <f t="shared" ref="O50:O57" si="28">SUM(0.25*(R50-N50),N50)</f>
        <v>14.75</v>
      </c>
      <c r="P50" s="74">
        <f t="shared" ref="P50:P57" si="29">SUM(0.5*(R50-N50),N50)</f>
        <v>15.5</v>
      </c>
      <c r="Q50" s="74">
        <f t="shared" ref="Q50:Q57" si="30">SUM(0.75*(R50-N50),N50)</f>
        <v>16.25</v>
      </c>
      <c r="R50" s="114">
        <v>17</v>
      </c>
      <c r="S50" s="129"/>
      <c r="T50" s="117">
        <f>SUM((CT20+CQ18+CN16+CK14+CH12+CE10+CB8+BY6+BV4)*0.132,(CS19+CR19+CP17+CO17+CM15+CL15+CJ13+CI13+CG11+CF11+CD9+CC9+CA7+BZ7+BX5+BW5)*0.132/2,17)</f>
        <v>19.235538461538461</v>
      </c>
      <c r="U50" s="117"/>
      <c r="V50" s="129"/>
      <c r="W50" s="114"/>
    </row>
    <row r="51" spans="2:23">
      <c r="B51" s="114">
        <v>6</v>
      </c>
      <c r="C51" s="74">
        <f t="shared" si="9"/>
        <v>6.5</v>
      </c>
      <c r="D51" s="74">
        <f t="shared" si="10"/>
        <v>7</v>
      </c>
      <c r="E51" s="74">
        <f t="shared" si="11"/>
        <v>7.5</v>
      </c>
      <c r="F51" s="114">
        <v>8</v>
      </c>
      <c r="G51" s="74">
        <f t="shared" si="12"/>
        <v>8.5</v>
      </c>
      <c r="H51" s="74">
        <f t="shared" si="13"/>
        <v>9</v>
      </c>
      <c r="I51" s="74">
        <f t="shared" si="14"/>
        <v>9.5</v>
      </c>
      <c r="J51" s="114">
        <f t="shared" si="15"/>
        <v>10</v>
      </c>
      <c r="K51" s="74">
        <f t="shared" si="16"/>
        <v>10.625</v>
      </c>
      <c r="L51" s="74">
        <f t="shared" si="17"/>
        <v>11.25</v>
      </c>
      <c r="M51" s="74">
        <f t="shared" si="18"/>
        <v>11.875</v>
      </c>
      <c r="N51" s="114">
        <f>SUM(F51,-B51,J51,0.25*ABS(J51-F51))</f>
        <v>12.5</v>
      </c>
      <c r="O51" s="74">
        <f t="shared" si="28"/>
        <v>13.625</v>
      </c>
      <c r="P51" s="74">
        <f t="shared" si="29"/>
        <v>14.75</v>
      </c>
      <c r="Q51" s="74">
        <f t="shared" si="30"/>
        <v>15.875</v>
      </c>
      <c r="R51" s="114">
        <v>17</v>
      </c>
      <c r="S51" s="129"/>
      <c r="T51" s="117">
        <f>SUM((CR20+CQ19+CP18+CO17+CN16+CM15+CL14+CK13+CJ12+CD8+CG10)*0.132,(CI11+CH11+CF9+CE9+CC7+CB7+CA6+BZ6+BY5+BX5+BW4+BV4)*0.132/2,17)</f>
        <v>18.443538461538463</v>
      </c>
      <c r="U51" s="117"/>
      <c r="V51" s="129"/>
      <c r="W51" s="114"/>
    </row>
    <row r="52" spans="2:23">
      <c r="B52" s="114">
        <v>7</v>
      </c>
      <c r="C52" s="74">
        <f t="shared" si="9"/>
        <v>7.25</v>
      </c>
      <c r="D52" s="74">
        <f t="shared" si="10"/>
        <v>7.5</v>
      </c>
      <c r="E52" s="74">
        <f t="shared" si="11"/>
        <v>7.75</v>
      </c>
      <c r="F52" s="114">
        <v>8</v>
      </c>
      <c r="G52" s="74">
        <f t="shared" si="12"/>
        <v>8.25</v>
      </c>
      <c r="H52" s="74">
        <f t="shared" si="13"/>
        <v>8.5</v>
      </c>
      <c r="I52" s="74">
        <f t="shared" si="14"/>
        <v>8.75</v>
      </c>
      <c r="J52" s="114">
        <f t="shared" si="15"/>
        <v>9</v>
      </c>
      <c r="K52" s="74">
        <f t="shared" si="16"/>
        <v>9.3125</v>
      </c>
      <c r="L52" s="74">
        <f t="shared" si="17"/>
        <v>9.625</v>
      </c>
      <c r="M52" s="74">
        <f t="shared" si="18"/>
        <v>9.9375</v>
      </c>
      <c r="N52" s="114">
        <f>SUM(F52,-B52,J52,0.25*ABS(J52-F52))</f>
        <v>10.25</v>
      </c>
      <c r="O52" s="74">
        <f t="shared" si="28"/>
        <v>11.9375</v>
      </c>
      <c r="P52" s="74">
        <f t="shared" si="29"/>
        <v>13.625</v>
      </c>
      <c r="Q52" s="74">
        <f t="shared" si="30"/>
        <v>15.3125</v>
      </c>
      <c r="R52" s="114">
        <v>17</v>
      </c>
      <c r="S52" s="129"/>
      <c r="T52" s="117">
        <f>SUM((CP20+CO19+CO18+CN17+CN16+CM15+CM14+CL13+CL12+CK11+CJ10+CI9+CH8)*0.132,(CG7+CF7+CE7+CD6+CC6+CB6+CA5+BZ5+BY5+BX4+BW4+BV4)*0.132/3,17)</f>
        <v>19.015538461538462</v>
      </c>
      <c r="U52" s="117"/>
      <c r="V52" s="129"/>
      <c r="W52" s="114"/>
    </row>
    <row r="53" spans="2:23">
      <c r="B53" s="114">
        <v>8</v>
      </c>
      <c r="C53" s="74">
        <f t="shared" si="9"/>
        <v>8</v>
      </c>
      <c r="D53" s="74">
        <f t="shared" si="10"/>
        <v>8</v>
      </c>
      <c r="E53" s="74">
        <f t="shared" si="11"/>
        <v>8</v>
      </c>
      <c r="F53" s="114">
        <v>8</v>
      </c>
      <c r="G53" s="74">
        <f t="shared" si="12"/>
        <v>8</v>
      </c>
      <c r="H53" s="74">
        <f t="shared" si="13"/>
        <v>8</v>
      </c>
      <c r="I53" s="74">
        <f t="shared" si="14"/>
        <v>8</v>
      </c>
      <c r="J53" s="114">
        <f t="shared" si="15"/>
        <v>8</v>
      </c>
      <c r="K53" s="74">
        <f t="shared" si="16"/>
        <v>8.4499999999999993</v>
      </c>
      <c r="L53" s="74">
        <f t="shared" si="17"/>
        <v>8.9</v>
      </c>
      <c r="M53" s="74">
        <f t="shared" si="18"/>
        <v>9.3500000000000014</v>
      </c>
      <c r="N53" s="114">
        <f>SUM(F53,-B53,J53,0.25*ABS(J53-F53),0.2*(17-F53))</f>
        <v>9.8000000000000007</v>
      </c>
      <c r="O53" s="74">
        <f t="shared" si="28"/>
        <v>11.600000000000001</v>
      </c>
      <c r="P53" s="74">
        <f t="shared" si="29"/>
        <v>13.4</v>
      </c>
      <c r="Q53" s="74">
        <f t="shared" si="30"/>
        <v>15.2</v>
      </c>
      <c r="R53" s="114">
        <v>17</v>
      </c>
      <c r="S53" s="129"/>
      <c r="T53" s="117">
        <f>SUM((CN20+CN19+CN18+CN17+CN16+CN15+CN14+CN13+CN12+CM11+CM10+CL9+CL8)*0.132,(CK7+CJ7+CI7+CH7+CG6+CF6+CE6+CD6+CC5+CB5+CA5+BZ5+BY4+BX4+BW4+BV4)*0.132/4,17)</f>
        <v>17.81653846153846</v>
      </c>
      <c r="U53" s="117"/>
      <c r="V53" s="129"/>
      <c r="W53" s="114"/>
    </row>
    <row r="54" spans="2:23">
      <c r="B54" s="114">
        <v>9</v>
      </c>
      <c r="C54" s="74">
        <f t="shared" si="9"/>
        <v>8.75</v>
      </c>
      <c r="D54" s="74">
        <f t="shared" si="10"/>
        <v>8.5</v>
      </c>
      <c r="E54" s="74">
        <f t="shared" si="11"/>
        <v>8.25</v>
      </c>
      <c r="F54" s="114">
        <v>8</v>
      </c>
      <c r="G54" s="74">
        <f t="shared" si="12"/>
        <v>7.75</v>
      </c>
      <c r="H54" s="74">
        <f t="shared" si="13"/>
        <v>7.5</v>
      </c>
      <c r="I54" s="74">
        <f t="shared" si="14"/>
        <v>7.25</v>
      </c>
      <c r="J54" s="114">
        <f t="shared" si="15"/>
        <v>7</v>
      </c>
      <c r="K54" s="74">
        <f t="shared" si="16"/>
        <v>6.8125</v>
      </c>
      <c r="L54" s="74">
        <f t="shared" si="17"/>
        <v>6.625</v>
      </c>
      <c r="M54" s="74">
        <f t="shared" si="18"/>
        <v>6.4375</v>
      </c>
      <c r="N54" s="114">
        <f>SUM(F54,-B54,J54,0.25*ABS(J54-F54))</f>
        <v>6.25</v>
      </c>
      <c r="O54" s="74">
        <f t="shared" si="28"/>
        <v>8.9375</v>
      </c>
      <c r="P54" s="74">
        <f t="shared" si="29"/>
        <v>11.625</v>
      </c>
      <c r="Q54" s="74">
        <f t="shared" si="30"/>
        <v>14.3125</v>
      </c>
      <c r="R54" s="114">
        <v>17</v>
      </c>
      <c r="S54" s="129"/>
      <c r="T54" s="117">
        <f>SUM((CL20+CM19+CM18+CN17+CN16+CO15+CO14+CP13+CP12+CQ11+CQ10+CP9+CP8)*0.132,(CO7+CN7+CM7+CL7+CK7+CJ6+CI6+CH6+CG6+CF6+CE5+CD5+CC5+CB5+CA5+BZ4+BY4+BX4+BW4+BV4)*0.132/5,17)</f>
        <v>18.68113846153846</v>
      </c>
      <c r="U54" s="117"/>
      <c r="V54" s="129"/>
      <c r="W54" s="114"/>
    </row>
    <row r="55" spans="2:23">
      <c r="B55" s="114">
        <v>10</v>
      </c>
      <c r="C55" s="74">
        <f t="shared" si="9"/>
        <v>9.5</v>
      </c>
      <c r="D55" s="74">
        <f t="shared" si="10"/>
        <v>9</v>
      </c>
      <c r="E55" s="74">
        <f t="shared" si="11"/>
        <v>8.5</v>
      </c>
      <c r="F55" s="114">
        <v>8</v>
      </c>
      <c r="G55" s="74">
        <f t="shared" si="12"/>
        <v>7.5</v>
      </c>
      <c r="H55" s="74">
        <f t="shared" si="13"/>
        <v>7</v>
      </c>
      <c r="I55" s="74">
        <f t="shared" si="14"/>
        <v>6.5</v>
      </c>
      <c r="J55" s="114">
        <f t="shared" si="15"/>
        <v>6</v>
      </c>
      <c r="K55" s="74">
        <f t="shared" si="16"/>
        <v>5.625</v>
      </c>
      <c r="L55" s="74">
        <f t="shared" si="17"/>
        <v>5.25</v>
      </c>
      <c r="M55" s="74">
        <f t="shared" si="18"/>
        <v>4.875</v>
      </c>
      <c r="N55" s="114">
        <f>SUM(F55,-B55,J55,0.25*ABS(J55-F55))</f>
        <v>4.5</v>
      </c>
      <c r="O55" s="74">
        <f t="shared" si="28"/>
        <v>7.625</v>
      </c>
      <c r="P55" s="74">
        <f t="shared" si="29"/>
        <v>10.75</v>
      </c>
      <c r="Q55" s="74">
        <f t="shared" si="30"/>
        <v>13.875</v>
      </c>
      <c r="R55" s="114">
        <v>17</v>
      </c>
      <c r="S55" s="129"/>
      <c r="T55" s="117">
        <f>SUM((CJ20+CK19+CL18+CM17+CN16+CO15+CP14+CQ13+CR12+CS11+CS10+CT9+CT8)*0.132,(CS7+CR7+CQ7+CP7+CO7+CN7+CM6+CL6+CK6+CJ6+CI6+CH6+CG5+CF5+CE5+CD5+CC5+CB5+CA4+BZ4+BY4+BX4+BW4+BV4)*0.132/6,17)</f>
        <v>17.893538461538462</v>
      </c>
      <c r="U55" s="117"/>
      <c r="V55" s="129"/>
      <c r="W55" s="114"/>
    </row>
    <row r="56" spans="2:23">
      <c r="B56" s="114">
        <v>11</v>
      </c>
      <c r="C56" s="74">
        <f t="shared" si="9"/>
        <v>10.25</v>
      </c>
      <c r="D56" s="74">
        <f t="shared" si="10"/>
        <v>9.5</v>
      </c>
      <c r="E56" s="74">
        <f t="shared" si="11"/>
        <v>8.75</v>
      </c>
      <c r="F56" s="114">
        <v>8</v>
      </c>
      <c r="G56" s="74">
        <f t="shared" si="12"/>
        <v>7.25</v>
      </c>
      <c r="H56" s="74">
        <f t="shared" si="13"/>
        <v>6.5</v>
      </c>
      <c r="I56" s="74">
        <f t="shared" si="14"/>
        <v>5.75</v>
      </c>
      <c r="J56" s="114">
        <f t="shared" si="15"/>
        <v>5</v>
      </c>
      <c r="K56" s="74">
        <f t="shared" si="16"/>
        <v>4.4375</v>
      </c>
      <c r="L56" s="74">
        <f t="shared" si="17"/>
        <v>3.875</v>
      </c>
      <c r="M56" s="74">
        <f t="shared" si="18"/>
        <v>3.3125</v>
      </c>
      <c r="N56" s="114">
        <f>SUM(F56,-B56,J56,0.25*ABS(J56-F56))</f>
        <v>2.75</v>
      </c>
      <c r="O56" s="74">
        <f t="shared" si="28"/>
        <v>6.3125</v>
      </c>
      <c r="P56" s="74">
        <f t="shared" si="29"/>
        <v>9.875</v>
      </c>
      <c r="Q56" s="74">
        <f t="shared" si="30"/>
        <v>13.4375</v>
      </c>
      <c r="R56" s="114">
        <v>17</v>
      </c>
      <c r="S56" s="129"/>
      <c r="T56" s="117">
        <f>SUM((CH20+CK18+CN16+CQ14+CT12+CU11+CV10+CW9+CX8)*0.132,(CI19+CJ19+CL17+CM17+CO15+CP14+CR13+CS13)*0.132/2,(CW7+CV7+CU7+CT7+CS7+CR7+CQ7+CP6+CO6+CN6+CM6+CL6+CK6+CJ6+CI5+CH5+CG5+CF5+CE5+CD5+CC5+CB4+CA4+BZ4+BY4+BX4+BW4+BV4)*0.132/7,17)</f>
        <v>18.337527472527473</v>
      </c>
      <c r="U56" s="117"/>
      <c r="V56" s="129"/>
      <c r="W56" s="114"/>
    </row>
    <row r="57" spans="2:23">
      <c r="B57" s="114">
        <v>12</v>
      </c>
      <c r="C57" s="74">
        <f t="shared" si="9"/>
        <v>11</v>
      </c>
      <c r="D57" s="74">
        <f t="shared" si="10"/>
        <v>10</v>
      </c>
      <c r="E57" s="74">
        <f t="shared" si="11"/>
        <v>9</v>
      </c>
      <c r="F57" s="114">
        <v>8</v>
      </c>
      <c r="G57" s="74">
        <f t="shared" si="12"/>
        <v>7</v>
      </c>
      <c r="H57" s="74">
        <f t="shared" si="13"/>
        <v>6</v>
      </c>
      <c r="I57" s="74">
        <f t="shared" si="14"/>
        <v>5</v>
      </c>
      <c r="J57" s="114">
        <f t="shared" si="15"/>
        <v>4</v>
      </c>
      <c r="K57" s="74">
        <f t="shared" si="16"/>
        <v>3.25</v>
      </c>
      <c r="L57" s="74">
        <f t="shared" si="17"/>
        <v>2.5</v>
      </c>
      <c r="M57" s="74">
        <f t="shared" si="18"/>
        <v>1.75</v>
      </c>
      <c r="N57" s="114">
        <f>SUM(F57,-B57,J57,0.25*ABS(J57-F57))</f>
        <v>1</v>
      </c>
      <c r="O57" s="74">
        <f t="shared" si="28"/>
        <v>5</v>
      </c>
      <c r="P57" s="74">
        <f t="shared" si="29"/>
        <v>9</v>
      </c>
      <c r="Q57" s="74">
        <f t="shared" si="30"/>
        <v>13</v>
      </c>
      <c r="R57" s="114">
        <v>17</v>
      </c>
      <c r="S57" s="129"/>
      <c r="T57" s="117">
        <f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18.575538461538461</v>
      </c>
      <c r="U57" s="117"/>
      <c r="V57" s="129"/>
      <c r="W57" s="114"/>
    </row>
    <row r="58" spans="2:23">
      <c r="B58" s="114"/>
      <c r="C58" s="74"/>
      <c r="D58" s="74"/>
      <c r="E58" s="74"/>
      <c r="F58" s="114"/>
      <c r="G58" s="74"/>
      <c r="H58" s="74"/>
      <c r="I58" s="74"/>
      <c r="J58" s="114"/>
      <c r="K58" s="74"/>
      <c r="L58" s="74"/>
      <c r="M58" s="74"/>
      <c r="N58" s="114"/>
      <c r="O58" s="74"/>
      <c r="P58" s="74"/>
      <c r="Q58" s="74"/>
      <c r="R58" s="114"/>
      <c r="S58" s="129"/>
      <c r="T58" s="117"/>
      <c r="U58" s="117"/>
      <c r="V58" s="129"/>
      <c r="W58" s="114"/>
    </row>
    <row r="59" spans="2:23">
      <c r="B59" s="114">
        <v>7</v>
      </c>
      <c r="C59" s="74">
        <f t="shared" si="9"/>
        <v>7.5</v>
      </c>
      <c r="D59" s="74">
        <f t="shared" si="10"/>
        <v>8</v>
      </c>
      <c r="E59" s="74">
        <f t="shared" si="11"/>
        <v>8.5</v>
      </c>
      <c r="F59" s="114">
        <v>9</v>
      </c>
      <c r="G59" s="74">
        <f t="shared" si="12"/>
        <v>9.5</v>
      </c>
      <c r="H59" s="74">
        <f t="shared" si="13"/>
        <v>10</v>
      </c>
      <c r="I59" s="74">
        <f t="shared" si="14"/>
        <v>10.5</v>
      </c>
      <c r="J59" s="114">
        <f t="shared" si="15"/>
        <v>11</v>
      </c>
      <c r="K59" s="74">
        <f t="shared" si="16"/>
        <v>11.625</v>
      </c>
      <c r="L59" s="74">
        <f t="shared" si="17"/>
        <v>12.25</v>
      </c>
      <c r="M59" s="74">
        <f t="shared" si="18"/>
        <v>12.875</v>
      </c>
      <c r="N59" s="114">
        <f>SUM(F59,-B59,J59,0.25*ABS(J59-F59))</f>
        <v>13.5</v>
      </c>
      <c r="O59" s="74">
        <f t="shared" ref="O59:O65" si="31">SUM(0.25*(R59-N59),N59)</f>
        <v>14.375</v>
      </c>
      <c r="P59" s="74">
        <f t="shared" ref="P59:P65" si="32">SUM(0.5*(R59-N59),N59)</f>
        <v>15.25</v>
      </c>
      <c r="Q59" s="74">
        <f t="shared" ref="Q59:Q65" si="33">SUM(0.75*(R59-N59),N59)</f>
        <v>16.125</v>
      </c>
      <c r="R59" s="114">
        <v>17</v>
      </c>
      <c r="S59" s="129"/>
      <c r="T59" s="117">
        <f>SUM((CP20+CO19+CN18+CM17+CL16+CK15+CJ14+CI13+CH12+CG11+CF10+CE9+CD8)*0.132,(CC7+CB7+CA6+BZ6+BY5+BX5+BW4+BV4)*0.132/2,17)</f>
        <v>19.103538461538463</v>
      </c>
      <c r="U59" s="117"/>
      <c r="V59" s="129"/>
      <c r="W59" s="114"/>
    </row>
    <row r="60" spans="2:23">
      <c r="B60" s="114">
        <v>8</v>
      </c>
      <c r="C60" s="74">
        <f t="shared" si="9"/>
        <v>8.25</v>
      </c>
      <c r="D60" s="74">
        <f t="shared" ref="D60:D65" si="34">SUM(0.5*(F60-B60)+B60)</f>
        <v>8.5</v>
      </c>
      <c r="E60" s="74">
        <f t="shared" si="11"/>
        <v>8.75</v>
      </c>
      <c r="F60" s="114">
        <v>9</v>
      </c>
      <c r="G60" s="74">
        <f t="shared" si="12"/>
        <v>9.25</v>
      </c>
      <c r="H60" s="74">
        <f t="shared" si="13"/>
        <v>9.5</v>
      </c>
      <c r="I60" s="74">
        <f t="shared" si="14"/>
        <v>9.75</v>
      </c>
      <c r="J60" s="114">
        <f t="shared" si="15"/>
        <v>10</v>
      </c>
      <c r="K60" s="74">
        <f t="shared" si="16"/>
        <v>10.3125</v>
      </c>
      <c r="L60" s="74">
        <f t="shared" si="17"/>
        <v>10.625</v>
      </c>
      <c r="M60" s="74">
        <f t="shared" si="18"/>
        <v>10.9375</v>
      </c>
      <c r="N60" s="114">
        <f>SUM(F60,-B60,J60,0.25*ABS(J60-F60))</f>
        <v>11.25</v>
      </c>
      <c r="O60" s="74">
        <f t="shared" si="31"/>
        <v>12.6875</v>
      </c>
      <c r="P60" s="74">
        <f t="shared" si="32"/>
        <v>14.125</v>
      </c>
      <c r="Q60" s="74">
        <f t="shared" si="33"/>
        <v>15.5625</v>
      </c>
      <c r="R60" s="114">
        <v>17</v>
      </c>
      <c r="S60" s="129"/>
      <c r="T60" s="117">
        <f>SUM((CN20+CM19+CM18+CL17+CL16+CK15+CK14+CJ13+CJ12+CI11+CH10+CG9+CF8)*0.132,(CE7+CD7+CC7+CB6+CA6+BZ6)*0.132/3,(BY5+BX5+BW4+BV4)*0.132/2,17)</f>
        <v>19.103538461538463</v>
      </c>
      <c r="U60" s="117"/>
      <c r="V60" s="129"/>
      <c r="W60" s="114"/>
    </row>
    <row r="61" spans="2:23">
      <c r="B61" s="114">
        <v>9</v>
      </c>
      <c r="C61" s="74">
        <f t="shared" si="9"/>
        <v>9</v>
      </c>
      <c r="D61" s="74">
        <f t="shared" si="34"/>
        <v>9</v>
      </c>
      <c r="E61" s="74">
        <f t="shared" si="11"/>
        <v>9</v>
      </c>
      <c r="F61" s="114">
        <v>9</v>
      </c>
      <c r="G61" s="74">
        <f t="shared" si="12"/>
        <v>9</v>
      </c>
      <c r="H61" s="74">
        <f t="shared" si="13"/>
        <v>9</v>
      </c>
      <c r="I61" s="74">
        <f t="shared" si="14"/>
        <v>9</v>
      </c>
      <c r="J61" s="114">
        <f t="shared" si="15"/>
        <v>9</v>
      </c>
      <c r="K61" s="74">
        <f t="shared" si="16"/>
        <v>9.4</v>
      </c>
      <c r="L61" s="74">
        <f t="shared" si="17"/>
        <v>9.8000000000000007</v>
      </c>
      <c r="M61" s="74">
        <f t="shared" si="18"/>
        <v>10.199999999999999</v>
      </c>
      <c r="N61" s="114">
        <f>SUM(F61,-B61,J61,0.25*ABS(J61-F61),0.2*(17-F61))</f>
        <v>10.6</v>
      </c>
      <c r="O61" s="74">
        <f t="shared" si="31"/>
        <v>12.2</v>
      </c>
      <c r="P61" s="74">
        <f t="shared" si="32"/>
        <v>13.8</v>
      </c>
      <c r="Q61" s="74">
        <f t="shared" si="33"/>
        <v>15.4</v>
      </c>
      <c r="R61" s="114">
        <v>17</v>
      </c>
      <c r="S61" s="129"/>
      <c r="T61" s="117">
        <f>SUM((CL20+CL19+CL18+CL17+CL16+CL15+CL14+CL13+CL12+CK11+CK10+CJ9+CJ8)*0.132,(CI7+CH7+CG7+CF7+CE6+CD6+CC6+CB6)*0.132/4,(CA5+BZ5+BY5+BX4+BW4+BV4)*0.132/3,17)</f>
        <v>19.114538461538462</v>
      </c>
      <c r="U61" s="117"/>
      <c r="V61" s="129"/>
      <c r="W61" s="114"/>
    </row>
    <row r="62" spans="2:23">
      <c r="B62" s="114">
        <v>10</v>
      </c>
      <c r="C62" s="74">
        <f t="shared" si="9"/>
        <v>9.75</v>
      </c>
      <c r="D62" s="74">
        <f t="shared" si="34"/>
        <v>9.5</v>
      </c>
      <c r="E62" s="74">
        <f t="shared" si="11"/>
        <v>9.25</v>
      </c>
      <c r="F62" s="114">
        <v>9</v>
      </c>
      <c r="G62" s="74">
        <f t="shared" si="12"/>
        <v>8.75</v>
      </c>
      <c r="H62" s="74">
        <f t="shared" si="13"/>
        <v>8.5</v>
      </c>
      <c r="I62" s="74">
        <f t="shared" si="14"/>
        <v>8.25</v>
      </c>
      <c r="J62" s="114">
        <f t="shared" si="15"/>
        <v>8</v>
      </c>
      <c r="K62" s="74">
        <f t="shared" si="16"/>
        <v>7.8125</v>
      </c>
      <c r="L62" s="74">
        <f t="shared" si="17"/>
        <v>7.625</v>
      </c>
      <c r="M62" s="74">
        <f t="shared" si="18"/>
        <v>7.4375</v>
      </c>
      <c r="N62" s="114">
        <f>SUM(F62,-B62,J62,0.25*ABS(J62-F62))</f>
        <v>7.25</v>
      </c>
      <c r="O62" s="74">
        <f t="shared" si="31"/>
        <v>9.6875</v>
      </c>
      <c r="P62" s="74">
        <f t="shared" si="32"/>
        <v>12.125</v>
      </c>
      <c r="Q62" s="74">
        <f t="shared" si="33"/>
        <v>14.5625</v>
      </c>
      <c r="R62" s="114">
        <v>17</v>
      </c>
      <c r="S62" s="129"/>
      <c r="T62" s="117">
        <f>SUM((CJ20+CK19+CK18+CL17+CL16+CM15+CM14+CN13+CN12+CO11+CO10+CN9+CN8)*0.132,(CM7+CL7+CK7+CJ7+CI7+CH6+CG6+CF6+CE6+CD6)*0.132/5,(CC5+CB5+CA5+BZ5+BY4+BX4+BW4+BV4)*0.132/4,17)</f>
        <v>18.608538461538462</v>
      </c>
      <c r="U62" s="117"/>
      <c r="V62" s="129"/>
      <c r="W62" s="114"/>
    </row>
    <row r="63" spans="2:23">
      <c r="B63" s="114">
        <v>11</v>
      </c>
      <c r="C63" s="74">
        <f t="shared" si="9"/>
        <v>10.5</v>
      </c>
      <c r="D63" s="74">
        <f t="shared" si="34"/>
        <v>10</v>
      </c>
      <c r="E63" s="74">
        <f t="shared" si="11"/>
        <v>9.5</v>
      </c>
      <c r="F63" s="114">
        <v>9</v>
      </c>
      <c r="G63" s="74">
        <f t="shared" si="12"/>
        <v>8.5</v>
      </c>
      <c r="H63" s="74">
        <f t="shared" si="13"/>
        <v>8</v>
      </c>
      <c r="I63" s="74">
        <f t="shared" si="14"/>
        <v>7.5</v>
      </c>
      <c r="J63" s="114">
        <f t="shared" si="15"/>
        <v>7</v>
      </c>
      <c r="K63" s="74">
        <f t="shared" si="16"/>
        <v>6.625</v>
      </c>
      <c r="L63" s="74">
        <f t="shared" si="17"/>
        <v>6.25</v>
      </c>
      <c r="M63" s="74">
        <f t="shared" si="18"/>
        <v>5.875</v>
      </c>
      <c r="N63" s="114">
        <f>SUM(F63,-B63,J63,0.25*ABS(J63-F63))</f>
        <v>5.5</v>
      </c>
      <c r="O63" s="74">
        <f t="shared" si="31"/>
        <v>8.375</v>
      </c>
      <c r="P63" s="74">
        <f t="shared" si="32"/>
        <v>11.25</v>
      </c>
      <c r="Q63" s="74">
        <f t="shared" si="33"/>
        <v>14.125</v>
      </c>
      <c r="R63" s="114">
        <v>17</v>
      </c>
      <c r="S63" s="129"/>
      <c r="T63" s="117">
        <f>SUM((CH20+CI19+CJ18+CK17+CL16+CM15+CN14+CO13+CP12+CQ11+CQ10+CR9+CR8)*0.132,(CQ7+CP7+CO7+CN7+CM7+CL7+CK6+CJ6+CI6+CH6+CG6+CF6)*0.132/6,(CE5+CD5+CC5+CB5+CA5+BZ4+BY4+BX4+BW4+BV4)*0.132/5,17)</f>
        <v>18.975938461538462</v>
      </c>
      <c r="U63" s="117"/>
      <c r="V63" s="129"/>
      <c r="W63" s="114"/>
    </row>
    <row r="64" spans="2:23">
      <c r="B64" s="114">
        <v>12</v>
      </c>
      <c r="C64" s="74">
        <f t="shared" si="9"/>
        <v>11.25</v>
      </c>
      <c r="D64" s="74">
        <f t="shared" si="34"/>
        <v>10.5</v>
      </c>
      <c r="E64" s="74">
        <f t="shared" si="11"/>
        <v>9.75</v>
      </c>
      <c r="F64" s="114">
        <v>9</v>
      </c>
      <c r="G64" s="74">
        <f t="shared" si="12"/>
        <v>8.25</v>
      </c>
      <c r="H64" s="74">
        <f t="shared" si="13"/>
        <v>7.5</v>
      </c>
      <c r="I64" s="74">
        <f t="shared" si="14"/>
        <v>6.75</v>
      </c>
      <c r="J64" s="114">
        <f t="shared" si="15"/>
        <v>6</v>
      </c>
      <c r="K64" s="74">
        <f t="shared" si="16"/>
        <v>5.4375</v>
      </c>
      <c r="L64" s="74">
        <f t="shared" si="17"/>
        <v>4.875</v>
      </c>
      <c r="M64" s="74">
        <f t="shared" si="18"/>
        <v>4.3125</v>
      </c>
      <c r="N64" s="114">
        <f>SUM(F64,-B64,J64,0.25*ABS(J64-F64))</f>
        <v>3.75</v>
      </c>
      <c r="O64" s="74">
        <f t="shared" si="31"/>
        <v>7.0625</v>
      </c>
      <c r="P64" s="74">
        <f t="shared" si="32"/>
        <v>10.375</v>
      </c>
      <c r="Q64" s="74">
        <f t="shared" si="33"/>
        <v>13.6875</v>
      </c>
      <c r="R64" s="114">
        <v>17</v>
      </c>
      <c r="S64" s="129"/>
      <c r="T64" s="117">
        <f>SUM((CF20+CI18+CL16+CO14+CR12+CS11+CT10+CU9+CV8)*0.132,(CG19+CH19+CJ17+CK17+CM15+CN15+CP13+CQ13)*0.132/2,(CU7+CT7+CS7+CR7+CQ7+CP7+CO7+CN6+CM6+CL6+CK6+CJ6+CI6+CH6)*0.132/7,(CG5+CF5+CE5+CD5+CC5+CB5+CA4+BZ4+BY4+BX4+BW4+BV4)*0.132/6,17)</f>
        <v>18.559824175824176</v>
      </c>
      <c r="U64" s="117"/>
      <c r="V64" s="129"/>
      <c r="W64" s="114"/>
    </row>
    <row r="65" spans="2:23">
      <c r="B65" s="114">
        <v>13</v>
      </c>
      <c r="C65" s="74">
        <f t="shared" si="9"/>
        <v>12</v>
      </c>
      <c r="D65" s="74">
        <f t="shared" si="34"/>
        <v>11</v>
      </c>
      <c r="E65" s="74">
        <f t="shared" si="11"/>
        <v>10</v>
      </c>
      <c r="F65" s="114">
        <v>9</v>
      </c>
      <c r="G65" s="74">
        <f t="shared" si="12"/>
        <v>8</v>
      </c>
      <c r="H65" s="74">
        <f t="shared" si="13"/>
        <v>7</v>
      </c>
      <c r="I65" s="74">
        <f t="shared" si="14"/>
        <v>6</v>
      </c>
      <c r="J65" s="114">
        <f t="shared" si="15"/>
        <v>5</v>
      </c>
      <c r="K65" s="74">
        <f t="shared" si="16"/>
        <v>4.25</v>
      </c>
      <c r="L65" s="74">
        <f t="shared" si="17"/>
        <v>3.5</v>
      </c>
      <c r="M65" s="74">
        <f t="shared" si="18"/>
        <v>2.75</v>
      </c>
      <c r="N65" s="114">
        <f>SUM(F65,-B65,J65,0.25*ABS(J65-F65))</f>
        <v>2</v>
      </c>
      <c r="O65" s="74">
        <f t="shared" si="31"/>
        <v>5.75</v>
      </c>
      <c r="P65" s="74">
        <f t="shared" si="32"/>
        <v>9.5</v>
      </c>
      <c r="Q65" s="74">
        <f t="shared" si="33"/>
        <v>13.25</v>
      </c>
      <c r="R65" s="114">
        <v>17</v>
      </c>
      <c r="S65" s="129"/>
      <c r="T65" s="117">
        <f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18.775895604395604</v>
      </c>
      <c r="U65" s="117"/>
      <c r="V65" s="129"/>
      <c r="W65" s="114"/>
    </row>
    <row r="66" spans="2:23">
      <c r="B66" s="114"/>
      <c r="C66" s="74"/>
      <c r="D66" s="74"/>
      <c r="E66" s="74"/>
      <c r="F66" s="114"/>
      <c r="G66" s="74"/>
      <c r="H66" s="74"/>
      <c r="I66" s="74"/>
      <c r="J66" s="114"/>
      <c r="K66" s="74"/>
      <c r="L66" s="74"/>
      <c r="M66" s="74"/>
      <c r="N66" s="114"/>
      <c r="O66" s="74"/>
      <c r="P66" s="74"/>
      <c r="Q66" s="74"/>
      <c r="R66" s="114"/>
      <c r="S66" s="129"/>
      <c r="T66" s="117"/>
      <c r="U66" s="117"/>
      <c r="V66" s="129"/>
      <c r="W66" s="114"/>
    </row>
    <row r="67" spans="2:23">
      <c r="B67" s="114">
        <v>8</v>
      </c>
      <c r="C67" s="74">
        <f>SUM(0.25*(F67-B67),B67)</f>
        <v>8.5</v>
      </c>
      <c r="D67" s="74">
        <f>SUM(0.5*(F67-B67)+B67)</f>
        <v>9</v>
      </c>
      <c r="E67" s="74">
        <f>SUM(0.75*(F67-B67),B67)</f>
        <v>9.5</v>
      </c>
      <c r="F67" s="114">
        <v>10</v>
      </c>
      <c r="G67" s="74">
        <f>SUM(0.25*(J67-F67),F67)</f>
        <v>10.5</v>
      </c>
      <c r="H67" s="74">
        <f>SUM(0.5*(J67-F67),F67)</f>
        <v>11</v>
      </c>
      <c r="I67" s="74">
        <f>SUM(0.75*(J67-F67),F67)</f>
        <v>11.5</v>
      </c>
      <c r="J67" s="114">
        <f>SUM(F67,-B67,F67)</f>
        <v>12</v>
      </c>
      <c r="K67" s="74">
        <f>SUM(0.25*(N67-J67),J67)</f>
        <v>12.625</v>
      </c>
      <c r="L67" s="74">
        <f>SUM(0.5*(N67-J67),J67)</f>
        <v>13.25</v>
      </c>
      <c r="M67" s="74">
        <f>SUM(0.75*(N67-J67),J67)</f>
        <v>13.875</v>
      </c>
      <c r="N67" s="114">
        <f>SUM(F67,-B67,J67,0.25*ABS(J67-F67))</f>
        <v>14.5</v>
      </c>
      <c r="O67" s="74">
        <f t="shared" ref="O67:O74" si="35">SUM(0.25*(R67-N67),N67)</f>
        <v>15.125</v>
      </c>
      <c r="P67" s="74">
        <f t="shared" ref="P67:P74" si="36">SUM(0.5*(R67-N67),N67)</f>
        <v>15.75</v>
      </c>
      <c r="Q67" s="74">
        <f t="shared" ref="Q67:Q74" si="37">SUM(0.75*(R67-N67),N67)</f>
        <v>16.375</v>
      </c>
      <c r="R67" s="114">
        <v>17</v>
      </c>
      <c r="S67" s="129"/>
      <c r="T67" s="117">
        <f>SUM((CN20+CM19+CL18+CK17+CJ16+CI15+CH14+CG13+CF12+CE11+CD10+CC9+CB8+BV4+BY6)*0.132,(CA7+BZ7+BX5+BW5)*0.132/2,17)</f>
        <v>19.367538461538462</v>
      </c>
      <c r="U67" s="117"/>
      <c r="V67" s="129"/>
      <c r="W67" s="114"/>
    </row>
    <row r="68" spans="2:23">
      <c r="B68" s="114">
        <v>9</v>
      </c>
      <c r="C68" s="74">
        <f t="shared" ref="C68:C131" si="38">SUM(0.25*(F68-B68),B68)</f>
        <v>9.25</v>
      </c>
      <c r="D68" s="74">
        <f t="shared" ref="D68:D131" si="39">SUM(0.5*(F68-B68)+B68)</f>
        <v>9.5</v>
      </c>
      <c r="E68" s="74">
        <f t="shared" ref="E68:E131" si="40">SUM(0.75*(F68-B68),B68)</f>
        <v>9.75</v>
      </c>
      <c r="F68" s="114">
        <v>10</v>
      </c>
      <c r="G68" s="74">
        <f t="shared" ref="G68:G131" si="41">SUM(0.25*(J68-F68),F68)</f>
        <v>10.25</v>
      </c>
      <c r="H68" s="74">
        <f t="shared" ref="H68:H131" si="42">SUM(0.5*(J68-F68),F68)</f>
        <v>10.5</v>
      </c>
      <c r="I68" s="74">
        <f t="shared" ref="I68:I131" si="43">SUM(0.75*(J68-F68),F68)</f>
        <v>10.75</v>
      </c>
      <c r="J68" s="114">
        <f t="shared" ref="J68:J131" si="44">SUM(F68,-B68,F68)</f>
        <v>11</v>
      </c>
      <c r="K68" s="74">
        <f t="shared" ref="K68:K131" si="45">SUM(0.25*(N68-J68),J68)</f>
        <v>11.3125</v>
      </c>
      <c r="L68" s="74">
        <f t="shared" ref="L68:L131" si="46">SUM(0.5*(N68-J68),J68)</f>
        <v>11.625</v>
      </c>
      <c r="M68" s="74">
        <f t="shared" ref="M68:M131" si="47">SUM(0.75*(N68-J68),J68)</f>
        <v>11.9375</v>
      </c>
      <c r="N68" s="114">
        <f>SUM(F68,-B68,J68,0.25*ABS(J68-F68))</f>
        <v>12.25</v>
      </c>
      <c r="O68" s="74">
        <f t="shared" si="35"/>
        <v>13.4375</v>
      </c>
      <c r="P68" s="74">
        <f t="shared" si="36"/>
        <v>14.625</v>
      </c>
      <c r="Q68" s="74">
        <f t="shared" si="37"/>
        <v>15.8125</v>
      </c>
      <c r="R68" s="114">
        <v>17</v>
      </c>
      <c r="S68" s="129"/>
      <c r="T68" s="117">
        <f>SUM((CL20+CK19+CK18+CJ17+CJ16+CI15+CI14+CH13+CH12+CG11+CF10+CE9+CD8)*0.132,(CC7+CB7+CA6+BZ6+BY5+BX5+BW4+BV4)*0.132/2,17)</f>
        <v>19.367538461538462</v>
      </c>
      <c r="U68" s="117"/>
      <c r="V68" s="129"/>
      <c r="W68" s="114"/>
    </row>
    <row r="69" spans="2:23">
      <c r="B69" s="114">
        <v>10</v>
      </c>
      <c r="C69" s="74">
        <f t="shared" si="38"/>
        <v>10</v>
      </c>
      <c r="D69" s="74">
        <f t="shared" si="39"/>
        <v>10</v>
      </c>
      <c r="E69" s="74">
        <f t="shared" si="40"/>
        <v>10</v>
      </c>
      <c r="F69" s="114">
        <v>10</v>
      </c>
      <c r="G69" s="74">
        <f t="shared" si="41"/>
        <v>10</v>
      </c>
      <c r="H69" s="74">
        <f t="shared" si="42"/>
        <v>10</v>
      </c>
      <c r="I69" s="74">
        <f t="shared" si="43"/>
        <v>10</v>
      </c>
      <c r="J69" s="114">
        <f t="shared" si="44"/>
        <v>10</v>
      </c>
      <c r="K69" s="74">
        <f t="shared" si="45"/>
        <v>10.35</v>
      </c>
      <c r="L69" s="74">
        <f t="shared" si="46"/>
        <v>10.7</v>
      </c>
      <c r="M69" s="74">
        <f t="shared" si="47"/>
        <v>11.05</v>
      </c>
      <c r="N69" s="114">
        <f>SUM(F69,-B69,J69,0.25*ABS(J69-F69),0.2*(17-F69))</f>
        <v>11.4</v>
      </c>
      <c r="O69" s="74">
        <f t="shared" si="35"/>
        <v>12.8</v>
      </c>
      <c r="P69" s="74">
        <f t="shared" si="36"/>
        <v>14.2</v>
      </c>
      <c r="Q69" s="74">
        <f t="shared" si="37"/>
        <v>15.6</v>
      </c>
      <c r="R69" s="114">
        <v>17</v>
      </c>
      <c r="S69" s="129"/>
      <c r="T69" s="117">
        <f>SUM((CJ20+CJ19+CJ18+CJ17+CJ16+CJ15+CJ14+CJ13+CJ12+CI11+CI10+CH9+CH8)*0.132,(CG7+CF7+CE7+CD6+CC6+CB6+CA5+BZ5+BY5+BX4+BW4+BV4)*0.132/3,17)</f>
        <v>20.335538461538462</v>
      </c>
      <c r="U69" s="117"/>
      <c r="V69" s="129"/>
      <c r="W69" s="114"/>
    </row>
    <row r="70" spans="2:23">
      <c r="B70" s="114">
        <v>11</v>
      </c>
      <c r="C70" s="74">
        <f t="shared" si="38"/>
        <v>10.75</v>
      </c>
      <c r="D70" s="74">
        <f t="shared" si="39"/>
        <v>10.5</v>
      </c>
      <c r="E70" s="74">
        <f t="shared" si="40"/>
        <v>10.25</v>
      </c>
      <c r="F70" s="114">
        <v>10</v>
      </c>
      <c r="G70" s="74">
        <f t="shared" si="41"/>
        <v>9.75</v>
      </c>
      <c r="H70" s="74">
        <f t="shared" si="42"/>
        <v>9.5</v>
      </c>
      <c r="I70" s="74">
        <f t="shared" si="43"/>
        <v>9.25</v>
      </c>
      <c r="J70" s="114">
        <f t="shared" si="44"/>
        <v>9</v>
      </c>
      <c r="K70" s="74">
        <f t="shared" si="45"/>
        <v>8.8125</v>
      </c>
      <c r="L70" s="74">
        <f t="shared" si="46"/>
        <v>8.625</v>
      </c>
      <c r="M70" s="74">
        <f t="shared" si="47"/>
        <v>8.4375</v>
      </c>
      <c r="N70" s="114">
        <f>SUM(F70,-B70,J70,0.25*ABS(J70-F70))</f>
        <v>8.25</v>
      </c>
      <c r="O70" s="74">
        <f t="shared" si="35"/>
        <v>10.4375</v>
      </c>
      <c r="P70" s="74">
        <f t="shared" si="36"/>
        <v>12.625</v>
      </c>
      <c r="Q70" s="74">
        <f t="shared" si="37"/>
        <v>14.8125</v>
      </c>
      <c r="R70" s="114">
        <v>17</v>
      </c>
      <c r="S70" s="129"/>
      <c r="T70" s="117">
        <f>SUM((CH20+CI19+CI18+CJ17+CJ16+CK15+CK14+CL13+CL12+CM11+CM10+CL9+CL8)*0.132,(CK7+CJ7+CI7+CH7+CG6+CF6+CE6+CD6+CC5+CB5+CA5+BZ5+BY4+BX4+BW4+BV4)*0.132/4,17)</f>
        <v>19.40053846153846</v>
      </c>
      <c r="U70" s="117"/>
      <c r="V70" s="129"/>
      <c r="W70" s="114"/>
    </row>
    <row r="71" spans="2:23">
      <c r="B71" s="114">
        <v>12</v>
      </c>
      <c r="C71" s="74">
        <f t="shared" si="38"/>
        <v>11.5</v>
      </c>
      <c r="D71" s="74">
        <f t="shared" si="39"/>
        <v>11</v>
      </c>
      <c r="E71" s="74">
        <f t="shared" si="40"/>
        <v>10.5</v>
      </c>
      <c r="F71" s="114">
        <v>10</v>
      </c>
      <c r="G71" s="74">
        <f t="shared" si="41"/>
        <v>9.5</v>
      </c>
      <c r="H71" s="74">
        <f t="shared" si="42"/>
        <v>9</v>
      </c>
      <c r="I71" s="74">
        <f t="shared" si="43"/>
        <v>8.5</v>
      </c>
      <c r="J71" s="114">
        <f t="shared" si="44"/>
        <v>8</v>
      </c>
      <c r="K71" s="74">
        <f t="shared" si="45"/>
        <v>7.625</v>
      </c>
      <c r="L71" s="74">
        <f t="shared" si="46"/>
        <v>7.25</v>
      </c>
      <c r="M71" s="74">
        <f t="shared" si="47"/>
        <v>6.875</v>
      </c>
      <c r="N71" s="114">
        <f>SUM(F71,-B71,J71,0.25*ABS(J71-F71))</f>
        <v>6.5</v>
      </c>
      <c r="O71" s="74">
        <f t="shared" si="35"/>
        <v>9.125</v>
      </c>
      <c r="P71" s="74">
        <f t="shared" si="36"/>
        <v>11.75</v>
      </c>
      <c r="Q71" s="74">
        <f t="shared" si="37"/>
        <v>14.375</v>
      </c>
      <c r="R71" s="114">
        <v>17</v>
      </c>
      <c r="S71" s="129"/>
      <c r="T71" s="117">
        <f>SUM((CF20+CG19+CH18+CI17+CJ16+CK15+CL14+CM13+CN12+CO11+CO10+CP9+CP8)*0.132,(CO7+CN7+CM7+CL7+CK7+CJ6+CI6+CH6+CG6+CF6+CE5+CD5+CC5+CB5+CA5+BZ4+BY4+BX4+BW4+BV4)*0.132/5,17)</f>
        <v>19.473138461538461</v>
      </c>
      <c r="U71" s="117"/>
      <c r="V71" s="129"/>
      <c r="W71" s="114"/>
    </row>
    <row r="72" spans="2:23">
      <c r="B72" s="114">
        <v>13</v>
      </c>
      <c r="C72" s="74">
        <f t="shared" si="38"/>
        <v>12.25</v>
      </c>
      <c r="D72" s="74">
        <f t="shared" si="39"/>
        <v>11.5</v>
      </c>
      <c r="E72" s="74">
        <f t="shared" si="40"/>
        <v>10.75</v>
      </c>
      <c r="F72" s="114">
        <v>10</v>
      </c>
      <c r="G72" s="74">
        <f t="shared" si="41"/>
        <v>9.25</v>
      </c>
      <c r="H72" s="74">
        <f t="shared" si="42"/>
        <v>8.5</v>
      </c>
      <c r="I72" s="74">
        <f t="shared" si="43"/>
        <v>7.75</v>
      </c>
      <c r="J72" s="114">
        <f t="shared" si="44"/>
        <v>7</v>
      </c>
      <c r="K72" s="74">
        <f t="shared" si="45"/>
        <v>6.4375</v>
      </c>
      <c r="L72" s="74">
        <f t="shared" si="46"/>
        <v>5.875</v>
      </c>
      <c r="M72" s="74">
        <f t="shared" si="47"/>
        <v>5.3125</v>
      </c>
      <c r="N72" s="114">
        <f>SUM(F72,-B72,J72,0.25*ABS(J72-F72))</f>
        <v>4.75</v>
      </c>
      <c r="O72" s="74">
        <f t="shared" si="35"/>
        <v>7.8125</v>
      </c>
      <c r="P72" s="74">
        <f t="shared" si="36"/>
        <v>10.875</v>
      </c>
      <c r="Q72" s="74">
        <f t="shared" si="37"/>
        <v>13.9375</v>
      </c>
      <c r="R72" s="114">
        <v>17</v>
      </c>
      <c r="S72" s="129"/>
      <c r="T72" s="117">
        <f>SUM((CD20+CG18+CJ16+CM14+CP12+CQ11+CR10+CS9+CT8)*0.132,(CE19+CF19+CH17+CI17+CK15+CL15+CN13+CO13)*0.132/2,(CS7+CR7+CQ7+CP7+CO7+CN7+CM6+CL6+CK6+CJ6+CI6+CH6+CG5+CF5+CE5+CD5+CC5+CB5+CA4+BZ4+BY4+BX4+BW4+BV4)*0.132/6,17)</f>
        <v>19.081538461538461</v>
      </c>
      <c r="U72" s="117"/>
      <c r="V72" s="129"/>
      <c r="W72" s="114"/>
    </row>
    <row r="73" spans="2:23">
      <c r="B73" s="114">
        <v>14</v>
      </c>
      <c r="C73" s="74">
        <f t="shared" si="38"/>
        <v>13</v>
      </c>
      <c r="D73" s="74">
        <f t="shared" si="39"/>
        <v>12</v>
      </c>
      <c r="E73" s="74">
        <f t="shared" si="40"/>
        <v>11</v>
      </c>
      <c r="F73" s="114">
        <v>10</v>
      </c>
      <c r="G73" s="74">
        <f t="shared" si="41"/>
        <v>9</v>
      </c>
      <c r="H73" s="74">
        <f t="shared" si="42"/>
        <v>8</v>
      </c>
      <c r="I73" s="74">
        <f t="shared" si="43"/>
        <v>7</v>
      </c>
      <c r="J73" s="114">
        <f t="shared" si="44"/>
        <v>6</v>
      </c>
      <c r="K73" s="74">
        <f t="shared" si="45"/>
        <v>5.25</v>
      </c>
      <c r="L73" s="74">
        <f t="shared" si="46"/>
        <v>4.5</v>
      </c>
      <c r="M73" s="74">
        <f t="shared" si="47"/>
        <v>3.75</v>
      </c>
      <c r="N73" s="114">
        <f>SUM(F73,-B73,J73,0.25*ABS(J73-F73))</f>
        <v>3</v>
      </c>
      <c r="O73" s="74">
        <f t="shared" si="35"/>
        <v>6.5</v>
      </c>
      <c r="P73" s="74">
        <f t="shared" si="36"/>
        <v>10</v>
      </c>
      <c r="Q73" s="74">
        <f t="shared" si="37"/>
        <v>13.5</v>
      </c>
      <c r="R73" s="114">
        <v>17</v>
      </c>
      <c r="S73" s="129"/>
      <c r="T73" s="117">
        <f>SUM((CC19+CD19+CE18+CF18+CG17+CH17+CI16+CJ16+CK15+CL15+CM14+CN14+CO13+CP13+CQ12+CR12+CS11+CT11+CV9+CW9)*0.132/2,(CX8+CU10+CB20)*0.132,(CW7+CV7+CU7+CT7+CS7+CR7+CQ7+CP6+CO6+CN6+CM6+CL6+CK6+CJ6+CI5+CH5+CG5+CF5+CE5+CD5+CC5+CB4+CA4+BZ4+BY4+BX4+BW4+BV4)*0.132/7,17)</f>
        <v>18.688681318681319</v>
      </c>
      <c r="U73" s="117"/>
      <c r="V73" s="129"/>
      <c r="W73" s="114"/>
    </row>
    <row r="74" spans="2:23">
      <c r="B74" s="114">
        <v>15</v>
      </c>
      <c r="C74" s="74">
        <f t="shared" si="38"/>
        <v>13.75</v>
      </c>
      <c r="D74" s="74">
        <f t="shared" si="39"/>
        <v>12.5</v>
      </c>
      <c r="E74" s="74">
        <f t="shared" si="40"/>
        <v>11.25</v>
      </c>
      <c r="F74" s="114">
        <v>10</v>
      </c>
      <c r="G74" s="74">
        <f t="shared" si="41"/>
        <v>8.75</v>
      </c>
      <c r="H74" s="74">
        <f t="shared" si="42"/>
        <v>7.5</v>
      </c>
      <c r="I74" s="74">
        <f t="shared" si="43"/>
        <v>6.25</v>
      </c>
      <c r="J74" s="114">
        <f t="shared" si="44"/>
        <v>5</v>
      </c>
      <c r="K74" s="74">
        <f t="shared" si="45"/>
        <v>4.0625</v>
      </c>
      <c r="L74" s="74">
        <f t="shared" si="46"/>
        <v>3.125</v>
      </c>
      <c r="M74" s="74">
        <f t="shared" si="47"/>
        <v>2.1875</v>
      </c>
      <c r="N74" s="114">
        <f>SUM(F74,-B74,J74,0.25*ABS(J74-F74))</f>
        <v>1.25</v>
      </c>
      <c r="O74" s="74">
        <f t="shared" si="35"/>
        <v>5.1875</v>
      </c>
      <c r="P74" s="74">
        <f t="shared" si="36"/>
        <v>9.125</v>
      </c>
      <c r="Q74" s="74">
        <f t="shared" si="37"/>
        <v>13.0625</v>
      </c>
      <c r="R74" s="114">
        <v>17</v>
      </c>
      <c r="S74" s="129"/>
      <c r="T74" s="117">
        <f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18.927538461538461</v>
      </c>
      <c r="U74" s="117"/>
      <c r="V74" s="129"/>
      <c r="W74" s="114"/>
    </row>
    <row r="75" spans="2:23">
      <c r="B75" s="114"/>
      <c r="C75" s="74"/>
      <c r="D75" s="74"/>
      <c r="E75" s="74"/>
      <c r="F75" s="114"/>
      <c r="G75" s="74"/>
      <c r="H75" s="74"/>
      <c r="I75" s="74"/>
      <c r="J75" s="114"/>
      <c r="K75" s="74"/>
      <c r="L75" s="74"/>
      <c r="M75" s="74"/>
      <c r="N75" s="114"/>
      <c r="O75" s="74"/>
      <c r="P75" s="74"/>
      <c r="Q75" s="74"/>
      <c r="R75" s="114"/>
      <c r="S75" s="129"/>
      <c r="T75" s="117"/>
      <c r="U75" s="117"/>
      <c r="V75" s="129"/>
      <c r="W75" s="114"/>
    </row>
    <row r="76" spans="2:23">
      <c r="B76" s="114">
        <v>9</v>
      </c>
      <c r="C76" s="74">
        <f t="shared" si="38"/>
        <v>9.5</v>
      </c>
      <c r="D76" s="74">
        <f t="shared" si="39"/>
        <v>10</v>
      </c>
      <c r="E76" s="74">
        <f t="shared" si="40"/>
        <v>10.5</v>
      </c>
      <c r="F76" s="114">
        <v>11</v>
      </c>
      <c r="G76" s="74">
        <f t="shared" si="41"/>
        <v>11.5</v>
      </c>
      <c r="H76" s="74">
        <f t="shared" si="42"/>
        <v>12</v>
      </c>
      <c r="I76" s="74">
        <f t="shared" si="43"/>
        <v>12.5</v>
      </c>
      <c r="J76" s="114">
        <f t="shared" si="44"/>
        <v>13</v>
      </c>
      <c r="K76" s="74">
        <f t="shared" si="45"/>
        <v>13.5</v>
      </c>
      <c r="L76" s="74">
        <f t="shared" si="46"/>
        <v>14</v>
      </c>
      <c r="M76" s="74">
        <f t="shared" si="47"/>
        <v>14.5</v>
      </c>
      <c r="N76" s="114">
        <f>SUM(J76,J76,-F76)</f>
        <v>15</v>
      </c>
      <c r="O76" s="74">
        <f t="shared" ref="O76:O83" si="48">SUM(0.25*(R76-N76),N76)</f>
        <v>15.5</v>
      </c>
      <c r="P76" s="74">
        <f t="shared" ref="P76:P83" si="49">SUM(0.5*(R76-N76),N76)</f>
        <v>16</v>
      </c>
      <c r="Q76" s="74">
        <f t="shared" ref="Q76:Q83" si="50">SUM(0.75*(R76-N76),N76)</f>
        <v>16.5</v>
      </c>
      <c r="R76" s="114">
        <v>17</v>
      </c>
      <c r="S76" s="129"/>
      <c r="T76" s="117">
        <f>SUM((CL20+CK19+CJ18+CI17+CH16+CG15+CF14+CE13+CD12+CC11+CB10+CA9+BZ8+BY7+BX6+BW5+BV4)*0.132,17)</f>
        <v>18.971538461538461</v>
      </c>
      <c r="U76" s="117"/>
      <c r="V76" s="129"/>
      <c r="W76" s="114"/>
    </row>
    <row r="77" spans="2:23">
      <c r="B77" s="114">
        <v>10</v>
      </c>
      <c r="C77" s="74">
        <f t="shared" si="38"/>
        <v>10.25</v>
      </c>
      <c r="D77" s="74">
        <f t="shared" si="39"/>
        <v>10.5</v>
      </c>
      <c r="E77" s="74">
        <f t="shared" si="40"/>
        <v>10.75</v>
      </c>
      <c r="F77" s="114">
        <v>11</v>
      </c>
      <c r="G77" s="74">
        <f t="shared" si="41"/>
        <v>11.25</v>
      </c>
      <c r="H77" s="74">
        <f t="shared" si="42"/>
        <v>11.5</v>
      </c>
      <c r="I77" s="74">
        <f t="shared" si="43"/>
        <v>11.75</v>
      </c>
      <c r="J77" s="114">
        <f t="shared" si="44"/>
        <v>12</v>
      </c>
      <c r="K77" s="74">
        <f t="shared" si="45"/>
        <v>12.3125</v>
      </c>
      <c r="L77" s="74">
        <f t="shared" si="46"/>
        <v>12.625</v>
      </c>
      <c r="M77" s="74">
        <f t="shared" si="47"/>
        <v>12.9375</v>
      </c>
      <c r="N77" s="114">
        <f>SUM(F77,-B77,J77,0.25*ABS(J77-F77))</f>
        <v>13.25</v>
      </c>
      <c r="O77" s="74">
        <f t="shared" si="48"/>
        <v>14.1875</v>
      </c>
      <c r="P77" s="74">
        <f t="shared" si="49"/>
        <v>15.125</v>
      </c>
      <c r="Q77" s="74">
        <f t="shared" si="50"/>
        <v>16.0625</v>
      </c>
      <c r="R77" s="114">
        <v>17</v>
      </c>
      <c r="S77" s="129"/>
      <c r="T77" s="117">
        <f>SUM((CJ20+CI19+CI18+CH17+CH16+CG15+CG14+CF13+CF12+CE11+CD10+CC9+CB8+BW5+BV4)*0.132,(CA7+BZ7+BY6+BX6)*0.132/2,17)</f>
        <v>19.433538461538461</v>
      </c>
      <c r="U77" s="117"/>
      <c r="V77" s="129"/>
      <c r="W77" s="114"/>
    </row>
    <row r="78" spans="2:23">
      <c r="B78" s="114">
        <v>11</v>
      </c>
      <c r="C78" s="74">
        <f t="shared" si="38"/>
        <v>11</v>
      </c>
      <c r="D78" s="74">
        <f t="shared" si="39"/>
        <v>11</v>
      </c>
      <c r="E78" s="74">
        <f t="shared" si="40"/>
        <v>11</v>
      </c>
      <c r="F78" s="114">
        <v>11</v>
      </c>
      <c r="G78" s="74">
        <f t="shared" si="41"/>
        <v>11</v>
      </c>
      <c r="H78" s="74">
        <f t="shared" si="42"/>
        <v>11</v>
      </c>
      <c r="I78" s="74">
        <f t="shared" si="43"/>
        <v>11</v>
      </c>
      <c r="J78" s="114">
        <f t="shared" si="44"/>
        <v>11</v>
      </c>
      <c r="K78" s="74">
        <f t="shared" si="45"/>
        <v>11.3</v>
      </c>
      <c r="L78" s="74">
        <f t="shared" si="46"/>
        <v>11.6</v>
      </c>
      <c r="M78" s="74">
        <f t="shared" si="47"/>
        <v>11.899999999999999</v>
      </c>
      <c r="N78" s="114">
        <f>SUM(F78,-B78,J78,0.25*ABS(J78-F78),0.2*(17-F78))</f>
        <v>12.2</v>
      </c>
      <c r="O78" s="74">
        <f t="shared" si="48"/>
        <v>13.399999999999999</v>
      </c>
      <c r="P78" s="74">
        <f t="shared" si="49"/>
        <v>14.6</v>
      </c>
      <c r="Q78" s="74">
        <f t="shared" si="50"/>
        <v>15.8</v>
      </c>
      <c r="R78" s="114">
        <v>17</v>
      </c>
      <c r="S78" s="129"/>
      <c r="T78" s="117">
        <f>SUM((CH20+CH19+CH18+CH17+CH16+CH15+CH14+CH13+CH12+CG11+CG10+CF9+CF8)*0.132,(CE7+CD7+CC7+CB6+CA6+BZ6)*0.132/3,(BY5+BX5+BW4+BV4)*0.132/2,17)</f>
        <v>19.895538461538461</v>
      </c>
      <c r="U78" s="117"/>
      <c r="V78" s="129"/>
      <c r="W78" s="114"/>
    </row>
    <row r="79" spans="2:23">
      <c r="B79" s="114">
        <v>12</v>
      </c>
      <c r="C79" s="74">
        <f t="shared" si="38"/>
        <v>11.75</v>
      </c>
      <c r="D79" s="74">
        <f t="shared" si="39"/>
        <v>11.5</v>
      </c>
      <c r="E79" s="74">
        <f t="shared" si="40"/>
        <v>11.25</v>
      </c>
      <c r="F79" s="114">
        <v>11</v>
      </c>
      <c r="G79" s="74">
        <f t="shared" si="41"/>
        <v>10.75</v>
      </c>
      <c r="H79" s="74">
        <f t="shared" si="42"/>
        <v>10.5</v>
      </c>
      <c r="I79" s="74">
        <f t="shared" si="43"/>
        <v>10.25</v>
      </c>
      <c r="J79" s="114">
        <f t="shared" si="44"/>
        <v>10</v>
      </c>
      <c r="K79" s="74">
        <f t="shared" si="45"/>
        <v>9.8125</v>
      </c>
      <c r="L79" s="74">
        <f t="shared" si="46"/>
        <v>9.625</v>
      </c>
      <c r="M79" s="74">
        <f t="shared" si="47"/>
        <v>9.4375</v>
      </c>
      <c r="N79" s="114">
        <f>SUM(F79,-B79,J79,0.25*ABS(J79-F79))</f>
        <v>9.25</v>
      </c>
      <c r="O79" s="74">
        <f t="shared" si="48"/>
        <v>11.1875</v>
      </c>
      <c r="P79" s="74">
        <f t="shared" si="49"/>
        <v>13.125</v>
      </c>
      <c r="Q79" s="74">
        <f t="shared" si="50"/>
        <v>15.0625</v>
      </c>
      <c r="R79" s="114">
        <v>17</v>
      </c>
      <c r="S79" s="129"/>
      <c r="T79" s="117">
        <f>SUM((CF20+CG19+CG18+CH17+CH16+CI15+CI14+CJ13+CJ12+CK11+CK10+CJ9+CJ8)*0.132,(CI7+CH7+CG7+CF7+CE6+CD6+CC6+CB6)*0.132/4,(CA5+BZ5+BY5+BX4+BW4+BV4)*0.132/3,17)</f>
        <v>20.038538461538462</v>
      </c>
      <c r="U79" s="117"/>
      <c r="V79" s="129"/>
      <c r="W79" s="114"/>
    </row>
    <row r="80" spans="2:23">
      <c r="B80" s="114">
        <v>13</v>
      </c>
      <c r="C80" s="74">
        <f t="shared" si="38"/>
        <v>12.5</v>
      </c>
      <c r="D80" s="74">
        <f t="shared" si="39"/>
        <v>12</v>
      </c>
      <c r="E80" s="74">
        <f t="shared" si="40"/>
        <v>11.5</v>
      </c>
      <c r="F80" s="114">
        <v>11</v>
      </c>
      <c r="G80" s="74">
        <f t="shared" si="41"/>
        <v>10.5</v>
      </c>
      <c r="H80" s="74">
        <f t="shared" si="42"/>
        <v>10</v>
      </c>
      <c r="I80" s="74">
        <f t="shared" si="43"/>
        <v>9.5</v>
      </c>
      <c r="J80" s="114">
        <f t="shared" si="44"/>
        <v>9</v>
      </c>
      <c r="K80" s="74">
        <f t="shared" si="45"/>
        <v>8.625</v>
      </c>
      <c r="L80" s="74">
        <f t="shared" si="46"/>
        <v>8.25</v>
      </c>
      <c r="M80" s="74">
        <f t="shared" si="47"/>
        <v>7.875</v>
      </c>
      <c r="N80" s="114">
        <f>SUM(F80,-B80,J80,0.25*ABS(J80-F80))</f>
        <v>7.5</v>
      </c>
      <c r="O80" s="74">
        <f t="shared" si="48"/>
        <v>9.875</v>
      </c>
      <c r="P80" s="74">
        <f t="shared" si="49"/>
        <v>12.25</v>
      </c>
      <c r="Q80" s="74">
        <f t="shared" si="50"/>
        <v>14.625</v>
      </c>
      <c r="R80" s="114">
        <v>17</v>
      </c>
      <c r="S80" s="129"/>
      <c r="T80" s="117">
        <f>SUM((CD20+CE19+CF18+CG17+CH16+CI15+CJ14+CK13+CL12+CM11+CM10+CN9+CN8)*0.132,(CM7+CL7+CK7+CJ7+CI7+CH6+CG6+CF6+CE6+CD6)*0.132/5,(CC5+CB5+CA5+BZ5+BY4+BX4+BW4+BV4)*0.132/4,17)</f>
        <v>19.40053846153846</v>
      </c>
      <c r="U80" s="117"/>
      <c r="V80" s="129"/>
      <c r="W80" s="114"/>
    </row>
    <row r="81" spans="2:23">
      <c r="B81" s="114">
        <v>14</v>
      </c>
      <c r="C81" s="74">
        <f t="shared" si="38"/>
        <v>13.25</v>
      </c>
      <c r="D81" s="74">
        <f t="shared" si="39"/>
        <v>12.5</v>
      </c>
      <c r="E81" s="74">
        <f t="shared" si="40"/>
        <v>11.75</v>
      </c>
      <c r="F81" s="114">
        <v>11</v>
      </c>
      <c r="G81" s="74">
        <f t="shared" si="41"/>
        <v>10.25</v>
      </c>
      <c r="H81" s="74">
        <f t="shared" si="42"/>
        <v>9.5</v>
      </c>
      <c r="I81" s="74">
        <f t="shared" si="43"/>
        <v>8.75</v>
      </c>
      <c r="J81" s="114">
        <f t="shared" si="44"/>
        <v>8</v>
      </c>
      <c r="K81" s="74">
        <f t="shared" si="45"/>
        <v>7.4375</v>
      </c>
      <c r="L81" s="74">
        <f t="shared" si="46"/>
        <v>6.875</v>
      </c>
      <c r="M81" s="74">
        <f t="shared" si="47"/>
        <v>6.3125</v>
      </c>
      <c r="N81" s="114">
        <f>SUM(F81,-B81,J81,0.25*ABS(J81-F81))</f>
        <v>5.75</v>
      </c>
      <c r="O81" s="74">
        <f t="shared" si="48"/>
        <v>8.5625</v>
      </c>
      <c r="P81" s="74">
        <f t="shared" si="49"/>
        <v>11.375</v>
      </c>
      <c r="Q81" s="74">
        <f t="shared" si="50"/>
        <v>14.1875</v>
      </c>
      <c r="R81" s="114">
        <v>17</v>
      </c>
      <c r="S81" s="129"/>
      <c r="T81" s="117">
        <f>SUM((CB20+CE18+CH16+CK14+CN12+CO11+CP10+CQ9+CR8)*0.132,(CC19+CD19+CF17+CG17+CI15+CJ15+CL13+CM13)*0.132/2,(CQ7+CP7+CO7+CN7+CM7+CL7+CK6+CJ6+CI6+CH6+CG6+CF6)*0.132/6,(CE5+CD5+CC5+CB5+CA5+BZ4+BY4+BX4+BW4+BV4)*0.132/5,17)</f>
        <v>18.909938461538459</v>
      </c>
      <c r="U81" s="117"/>
      <c r="V81" s="129"/>
      <c r="W81" s="114"/>
    </row>
    <row r="82" spans="2:23">
      <c r="B82" s="114">
        <v>15</v>
      </c>
      <c r="C82" s="74">
        <f t="shared" si="38"/>
        <v>14</v>
      </c>
      <c r="D82" s="74">
        <f t="shared" si="39"/>
        <v>13</v>
      </c>
      <c r="E82" s="74">
        <f t="shared" si="40"/>
        <v>12</v>
      </c>
      <c r="F82" s="114">
        <v>11</v>
      </c>
      <c r="G82" s="74">
        <f t="shared" si="41"/>
        <v>10</v>
      </c>
      <c r="H82" s="74">
        <f t="shared" si="42"/>
        <v>9</v>
      </c>
      <c r="I82" s="74">
        <f t="shared" si="43"/>
        <v>8</v>
      </c>
      <c r="J82" s="114">
        <f t="shared" si="44"/>
        <v>7</v>
      </c>
      <c r="K82" s="74">
        <f t="shared" si="45"/>
        <v>6.25</v>
      </c>
      <c r="L82" s="74">
        <f t="shared" si="46"/>
        <v>5.5</v>
      </c>
      <c r="M82" s="74">
        <f t="shared" si="47"/>
        <v>4.75</v>
      </c>
      <c r="N82" s="114">
        <f>SUM(F82,-B82,J82,0.25*ABS(J82-F82))</f>
        <v>4</v>
      </c>
      <c r="O82" s="74">
        <f t="shared" si="48"/>
        <v>7.25</v>
      </c>
      <c r="P82" s="74">
        <f t="shared" si="49"/>
        <v>10.5</v>
      </c>
      <c r="Q82" s="74">
        <f t="shared" si="50"/>
        <v>13.75</v>
      </c>
      <c r="R82" s="114">
        <v>17</v>
      </c>
      <c r="S82" s="129"/>
      <c r="T82" s="117">
        <f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19.021824175824175</v>
      </c>
      <c r="U82" s="117"/>
      <c r="V82" s="129"/>
      <c r="W82" s="114"/>
    </row>
    <row r="83" spans="2:23">
      <c r="B83" s="114">
        <v>16</v>
      </c>
      <c r="C83" s="74">
        <f t="shared" si="38"/>
        <v>14.75</v>
      </c>
      <c r="D83" s="74">
        <f t="shared" si="39"/>
        <v>13.5</v>
      </c>
      <c r="E83" s="74">
        <f t="shared" si="40"/>
        <v>12.25</v>
      </c>
      <c r="F83" s="114">
        <v>11</v>
      </c>
      <c r="G83" s="74">
        <f t="shared" si="41"/>
        <v>9.75</v>
      </c>
      <c r="H83" s="74">
        <f t="shared" si="42"/>
        <v>8.5</v>
      </c>
      <c r="I83" s="74">
        <f t="shared" si="43"/>
        <v>7.25</v>
      </c>
      <c r="J83" s="114">
        <f t="shared" si="44"/>
        <v>6</v>
      </c>
      <c r="K83" s="74">
        <f t="shared" si="45"/>
        <v>5.0625</v>
      </c>
      <c r="L83" s="74">
        <f t="shared" si="46"/>
        <v>4.125</v>
      </c>
      <c r="M83" s="74">
        <f t="shared" si="47"/>
        <v>3.1875</v>
      </c>
      <c r="N83" s="114">
        <f>SUM(F83,-B83,J83,0.25*ABS(J83-F83))</f>
        <v>2.25</v>
      </c>
      <c r="O83" s="74">
        <f t="shared" si="48"/>
        <v>5.9375</v>
      </c>
      <c r="P83" s="74">
        <f t="shared" si="49"/>
        <v>9.625</v>
      </c>
      <c r="Q83" s="74">
        <f t="shared" si="50"/>
        <v>13.3125</v>
      </c>
      <c r="R83" s="114">
        <v>17</v>
      </c>
      <c r="S83" s="129"/>
      <c r="T83" s="117">
        <f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18.951895604395606</v>
      </c>
      <c r="U83" s="117"/>
      <c r="V83" s="129"/>
      <c r="W83" s="114"/>
    </row>
    <row r="84" spans="2:23">
      <c r="B84" s="114"/>
      <c r="C84" s="74"/>
      <c r="D84" s="74"/>
      <c r="E84" s="74"/>
      <c r="F84" s="114"/>
      <c r="G84" s="74"/>
      <c r="H84" s="74"/>
      <c r="I84" s="74"/>
      <c r="J84" s="114"/>
      <c r="K84" s="74"/>
      <c r="L84" s="74"/>
      <c r="M84" s="74"/>
      <c r="N84" s="114"/>
      <c r="O84" s="74"/>
      <c r="P84" s="74"/>
      <c r="Q84" s="74"/>
      <c r="R84" s="114"/>
      <c r="S84" s="129"/>
      <c r="T84" s="117"/>
      <c r="U84" s="117"/>
      <c r="V84" s="129"/>
      <c r="W84" s="114"/>
    </row>
    <row r="85" spans="2:23">
      <c r="B85" s="114">
        <v>11</v>
      </c>
      <c r="C85" s="74">
        <f t="shared" si="38"/>
        <v>11.25</v>
      </c>
      <c r="D85" s="74">
        <f t="shared" si="39"/>
        <v>11.5</v>
      </c>
      <c r="E85" s="74">
        <f t="shared" si="40"/>
        <v>11.75</v>
      </c>
      <c r="F85" s="114">
        <v>12</v>
      </c>
      <c r="G85" s="74">
        <f t="shared" si="41"/>
        <v>12.25</v>
      </c>
      <c r="H85" s="74">
        <f t="shared" si="42"/>
        <v>12.5</v>
      </c>
      <c r="I85" s="74">
        <f t="shared" si="43"/>
        <v>12.75</v>
      </c>
      <c r="J85" s="114">
        <f t="shared" si="44"/>
        <v>13</v>
      </c>
      <c r="K85" s="74">
        <f t="shared" si="45"/>
        <v>13.3125</v>
      </c>
      <c r="L85" s="74">
        <f t="shared" si="46"/>
        <v>13.625</v>
      </c>
      <c r="M85" s="74">
        <f t="shared" si="47"/>
        <v>13.9375</v>
      </c>
      <c r="N85" s="114">
        <f>SUM(F85,-B85,J85,0.25*ABS(J85-F85))</f>
        <v>14.25</v>
      </c>
      <c r="O85" s="74">
        <f t="shared" ref="O85:O92" si="51">SUM(0.25*(R85-N85),N85)</f>
        <v>14.9375</v>
      </c>
      <c r="P85" s="74">
        <f t="shared" ref="P85:P92" si="52">SUM(0.5*(R85-N85),N85)</f>
        <v>15.625</v>
      </c>
      <c r="Q85" s="74">
        <f t="shared" ref="Q85:Q92" si="53">SUM(0.75*(R85-N85),N85)</f>
        <v>16.3125</v>
      </c>
      <c r="R85" s="114">
        <v>17</v>
      </c>
      <c r="S85" s="129"/>
      <c r="T85" s="117">
        <f>SUM((CH20+CG19+CG18+CF17+CF16+CE15+CE14+CD13+CD12+CC11+CC10+CB9+CB8+BV4+BW5)*0.132,(CA7+BZ7+BY6+BX6)*0.132/2,17)</f>
        <v>18.905538461538463</v>
      </c>
      <c r="U85" s="117"/>
      <c r="V85" s="129"/>
      <c r="W85" s="114"/>
    </row>
    <row r="86" spans="2:23">
      <c r="B86" s="114">
        <v>12</v>
      </c>
      <c r="C86" s="74">
        <f t="shared" si="38"/>
        <v>12</v>
      </c>
      <c r="D86" s="74">
        <f t="shared" si="39"/>
        <v>12</v>
      </c>
      <c r="E86" s="74">
        <f t="shared" si="40"/>
        <v>12</v>
      </c>
      <c r="F86" s="114">
        <v>12</v>
      </c>
      <c r="G86" s="74">
        <f t="shared" si="41"/>
        <v>12</v>
      </c>
      <c r="H86" s="74">
        <f t="shared" si="42"/>
        <v>12</v>
      </c>
      <c r="I86" s="74">
        <f t="shared" si="43"/>
        <v>12</v>
      </c>
      <c r="J86" s="114">
        <f t="shared" si="44"/>
        <v>12</v>
      </c>
      <c r="K86" s="74">
        <f t="shared" si="45"/>
        <v>12.25</v>
      </c>
      <c r="L86" s="74">
        <f t="shared" si="46"/>
        <v>12.5</v>
      </c>
      <c r="M86" s="74">
        <f t="shared" si="47"/>
        <v>12.75</v>
      </c>
      <c r="N86" s="114">
        <f>SUM(F86,-B86,J86,0.25*ABS(J86-F86),0.2*(17-F86))</f>
        <v>13</v>
      </c>
      <c r="O86" s="74">
        <f t="shared" si="51"/>
        <v>14</v>
      </c>
      <c r="P86" s="74">
        <f t="shared" si="52"/>
        <v>15</v>
      </c>
      <c r="Q86" s="74">
        <f t="shared" si="53"/>
        <v>16</v>
      </c>
      <c r="R86" s="114">
        <v>17</v>
      </c>
      <c r="S86" s="129"/>
      <c r="T86" s="117">
        <f>SUM((CF20+CF19+CF18+CF17+CF16+CF15+CF14+CF13+CF12+CE11+CE10+CD9+CD8)*0.132,(CC7+CB7+CA6+BZ6+BY5+BX5+BW4+BV4)*0.132/2,17)</f>
        <v>19.367538461538462</v>
      </c>
      <c r="U86" s="117"/>
      <c r="V86" s="129"/>
      <c r="W86" s="114"/>
    </row>
    <row r="87" spans="2:23">
      <c r="B87" s="114">
        <v>13</v>
      </c>
      <c r="C87" s="74">
        <f t="shared" si="38"/>
        <v>12.75</v>
      </c>
      <c r="D87" s="74">
        <f t="shared" si="39"/>
        <v>12.5</v>
      </c>
      <c r="E87" s="74">
        <f t="shared" si="40"/>
        <v>12.25</v>
      </c>
      <c r="F87" s="114">
        <v>12</v>
      </c>
      <c r="G87" s="74">
        <f t="shared" si="41"/>
        <v>11.75</v>
      </c>
      <c r="H87" s="74">
        <f t="shared" si="42"/>
        <v>11.5</v>
      </c>
      <c r="I87" s="74">
        <f t="shared" si="43"/>
        <v>11.25</v>
      </c>
      <c r="J87" s="114">
        <f t="shared" si="44"/>
        <v>11</v>
      </c>
      <c r="K87" s="74">
        <f t="shared" si="45"/>
        <v>10.8125</v>
      </c>
      <c r="L87" s="74">
        <f t="shared" si="46"/>
        <v>10.625</v>
      </c>
      <c r="M87" s="74">
        <f t="shared" si="47"/>
        <v>10.4375</v>
      </c>
      <c r="N87" s="114">
        <f t="shared" ref="N87:N92" si="54">SUM(F87,-B87,J87,0.25*ABS(J87-F87))</f>
        <v>10.25</v>
      </c>
      <c r="O87" s="74">
        <f t="shared" si="51"/>
        <v>11.9375</v>
      </c>
      <c r="P87" s="74">
        <f t="shared" si="52"/>
        <v>13.625</v>
      </c>
      <c r="Q87" s="74">
        <f t="shared" si="53"/>
        <v>15.3125</v>
      </c>
      <c r="R87" s="114">
        <v>17</v>
      </c>
      <c r="S87" s="129"/>
      <c r="T87" s="117">
        <f>SUM((CD20+CE19+CE18+CF17+CF16+CG15+CG14+CH13+CH12+CI11+CI10+CH9+CH8)*0.132,(CG7+CF7+CE7+CD6+CC6+CB6+CA5+BZ5+BY5+BX4+BW4+BV4)*0.132/3,17)</f>
        <v>19.14753846153846</v>
      </c>
      <c r="U87" s="117"/>
      <c r="V87" s="129"/>
      <c r="W87" s="114"/>
    </row>
    <row r="88" spans="2:23">
      <c r="B88" s="114">
        <v>14</v>
      </c>
      <c r="C88" s="74">
        <f t="shared" si="38"/>
        <v>13.5</v>
      </c>
      <c r="D88" s="74">
        <f t="shared" si="39"/>
        <v>13</v>
      </c>
      <c r="E88" s="74">
        <f t="shared" si="40"/>
        <v>12.5</v>
      </c>
      <c r="F88" s="114">
        <v>12</v>
      </c>
      <c r="G88" s="74">
        <f t="shared" si="41"/>
        <v>11.5</v>
      </c>
      <c r="H88" s="74">
        <f t="shared" si="42"/>
        <v>11</v>
      </c>
      <c r="I88" s="74">
        <f t="shared" si="43"/>
        <v>10.5</v>
      </c>
      <c r="J88" s="114">
        <f t="shared" si="44"/>
        <v>10</v>
      </c>
      <c r="K88" s="74">
        <f t="shared" si="45"/>
        <v>9.625</v>
      </c>
      <c r="L88" s="74">
        <f t="shared" si="46"/>
        <v>9.25</v>
      </c>
      <c r="M88" s="74">
        <f t="shared" si="47"/>
        <v>8.875</v>
      </c>
      <c r="N88" s="114">
        <f t="shared" si="54"/>
        <v>8.5</v>
      </c>
      <c r="O88" s="74">
        <f t="shared" si="51"/>
        <v>10.625</v>
      </c>
      <c r="P88" s="74">
        <f t="shared" si="52"/>
        <v>12.75</v>
      </c>
      <c r="Q88" s="74">
        <f t="shared" si="53"/>
        <v>14.875</v>
      </c>
      <c r="R88" s="114">
        <v>17</v>
      </c>
      <c r="S88" s="129"/>
      <c r="T88" s="117">
        <f>SUM((CB20+CC19+CD18+CE17+CF16+CG15+CH14+CI13+CJ12+CK11+CK10+CL9+CL8)*0.132,(CK7+CJ7+CI7+CH7+CG6+CF6+CE6+CD6+CC5+CB5+CA5+BZ5+BY4+BX4+BW4+BV4)*0.132/4,17)</f>
        <v>19.664538461538459</v>
      </c>
      <c r="U88" s="117"/>
      <c r="V88" s="129"/>
      <c r="W88" s="114"/>
    </row>
    <row r="89" spans="2:23">
      <c r="B89" s="114">
        <v>15</v>
      </c>
      <c r="C89" s="74">
        <f t="shared" si="38"/>
        <v>14.25</v>
      </c>
      <c r="D89" s="74">
        <f t="shared" si="39"/>
        <v>13.5</v>
      </c>
      <c r="E89" s="74">
        <f t="shared" si="40"/>
        <v>12.75</v>
      </c>
      <c r="F89" s="114">
        <v>12</v>
      </c>
      <c r="G89" s="74">
        <f t="shared" si="41"/>
        <v>11.25</v>
      </c>
      <c r="H89" s="74">
        <f t="shared" si="42"/>
        <v>10.5</v>
      </c>
      <c r="I89" s="74">
        <f t="shared" si="43"/>
        <v>9.75</v>
      </c>
      <c r="J89" s="114">
        <f t="shared" si="44"/>
        <v>9</v>
      </c>
      <c r="K89" s="74">
        <f t="shared" si="45"/>
        <v>8.4375</v>
      </c>
      <c r="L89" s="74">
        <f t="shared" si="46"/>
        <v>7.875</v>
      </c>
      <c r="M89" s="74">
        <f t="shared" si="47"/>
        <v>7.3125</v>
      </c>
      <c r="N89" s="114">
        <f t="shared" si="54"/>
        <v>6.75</v>
      </c>
      <c r="O89" s="74">
        <f t="shared" si="51"/>
        <v>9.3125</v>
      </c>
      <c r="P89" s="74">
        <f t="shared" si="52"/>
        <v>11.875</v>
      </c>
      <c r="Q89" s="74">
        <f t="shared" si="53"/>
        <v>14.4375</v>
      </c>
      <c r="R89" s="114">
        <v>17</v>
      </c>
      <c r="S89" s="129"/>
      <c r="T89" s="117">
        <f>SUM((BZ20+CC18+CF16+CI14+CL12+CM11+CN10+CO9+CP8)*0.132,(CA19+CB19+CD17+CE17+CG15+CH15+CJ13+CK13)*0.132/2,(CO7+CN7+CM7+CL7+CK7+CJ6+CI6+CH6+CG6+CF6+CE5+CD5+CC5+CB5+CA5+BZ4+BY4+BX4+BW4+BV4)*0.132/5,17)</f>
        <v>19.473138461538461</v>
      </c>
      <c r="U89" s="117"/>
      <c r="V89" s="129"/>
      <c r="W89" s="114"/>
    </row>
    <row r="90" spans="2:23">
      <c r="B90" s="114">
        <v>16</v>
      </c>
      <c r="C90" s="74">
        <f t="shared" si="38"/>
        <v>15</v>
      </c>
      <c r="D90" s="74">
        <f t="shared" si="39"/>
        <v>14</v>
      </c>
      <c r="E90" s="74">
        <f t="shared" si="40"/>
        <v>13</v>
      </c>
      <c r="F90" s="114">
        <v>12</v>
      </c>
      <c r="G90" s="74">
        <f t="shared" si="41"/>
        <v>11</v>
      </c>
      <c r="H90" s="74">
        <f t="shared" si="42"/>
        <v>10</v>
      </c>
      <c r="I90" s="74">
        <f t="shared" si="43"/>
        <v>9</v>
      </c>
      <c r="J90" s="114">
        <f t="shared" si="44"/>
        <v>8</v>
      </c>
      <c r="K90" s="74">
        <f t="shared" si="45"/>
        <v>7.25</v>
      </c>
      <c r="L90" s="74">
        <f t="shared" si="46"/>
        <v>6.5</v>
      </c>
      <c r="M90" s="74">
        <f t="shared" si="47"/>
        <v>5.75</v>
      </c>
      <c r="N90" s="114">
        <f t="shared" si="54"/>
        <v>5</v>
      </c>
      <c r="O90" s="74">
        <f t="shared" si="51"/>
        <v>8</v>
      </c>
      <c r="P90" s="74">
        <f t="shared" si="52"/>
        <v>11</v>
      </c>
      <c r="Q90" s="74">
        <f t="shared" si="53"/>
        <v>14</v>
      </c>
      <c r="R90" s="114">
        <v>17</v>
      </c>
      <c r="S90" s="129"/>
      <c r="T90" s="117">
        <f>SUM((BX20+CT8+CQ10)*0.132,(BY19+BZ19+CA18+CB18+CC17+CD17+CE16+CF16+CG15+CH15+CI14+CJ14+CK13+CL13+CM12+CN12+CO11+CP11+CR9+CS9)*0.132/2,(CS7+CR7+CQ7+CP7+CO7+CN7+CM6+CL6+CK6+CJ6+CI6+CH6+CG5+CF5+CE5+CD5+CC5+CB5+CA4+BZ4+BY4+BX4+BW4+BV4)*0.132/6,17)</f>
        <v>19.14753846153846</v>
      </c>
      <c r="U90" s="117"/>
      <c r="V90" s="129"/>
      <c r="W90" s="114"/>
    </row>
    <row r="91" spans="2:23">
      <c r="B91" s="114">
        <v>17</v>
      </c>
      <c r="C91" s="74">
        <f t="shared" si="38"/>
        <v>15.75</v>
      </c>
      <c r="D91" s="74">
        <f t="shared" si="39"/>
        <v>14.5</v>
      </c>
      <c r="E91" s="74">
        <f t="shared" si="40"/>
        <v>13.25</v>
      </c>
      <c r="F91" s="114">
        <v>12</v>
      </c>
      <c r="G91" s="74">
        <f t="shared" si="41"/>
        <v>10.75</v>
      </c>
      <c r="H91" s="74">
        <f t="shared" si="42"/>
        <v>9.5</v>
      </c>
      <c r="I91" s="74">
        <f t="shared" si="43"/>
        <v>8.25</v>
      </c>
      <c r="J91" s="114">
        <f t="shared" si="44"/>
        <v>7</v>
      </c>
      <c r="K91" s="74">
        <f t="shared" si="45"/>
        <v>6.0625</v>
      </c>
      <c r="L91" s="74">
        <f t="shared" si="46"/>
        <v>5.125</v>
      </c>
      <c r="M91" s="74">
        <f t="shared" si="47"/>
        <v>4.1875</v>
      </c>
      <c r="N91" s="114">
        <f t="shared" si="54"/>
        <v>3.25</v>
      </c>
      <c r="O91" s="74">
        <f t="shared" si="51"/>
        <v>6.6875</v>
      </c>
      <c r="P91" s="74">
        <f t="shared" si="52"/>
        <v>10.125</v>
      </c>
      <c r="Q91" s="74">
        <f t="shared" si="53"/>
        <v>13.5625</v>
      </c>
      <c r="R91" s="114">
        <v>17</v>
      </c>
      <c r="S91" s="129"/>
      <c r="T91" s="117">
        <f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19.106681318681318</v>
      </c>
      <c r="U91" s="117"/>
      <c r="V91" s="129"/>
      <c r="W91" s="114"/>
    </row>
    <row r="92" spans="2:23">
      <c r="B92" s="114">
        <v>18</v>
      </c>
      <c r="C92" s="74">
        <f t="shared" si="38"/>
        <v>16.5</v>
      </c>
      <c r="D92" s="74">
        <f t="shared" si="39"/>
        <v>15</v>
      </c>
      <c r="E92" s="74">
        <f t="shared" si="40"/>
        <v>13.5</v>
      </c>
      <c r="F92" s="114">
        <v>12</v>
      </c>
      <c r="G92" s="74">
        <f t="shared" si="41"/>
        <v>10.5</v>
      </c>
      <c r="H92" s="74">
        <f t="shared" si="42"/>
        <v>9</v>
      </c>
      <c r="I92" s="74">
        <f t="shared" si="43"/>
        <v>7.5</v>
      </c>
      <c r="J92" s="114">
        <f t="shared" si="44"/>
        <v>6</v>
      </c>
      <c r="K92" s="74">
        <f t="shared" si="45"/>
        <v>4.875</v>
      </c>
      <c r="L92" s="74">
        <f t="shared" si="46"/>
        <v>3.75</v>
      </c>
      <c r="M92" s="74">
        <f t="shared" si="47"/>
        <v>2.625</v>
      </c>
      <c r="N92" s="114">
        <f t="shared" si="54"/>
        <v>1.5</v>
      </c>
      <c r="O92" s="74">
        <f t="shared" si="51"/>
        <v>5.375</v>
      </c>
      <c r="P92" s="74">
        <f t="shared" si="52"/>
        <v>9.25</v>
      </c>
      <c r="Q92" s="74">
        <f t="shared" si="53"/>
        <v>13.125</v>
      </c>
      <c r="R92" s="114">
        <v>17</v>
      </c>
      <c r="S92" s="129"/>
      <c r="T92" s="117">
        <f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18.83953846153846</v>
      </c>
      <c r="U92" s="117"/>
      <c r="V92" s="129"/>
      <c r="W92" s="114"/>
    </row>
    <row r="93" spans="2:23">
      <c r="B93" s="114"/>
      <c r="C93" s="74"/>
      <c r="D93" s="74"/>
      <c r="E93" s="74"/>
      <c r="F93" s="114"/>
      <c r="G93" s="74"/>
      <c r="H93" s="74"/>
      <c r="I93" s="74"/>
      <c r="J93" s="114"/>
      <c r="K93" s="74"/>
      <c r="L93" s="74"/>
      <c r="M93" s="74"/>
      <c r="N93" s="114"/>
      <c r="O93" s="74"/>
      <c r="P93" s="74"/>
      <c r="Q93" s="74"/>
      <c r="R93" s="114"/>
      <c r="S93" s="129"/>
      <c r="T93" s="117"/>
      <c r="U93" s="117"/>
      <c r="V93" s="129"/>
      <c r="W93" s="114"/>
    </row>
    <row r="94" spans="2:23">
      <c r="B94" s="114">
        <v>12</v>
      </c>
      <c r="C94" s="74">
        <f t="shared" si="38"/>
        <v>12.25</v>
      </c>
      <c r="D94" s="74">
        <f t="shared" si="39"/>
        <v>12.5</v>
      </c>
      <c r="E94" s="74">
        <f t="shared" si="40"/>
        <v>12.75</v>
      </c>
      <c r="F94" s="114">
        <v>13</v>
      </c>
      <c r="G94" s="74">
        <f t="shared" si="41"/>
        <v>13.25</v>
      </c>
      <c r="H94" s="74">
        <f t="shared" si="42"/>
        <v>13.5</v>
      </c>
      <c r="I94" s="74">
        <f t="shared" si="43"/>
        <v>13.75</v>
      </c>
      <c r="J94" s="114">
        <f t="shared" si="44"/>
        <v>14</v>
      </c>
      <c r="K94" s="74">
        <f t="shared" si="45"/>
        <v>14.3125</v>
      </c>
      <c r="L94" s="74">
        <f t="shared" si="46"/>
        <v>14.625</v>
      </c>
      <c r="M94" s="74">
        <f t="shared" si="47"/>
        <v>14.9375</v>
      </c>
      <c r="N94" s="114">
        <f>SUM(F94,-B94,J94,0.25*ABS(J94-F94))</f>
        <v>15.25</v>
      </c>
      <c r="O94" s="74">
        <f t="shared" ref="O94:O101" si="55">SUM(0.25*(R94-N94),N94)</f>
        <v>15.6875</v>
      </c>
      <c r="P94" s="74">
        <f t="shared" ref="P94:P101" si="56">SUM(0.5*(R94-N94),N94)</f>
        <v>16.125</v>
      </c>
      <c r="Q94" s="74">
        <f t="shared" ref="Q94:Q101" si="57">SUM(0.75*(R94-N94),N94)</f>
        <v>16.5625</v>
      </c>
      <c r="R94" s="114">
        <v>17</v>
      </c>
      <c r="S94" s="129"/>
      <c r="T94" s="117">
        <f>SUM((CF20+CE19+CE18+CD17+CD16+CC15+CC14+CB13+CB12+CA11+CA10+BZ9+BZ8+BY7+BX6+BW5+BV4)*0.132,17)</f>
        <v>19.367538461538462</v>
      </c>
      <c r="U94" s="117"/>
      <c r="V94" s="129"/>
      <c r="W94" s="114"/>
    </row>
    <row r="95" spans="2:23">
      <c r="B95" s="114">
        <v>13</v>
      </c>
      <c r="C95" s="74">
        <f t="shared" si="38"/>
        <v>13</v>
      </c>
      <c r="D95" s="74">
        <f t="shared" si="39"/>
        <v>13</v>
      </c>
      <c r="E95" s="74">
        <f t="shared" si="40"/>
        <v>13</v>
      </c>
      <c r="F95" s="114">
        <v>13</v>
      </c>
      <c r="G95" s="74">
        <f t="shared" si="41"/>
        <v>13</v>
      </c>
      <c r="H95" s="74">
        <f t="shared" si="42"/>
        <v>13</v>
      </c>
      <c r="I95" s="74">
        <f t="shared" si="43"/>
        <v>13</v>
      </c>
      <c r="J95" s="114">
        <f t="shared" si="44"/>
        <v>13</v>
      </c>
      <c r="K95" s="74">
        <f t="shared" si="45"/>
        <v>13.2</v>
      </c>
      <c r="L95" s="74">
        <f t="shared" si="46"/>
        <v>13.4</v>
      </c>
      <c r="M95" s="74">
        <f t="shared" si="47"/>
        <v>13.600000000000001</v>
      </c>
      <c r="N95" s="114">
        <f>SUM(F95,-B95,J95,0.25*ABS(J95-F95),0.2*(17-F95))</f>
        <v>13.8</v>
      </c>
      <c r="O95" s="74">
        <f t="shared" si="55"/>
        <v>14.600000000000001</v>
      </c>
      <c r="P95" s="74">
        <f t="shared" si="56"/>
        <v>15.4</v>
      </c>
      <c r="Q95" s="74">
        <f t="shared" si="57"/>
        <v>16.2</v>
      </c>
      <c r="R95" s="114">
        <v>17</v>
      </c>
      <c r="S95" s="129"/>
      <c r="T95" s="117">
        <f>SUM((CD20+CD19+CD18+CD17+CD16+CD15+CD14+CD13+CD12+CC11+CC10++CB9+CB8+BW5+BV4)*0.132,(CA7+BZ7+BY6+BX6)*0.132/2,17)</f>
        <v>19.697538461538461</v>
      </c>
      <c r="U95" s="117"/>
      <c r="V95" s="129"/>
      <c r="W95" s="114"/>
    </row>
    <row r="96" spans="2:23">
      <c r="B96" s="114">
        <v>14</v>
      </c>
      <c r="C96" s="74">
        <f t="shared" si="38"/>
        <v>13.75</v>
      </c>
      <c r="D96" s="74">
        <f t="shared" si="39"/>
        <v>13.5</v>
      </c>
      <c r="E96" s="74">
        <f t="shared" si="40"/>
        <v>13.25</v>
      </c>
      <c r="F96" s="114">
        <v>13</v>
      </c>
      <c r="G96" s="74">
        <f t="shared" si="41"/>
        <v>12.75</v>
      </c>
      <c r="H96" s="74">
        <f t="shared" si="42"/>
        <v>12.5</v>
      </c>
      <c r="I96" s="74">
        <f t="shared" si="43"/>
        <v>12.25</v>
      </c>
      <c r="J96" s="114">
        <f t="shared" si="44"/>
        <v>12</v>
      </c>
      <c r="K96" s="74">
        <f t="shared" si="45"/>
        <v>11.8125</v>
      </c>
      <c r="L96" s="74">
        <f t="shared" si="46"/>
        <v>11.625</v>
      </c>
      <c r="M96" s="74">
        <f t="shared" si="47"/>
        <v>11.4375</v>
      </c>
      <c r="N96" s="114">
        <f t="shared" ref="N96:N101" si="58">SUM(F96,-B96,J96,0.25*ABS(J96-F96))</f>
        <v>11.25</v>
      </c>
      <c r="O96" s="74">
        <f t="shared" si="55"/>
        <v>12.6875</v>
      </c>
      <c r="P96" s="74">
        <f t="shared" si="56"/>
        <v>14.125</v>
      </c>
      <c r="Q96" s="74">
        <f t="shared" si="57"/>
        <v>15.5625</v>
      </c>
      <c r="R96" s="114">
        <v>17</v>
      </c>
      <c r="S96" s="129"/>
      <c r="T96" s="117">
        <f>SUM((CB20+CC19+CC18+CD17+CD16+CE15+CE14+CF13+CF12+CG11+CG10+CF9+CF8)*0.132,(CE7+CD7+CC7+CB6+CA6+BZ6)*0.132/3,(BY5+BX5+BW4+BV4)*0.132/2,17)</f>
        <v>19.235538461538461</v>
      </c>
      <c r="U96" s="117"/>
      <c r="V96" s="129"/>
      <c r="W96" s="114"/>
    </row>
    <row r="97" spans="2:23">
      <c r="B97" s="114">
        <v>15</v>
      </c>
      <c r="C97" s="74">
        <f t="shared" si="38"/>
        <v>14.5</v>
      </c>
      <c r="D97" s="74">
        <f t="shared" si="39"/>
        <v>14</v>
      </c>
      <c r="E97" s="74">
        <f t="shared" si="40"/>
        <v>13.5</v>
      </c>
      <c r="F97" s="114">
        <v>13</v>
      </c>
      <c r="G97" s="74">
        <f t="shared" si="41"/>
        <v>12.5</v>
      </c>
      <c r="H97" s="74">
        <f t="shared" si="42"/>
        <v>12</v>
      </c>
      <c r="I97" s="74">
        <f t="shared" si="43"/>
        <v>11.5</v>
      </c>
      <c r="J97" s="114">
        <f t="shared" si="44"/>
        <v>11</v>
      </c>
      <c r="K97" s="74">
        <f t="shared" si="45"/>
        <v>10.625</v>
      </c>
      <c r="L97" s="74">
        <f t="shared" si="46"/>
        <v>10.25</v>
      </c>
      <c r="M97" s="74">
        <f t="shared" si="47"/>
        <v>9.875</v>
      </c>
      <c r="N97" s="114">
        <f t="shared" si="58"/>
        <v>9.5</v>
      </c>
      <c r="O97" s="74">
        <f t="shared" si="55"/>
        <v>11.375</v>
      </c>
      <c r="P97" s="74">
        <f t="shared" si="56"/>
        <v>13.25</v>
      </c>
      <c r="Q97" s="74">
        <f t="shared" si="57"/>
        <v>15.125</v>
      </c>
      <c r="R97" s="114">
        <v>17</v>
      </c>
      <c r="S97" s="129"/>
      <c r="T97" s="117">
        <f>SUM((BZ20+CA19+CB18+CC17+CD16+CE15+CF14+CG13+CH12+CI11+CI10+CJ9+CJ8)*0.132,(CI7+CH7+CG7+CF7+CE6+CD6+CC6+CB6)*0.132/4,(CA5+BZ5+BY5+BX4+BW4+BV4)*0.132/3,17)</f>
        <v>19.510538461538463</v>
      </c>
      <c r="U97" s="117"/>
      <c r="V97" s="129"/>
      <c r="W97" s="114"/>
    </row>
    <row r="98" spans="2:23">
      <c r="B98" s="114">
        <v>16</v>
      </c>
      <c r="C98" s="74">
        <f t="shared" si="38"/>
        <v>15.25</v>
      </c>
      <c r="D98" s="74">
        <f t="shared" si="39"/>
        <v>14.5</v>
      </c>
      <c r="E98" s="74">
        <f t="shared" si="40"/>
        <v>13.75</v>
      </c>
      <c r="F98" s="114">
        <v>13</v>
      </c>
      <c r="G98" s="74">
        <f t="shared" si="41"/>
        <v>12.25</v>
      </c>
      <c r="H98" s="74">
        <f t="shared" si="42"/>
        <v>11.5</v>
      </c>
      <c r="I98" s="74">
        <f t="shared" si="43"/>
        <v>10.75</v>
      </c>
      <c r="J98" s="114">
        <f t="shared" si="44"/>
        <v>10</v>
      </c>
      <c r="K98" s="74">
        <f t="shared" si="45"/>
        <v>9.4375</v>
      </c>
      <c r="L98" s="74">
        <f t="shared" si="46"/>
        <v>8.875</v>
      </c>
      <c r="M98" s="74">
        <f t="shared" si="47"/>
        <v>8.3125</v>
      </c>
      <c r="N98" s="114">
        <f t="shared" si="58"/>
        <v>7.75</v>
      </c>
      <c r="O98" s="74">
        <f t="shared" si="55"/>
        <v>10.0625</v>
      </c>
      <c r="P98" s="74">
        <f t="shared" si="56"/>
        <v>12.375</v>
      </c>
      <c r="Q98" s="74">
        <f t="shared" si="57"/>
        <v>14.6875</v>
      </c>
      <c r="R98" s="114">
        <v>17</v>
      </c>
      <c r="S98" s="129"/>
      <c r="T98" s="117">
        <f>SUM((BX20+CA18+CD16+CG14+CJ12+CK11+CL10+CM9+CN8)*0.132,(BY19+BZ19+CB17+CC17+CE15+CF15+CH13+CI13)*0.132/2,(CM7+CL7+CK7+CJ7+CI7+CH6+CG6+CF6+CE6+CD6)*0.132/5,(CC5+CB5+CA5+BZ5+BY4+BX4+BW4+BV4)*0.132/4,17)</f>
        <v>19.070538461538462</v>
      </c>
      <c r="U98" s="117"/>
      <c r="V98" s="129"/>
      <c r="W98" s="114"/>
    </row>
    <row r="99" spans="2:23">
      <c r="B99" s="114">
        <v>17</v>
      </c>
      <c r="C99" s="74">
        <f t="shared" si="38"/>
        <v>16</v>
      </c>
      <c r="D99" s="74">
        <f t="shared" si="39"/>
        <v>15</v>
      </c>
      <c r="E99" s="74">
        <f t="shared" si="40"/>
        <v>14</v>
      </c>
      <c r="F99" s="114">
        <v>13</v>
      </c>
      <c r="G99" s="74">
        <f t="shared" si="41"/>
        <v>12</v>
      </c>
      <c r="H99" s="74">
        <f t="shared" si="42"/>
        <v>11</v>
      </c>
      <c r="I99" s="74">
        <f t="shared" si="43"/>
        <v>10</v>
      </c>
      <c r="J99" s="114">
        <f t="shared" si="44"/>
        <v>9</v>
      </c>
      <c r="K99" s="74">
        <f t="shared" si="45"/>
        <v>8.25</v>
      </c>
      <c r="L99" s="74">
        <f t="shared" si="46"/>
        <v>7.5</v>
      </c>
      <c r="M99" s="74">
        <f t="shared" si="47"/>
        <v>6.75</v>
      </c>
      <c r="N99" s="114">
        <f t="shared" si="58"/>
        <v>6</v>
      </c>
      <c r="O99" s="74">
        <f t="shared" si="55"/>
        <v>8.75</v>
      </c>
      <c r="P99" s="74">
        <f t="shared" si="56"/>
        <v>11.5</v>
      </c>
      <c r="Q99" s="74">
        <f t="shared" si="57"/>
        <v>14.25</v>
      </c>
      <c r="R99" s="114">
        <v>17</v>
      </c>
      <c r="S99" s="129"/>
      <c r="T99" s="117">
        <f>SUM((BU20+BV20+BW19+BX19+BY18+BZ18+CA17+CB17+CC16+CD16+CE15+CF15+CG14+CH14+CI13+CJ13+CK12+CL12+CM11+CN11+CP9+CQ9)*0.132/2,(CO10+CR8)*0.132,(CQ7+CP7+CO7+CN7+CM7+CL7+CK6+CJ6+CI6+CH6+CG6+CF6)*0.132/6,(CE5+CD5+CC5+CB5+CA5+BZ4+BY4+BX4+BW4+BV4)*0.132/5,17)</f>
        <v>19.041938461538461</v>
      </c>
      <c r="U99" s="117"/>
      <c r="V99" s="129"/>
      <c r="W99" s="114"/>
    </row>
    <row r="100" spans="2:23">
      <c r="B100" s="114">
        <v>18</v>
      </c>
      <c r="C100" s="74">
        <f t="shared" si="38"/>
        <v>16.75</v>
      </c>
      <c r="D100" s="74">
        <f t="shared" si="39"/>
        <v>15.5</v>
      </c>
      <c r="E100" s="74">
        <f t="shared" si="40"/>
        <v>14.25</v>
      </c>
      <c r="F100" s="114">
        <v>13</v>
      </c>
      <c r="G100" s="74">
        <f t="shared" si="41"/>
        <v>11.75</v>
      </c>
      <c r="H100" s="74">
        <f t="shared" si="42"/>
        <v>10.5</v>
      </c>
      <c r="I100" s="74">
        <f t="shared" si="43"/>
        <v>9.25</v>
      </c>
      <c r="J100" s="114">
        <f t="shared" si="44"/>
        <v>8</v>
      </c>
      <c r="K100" s="74">
        <f t="shared" si="45"/>
        <v>7.0625</v>
      </c>
      <c r="L100" s="74">
        <f t="shared" si="46"/>
        <v>6.125</v>
      </c>
      <c r="M100" s="74">
        <f t="shared" si="47"/>
        <v>5.1875</v>
      </c>
      <c r="N100" s="114">
        <f t="shared" si="58"/>
        <v>4.25</v>
      </c>
      <c r="O100" s="74">
        <f t="shared" si="55"/>
        <v>7.4375</v>
      </c>
      <c r="P100" s="74">
        <f t="shared" si="56"/>
        <v>10.625</v>
      </c>
      <c r="Q100" s="74">
        <f t="shared" si="57"/>
        <v>13.8125</v>
      </c>
      <c r="R100" s="114">
        <v>17</v>
      </c>
      <c r="S100" s="129"/>
      <c r="T100" s="117">
        <f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18.603824175824176</v>
      </c>
      <c r="U100" s="117"/>
      <c r="V100" s="129"/>
      <c r="W100" s="114"/>
    </row>
    <row r="101" spans="2:23">
      <c r="B101" s="114">
        <v>19</v>
      </c>
      <c r="C101" s="74">
        <f t="shared" si="38"/>
        <v>17.5</v>
      </c>
      <c r="D101" s="74">
        <f t="shared" si="39"/>
        <v>16</v>
      </c>
      <c r="E101" s="74">
        <f t="shared" si="40"/>
        <v>14.5</v>
      </c>
      <c r="F101" s="114">
        <v>13</v>
      </c>
      <c r="G101" s="74">
        <f t="shared" si="41"/>
        <v>11.5</v>
      </c>
      <c r="H101" s="74">
        <f t="shared" si="42"/>
        <v>10</v>
      </c>
      <c r="I101" s="74">
        <f t="shared" si="43"/>
        <v>8.5</v>
      </c>
      <c r="J101" s="114">
        <f t="shared" si="44"/>
        <v>7</v>
      </c>
      <c r="K101" s="74">
        <f t="shared" si="45"/>
        <v>5.875</v>
      </c>
      <c r="L101" s="74">
        <f t="shared" si="46"/>
        <v>4.75</v>
      </c>
      <c r="M101" s="74">
        <f t="shared" si="47"/>
        <v>3.625</v>
      </c>
      <c r="N101" s="114">
        <f t="shared" si="58"/>
        <v>2.5</v>
      </c>
      <c r="O101" s="74">
        <f t="shared" si="55"/>
        <v>6.125</v>
      </c>
      <c r="P101" s="74">
        <f t="shared" si="56"/>
        <v>9.75</v>
      </c>
      <c r="Q101" s="74">
        <f t="shared" si="57"/>
        <v>13.375</v>
      </c>
      <c r="R101" s="114">
        <v>17</v>
      </c>
      <c r="S101" s="129"/>
      <c r="T101" s="117">
        <f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18.709895604395605</v>
      </c>
      <c r="U101" s="117"/>
      <c r="V101" s="129"/>
      <c r="W101" s="114"/>
    </row>
    <row r="102" spans="2:23">
      <c r="B102" s="114"/>
      <c r="C102" s="74"/>
      <c r="D102" s="74"/>
      <c r="E102" s="74"/>
      <c r="F102" s="114"/>
      <c r="G102" s="74"/>
      <c r="H102" s="74"/>
      <c r="I102" s="74"/>
      <c r="J102" s="114"/>
      <c r="K102" s="74"/>
      <c r="L102" s="74"/>
      <c r="M102" s="74"/>
      <c r="N102" s="114"/>
      <c r="O102" s="74"/>
      <c r="P102" s="74"/>
      <c r="Q102" s="74"/>
      <c r="R102" s="114"/>
      <c r="S102" s="129"/>
      <c r="T102" s="117"/>
      <c r="U102" s="117"/>
      <c r="V102" s="129"/>
      <c r="W102" s="114"/>
    </row>
    <row r="103" spans="2:23">
      <c r="B103" s="114">
        <v>13</v>
      </c>
      <c r="C103" s="74">
        <f t="shared" si="38"/>
        <v>13.25</v>
      </c>
      <c r="D103" s="74">
        <f t="shared" si="39"/>
        <v>13.5</v>
      </c>
      <c r="E103" s="74">
        <f t="shared" si="40"/>
        <v>13.75</v>
      </c>
      <c r="F103" s="114">
        <v>14</v>
      </c>
      <c r="G103" s="74">
        <f t="shared" si="41"/>
        <v>14.25</v>
      </c>
      <c r="H103" s="74">
        <f t="shared" si="42"/>
        <v>14.5</v>
      </c>
      <c r="I103" s="74">
        <f t="shared" si="43"/>
        <v>14.75</v>
      </c>
      <c r="J103" s="114">
        <f t="shared" si="44"/>
        <v>15</v>
      </c>
      <c r="K103" s="74">
        <f t="shared" si="45"/>
        <v>15.25</v>
      </c>
      <c r="L103" s="74">
        <f t="shared" si="46"/>
        <v>15.5</v>
      </c>
      <c r="M103" s="74">
        <f t="shared" si="47"/>
        <v>15.75</v>
      </c>
      <c r="N103" s="114">
        <f>SUM(J103,J103,-F103)</f>
        <v>16</v>
      </c>
      <c r="O103" s="74">
        <f t="shared" ref="O103:O111" si="59">SUM(0.25*(R103-N103),N103)</f>
        <v>16.25</v>
      </c>
      <c r="P103" s="74">
        <f t="shared" ref="P103:P111" si="60">SUM(0.5*(R103-N103),N103)</f>
        <v>16.5</v>
      </c>
      <c r="Q103" s="74">
        <f t="shared" ref="Q103:Q111" si="61">SUM(0.75*(R103-N103),N103)</f>
        <v>16.75</v>
      </c>
      <c r="R103" s="114">
        <v>17</v>
      </c>
      <c r="S103" s="129"/>
      <c r="T103" s="117">
        <f>SUM((CD20+CC19+CC18+CB17+CB16+CA15+CA14+BZ13+BZ12+BY11+BY10+BX9+BX8+BW7+BW6+BV5+BV4)*0.132,17)</f>
        <v>18.17953846153846</v>
      </c>
      <c r="U103" s="117"/>
      <c r="V103" s="129"/>
      <c r="W103" s="114"/>
    </row>
    <row r="104" spans="2:23">
      <c r="B104" s="114">
        <v>14</v>
      </c>
      <c r="C104" s="74">
        <f t="shared" si="38"/>
        <v>14</v>
      </c>
      <c r="D104" s="74">
        <f t="shared" si="39"/>
        <v>14</v>
      </c>
      <c r="E104" s="74">
        <f t="shared" si="40"/>
        <v>14</v>
      </c>
      <c r="F104" s="114">
        <v>14</v>
      </c>
      <c r="G104" s="74">
        <f t="shared" si="41"/>
        <v>14</v>
      </c>
      <c r="H104" s="74">
        <f t="shared" si="42"/>
        <v>14</v>
      </c>
      <c r="I104" s="74">
        <f t="shared" si="43"/>
        <v>14</v>
      </c>
      <c r="J104" s="114">
        <f t="shared" si="44"/>
        <v>14</v>
      </c>
      <c r="K104" s="74">
        <f t="shared" si="45"/>
        <v>14.15</v>
      </c>
      <c r="L104" s="74">
        <f t="shared" si="46"/>
        <v>14.3</v>
      </c>
      <c r="M104" s="74">
        <f t="shared" si="47"/>
        <v>14.45</v>
      </c>
      <c r="N104" s="114">
        <f>SUM(F104,-B104,J104,0.25*ABS(J104-F104),0.2*(17-F104))</f>
        <v>14.6</v>
      </c>
      <c r="O104" s="74">
        <f t="shared" si="59"/>
        <v>15.2</v>
      </c>
      <c r="P104" s="74">
        <f t="shared" si="60"/>
        <v>15.8</v>
      </c>
      <c r="Q104" s="74">
        <f t="shared" si="61"/>
        <v>16.399999999999999</v>
      </c>
      <c r="R104" s="114">
        <v>17</v>
      </c>
      <c r="S104" s="129"/>
      <c r="T104" s="117">
        <f>SUM((CB20+CB19+CB18+CB17+CB16+CB15+CB14+CB13+CB12+CA11+CA10+BZ9+BZ8+BY7+BX6+BW5+BV4)*0.132,17)</f>
        <v>19.631538461538462</v>
      </c>
      <c r="U104" s="117"/>
      <c r="V104" s="129"/>
      <c r="W104" s="114"/>
    </row>
    <row r="105" spans="2:23">
      <c r="B105" s="114">
        <v>15</v>
      </c>
      <c r="C105" s="74">
        <f t="shared" si="38"/>
        <v>14.75</v>
      </c>
      <c r="D105" s="74">
        <f t="shared" si="39"/>
        <v>14.5</v>
      </c>
      <c r="E105" s="74">
        <f t="shared" si="40"/>
        <v>14.25</v>
      </c>
      <c r="F105" s="114">
        <v>14</v>
      </c>
      <c r="G105" s="74">
        <f t="shared" si="41"/>
        <v>13.75</v>
      </c>
      <c r="H105" s="74">
        <f t="shared" si="42"/>
        <v>13.5</v>
      </c>
      <c r="I105" s="74">
        <f t="shared" si="43"/>
        <v>13.25</v>
      </c>
      <c r="J105" s="114">
        <f t="shared" si="44"/>
        <v>13</v>
      </c>
      <c r="K105" s="74">
        <f t="shared" si="45"/>
        <v>12.8125</v>
      </c>
      <c r="L105" s="74">
        <f t="shared" si="46"/>
        <v>12.625</v>
      </c>
      <c r="M105" s="74">
        <f t="shared" si="47"/>
        <v>12.4375</v>
      </c>
      <c r="N105" s="114">
        <f t="shared" ref="N105:N111" si="62">SUM(F105,-B105,J105,0.25*ABS(J105-F105))</f>
        <v>12.25</v>
      </c>
      <c r="O105" s="74">
        <f t="shared" si="59"/>
        <v>13.4375</v>
      </c>
      <c r="P105" s="74">
        <f t="shared" si="60"/>
        <v>14.625</v>
      </c>
      <c r="Q105" s="74">
        <f t="shared" si="61"/>
        <v>15.8125</v>
      </c>
      <c r="R105" s="114">
        <v>17</v>
      </c>
      <c r="S105" s="129"/>
      <c r="T105" s="117">
        <f>SUM((BZ20+CA19+CA18+CB17+CB16+CC15+CC14+CD13+CD12+CE11+CE10+CD9+CD8)*0.132,(CC7+CB7+CA6+BZ6+BY5+BX5+BW4+BV4)*0.132/2,17)</f>
        <v>19.235538461538461</v>
      </c>
      <c r="U105" s="117"/>
      <c r="V105" s="129"/>
      <c r="W105" s="114"/>
    </row>
    <row r="106" spans="2:23">
      <c r="B106" s="114">
        <v>16</v>
      </c>
      <c r="C106" s="74">
        <f t="shared" si="38"/>
        <v>15.5</v>
      </c>
      <c r="D106" s="74">
        <f t="shared" si="39"/>
        <v>15</v>
      </c>
      <c r="E106" s="74">
        <f t="shared" si="40"/>
        <v>14.5</v>
      </c>
      <c r="F106" s="114">
        <v>14</v>
      </c>
      <c r="G106" s="74">
        <f t="shared" si="41"/>
        <v>13.5</v>
      </c>
      <c r="H106" s="74">
        <f t="shared" si="42"/>
        <v>13</v>
      </c>
      <c r="I106" s="74">
        <f t="shared" si="43"/>
        <v>12.5</v>
      </c>
      <c r="J106" s="114">
        <f t="shared" si="44"/>
        <v>12</v>
      </c>
      <c r="K106" s="74">
        <f t="shared" si="45"/>
        <v>11.625</v>
      </c>
      <c r="L106" s="74">
        <f t="shared" si="46"/>
        <v>11.25</v>
      </c>
      <c r="M106" s="74">
        <f t="shared" si="47"/>
        <v>10.875</v>
      </c>
      <c r="N106" s="114">
        <f t="shared" si="62"/>
        <v>10.5</v>
      </c>
      <c r="O106" s="74">
        <f t="shared" si="59"/>
        <v>12.125</v>
      </c>
      <c r="P106" s="74">
        <f t="shared" si="60"/>
        <v>13.75</v>
      </c>
      <c r="Q106" s="74">
        <f t="shared" si="61"/>
        <v>15.375</v>
      </c>
      <c r="R106" s="114">
        <v>17</v>
      </c>
      <c r="S106" s="129"/>
      <c r="T106" s="117">
        <f>SUM((BX20+BY19+BZ18+CA17+CB16+CC15+CD14+CE13+CF12+CG11+CG10+CH9+CH8)*0.132,(CG7+CF7+CE7+CD6+CC6+CB6+CA5+BZ5+BY5+BX4+BW4+BV4)*0.132/3,17)</f>
        <v>19.279538461538461</v>
      </c>
      <c r="U106" s="117"/>
      <c r="V106" s="129"/>
      <c r="W106" s="114"/>
    </row>
    <row r="107" spans="2:23">
      <c r="B107" s="114">
        <v>17</v>
      </c>
      <c r="C107" s="74">
        <f t="shared" si="38"/>
        <v>16.25</v>
      </c>
      <c r="D107" s="74">
        <f t="shared" si="39"/>
        <v>15.5</v>
      </c>
      <c r="E107" s="74">
        <f t="shared" si="40"/>
        <v>14.75</v>
      </c>
      <c r="F107" s="114">
        <v>14</v>
      </c>
      <c r="G107" s="74">
        <f t="shared" si="41"/>
        <v>13.25</v>
      </c>
      <c r="H107" s="74">
        <f t="shared" si="42"/>
        <v>12.5</v>
      </c>
      <c r="I107" s="74">
        <f t="shared" si="43"/>
        <v>11.75</v>
      </c>
      <c r="J107" s="114">
        <f t="shared" si="44"/>
        <v>11</v>
      </c>
      <c r="K107" s="74">
        <f t="shared" si="45"/>
        <v>10.4375</v>
      </c>
      <c r="L107" s="74">
        <f t="shared" si="46"/>
        <v>9.875</v>
      </c>
      <c r="M107" s="74">
        <f t="shared" si="47"/>
        <v>9.3125</v>
      </c>
      <c r="N107" s="114">
        <f t="shared" si="62"/>
        <v>8.75</v>
      </c>
      <c r="O107" s="74">
        <f t="shared" si="59"/>
        <v>10.8125</v>
      </c>
      <c r="P107" s="74">
        <f t="shared" si="60"/>
        <v>12.875</v>
      </c>
      <c r="Q107" s="74">
        <f t="shared" si="61"/>
        <v>14.9375</v>
      </c>
      <c r="R107" s="114">
        <v>17</v>
      </c>
      <c r="S107" s="129"/>
      <c r="T107" s="117">
        <f>SUM((BV20+BY18+CB16+CE14+CH12+CI11+CJ10+CK9+CL8)*0.132,(BW19+BX19+BZ17+CA17+CC15+CD15+CF13+CG13)*0.132/2,(CK7+CJ7+CI7+CH7+CG6+CF6+CE6+CD6+CC5+CB5+CA5+BZ5+BY4+BX4+BW4+BV4)*0.132/4,17)</f>
        <v>19.004538461538459</v>
      </c>
      <c r="U107" s="117"/>
      <c r="V107" s="129"/>
      <c r="W107" s="114"/>
    </row>
    <row r="108" spans="2:23">
      <c r="B108" s="114">
        <v>18</v>
      </c>
      <c r="C108" s="74">
        <f t="shared" si="38"/>
        <v>17</v>
      </c>
      <c r="D108" s="74">
        <f t="shared" si="39"/>
        <v>16</v>
      </c>
      <c r="E108" s="74">
        <f t="shared" si="40"/>
        <v>15</v>
      </c>
      <c r="F108" s="114">
        <v>14</v>
      </c>
      <c r="G108" s="74">
        <f t="shared" si="41"/>
        <v>13</v>
      </c>
      <c r="H108" s="74">
        <f t="shared" si="42"/>
        <v>12</v>
      </c>
      <c r="I108" s="74">
        <f t="shared" si="43"/>
        <v>11</v>
      </c>
      <c r="J108" s="114">
        <f t="shared" si="44"/>
        <v>10</v>
      </c>
      <c r="K108" s="74">
        <f t="shared" si="45"/>
        <v>9.25</v>
      </c>
      <c r="L108" s="74">
        <f t="shared" si="46"/>
        <v>8.5</v>
      </c>
      <c r="M108" s="74">
        <f t="shared" si="47"/>
        <v>7.75</v>
      </c>
      <c r="N108" s="114">
        <f t="shared" si="62"/>
        <v>7</v>
      </c>
      <c r="O108" s="74">
        <f t="shared" si="59"/>
        <v>9.5</v>
      </c>
      <c r="P108" s="74">
        <f t="shared" si="60"/>
        <v>12</v>
      </c>
      <c r="Q108" s="74">
        <f t="shared" si="61"/>
        <v>14.5</v>
      </c>
      <c r="R108" s="114">
        <v>17</v>
      </c>
      <c r="S108" s="129"/>
      <c r="T108" s="117">
        <f>SUM((BT20+CM10+CP8)*0.132,(BU19+BV19+BW18+BX18+BY17+BZ17+CA16+CB16+CC15+CD15+CE14+CF14+CG13+CH13+CI12+CJ12+CK11+CL11+CN9+CO9)*0.132/2,(CO7+CN7+CM7+CL7+CK7+CJ6+CI6+CH6+CG6+CF6+CE5+CD5+CC5+CB5+CA5+BZ4+BY4+BX4+BW4+BV4)*0.132/5,17)</f>
        <v>18.549138461538462</v>
      </c>
      <c r="U108" s="117"/>
      <c r="V108" s="129"/>
      <c r="W108" s="114"/>
    </row>
    <row r="109" spans="2:23">
      <c r="B109" s="114">
        <v>19</v>
      </c>
      <c r="C109" s="74">
        <f t="shared" si="38"/>
        <v>17.75</v>
      </c>
      <c r="D109" s="74">
        <f t="shared" si="39"/>
        <v>16.5</v>
      </c>
      <c r="E109" s="74">
        <f t="shared" si="40"/>
        <v>15.25</v>
      </c>
      <c r="F109" s="114">
        <v>14</v>
      </c>
      <c r="G109" s="74">
        <f t="shared" si="41"/>
        <v>12.75</v>
      </c>
      <c r="H109" s="74">
        <f t="shared" si="42"/>
        <v>11.5</v>
      </c>
      <c r="I109" s="74">
        <f t="shared" si="43"/>
        <v>10.25</v>
      </c>
      <c r="J109" s="114">
        <f t="shared" si="44"/>
        <v>9</v>
      </c>
      <c r="K109" s="74">
        <f t="shared" si="45"/>
        <v>8.0625</v>
      </c>
      <c r="L109" s="74">
        <f t="shared" si="46"/>
        <v>7.125</v>
      </c>
      <c r="M109" s="74">
        <f t="shared" si="47"/>
        <v>6.1875</v>
      </c>
      <c r="N109" s="114">
        <f t="shared" si="62"/>
        <v>5.25</v>
      </c>
      <c r="O109" s="74">
        <f t="shared" si="59"/>
        <v>8.1875</v>
      </c>
      <c r="P109" s="74">
        <f t="shared" si="60"/>
        <v>11.125</v>
      </c>
      <c r="Q109" s="74">
        <f t="shared" si="61"/>
        <v>14.0625</v>
      </c>
      <c r="R109" s="114">
        <v>17</v>
      </c>
      <c r="S109" s="129"/>
      <c r="T109" s="117">
        <f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18.575538461538461</v>
      </c>
      <c r="U109" s="117"/>
      <c r="V109" s="129"/>
      <c r="W109" s="114"/>
    </row>
    <row r="110" spans="2:23">
      <c r="B110" s="114">
        <v>20</v>
      </c>
      <c r="C110" s="74">
        <f t="shared" si="38"/>
        <v>18.5</v>
      </c>
      <c r="D110" s="74">
        <f t="shared" si="39"/>
        <v>17</v>
      </c>
      <c r="E110" s="74">
        <f t="shared" si="40"/>
        <v>15.5</v>
      </c>
      <c r="F110" s="114">
        <v>14</v>
      </c>
      <c r="G110" s="74">
        <f t="shared" si="41"/>
        <v>12.5</v>
      </c>
      <c r="H110" s="74">
        <f t="shared" si="42"/>
        <v>11</v>
      </c>
      <c r="I110" s="74">
        <f t="shared" si="43"/>
        <v>9.5</v>
      </c>
      <c r="J110" s="114">
        <f t="shared" si="44"/>
        <v>8</v>
      </c>
      <c r="K110" s="74">
        <f t="shared" si="45"/>
        <v>6.875</v>
      </c>
      <c r="L110" s="74">
        <f t="shared" si="46"/>
        <v>5.75</v>
      </c>
      <c r="M110" s="74">
        <f t="shared" si="47"/>
        <v>4.625</v>
      </c>
      <c r="N110" s="114">
        <f t="shared" si="62"/>
        <v>3.5</v>
      </c>
      <c r="O110" s="74">
        <f t="shared" si="59"/>
        <v>6.875</v>
      </c>
      <c r="P110" s="74">
        <f t="shared" si="60"/>
        <v>10.25</v>
      </c>
      <c r="Q110" s="74">
        <f t="shared" si="61"/>
        <v>13.625</v>
      </c>
      <c r="R110" s="114">
        <v>17</v>
      </c>
      <c r="S110" s="129"/>
      <c r="T110" s="117">
        <f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18.292681318681318</v>
      </c>
      <c r="U110" s="117"/>
      <c r="V110" s="129"/>
      <c r="W110" s="114"/>
    </row>
    <row r="111" spans="2:23">
      <c r="B111" s="114">
        <v>21</v>
      </c>
      <c r="C111" s="74">
        <f t="shared" si="38"/>
        <v>19.25</v>
      </c>
      <c r="D111" s="74">
        <f t="shared" si="39"/>
        <v>17.5</v>
      </c>
      <c r="E111" s="74">
        <f t="shared" si="40"/>
        <v>15.75</v>
      </c>
      <c r="F111" s="114">
        <v>14</v>
      </c>
      <c r="G111" s="74">
        <f t="shared" si="41"/>
        <v>12.25</v>
      </c>
      <c r="H111" s="74">
        <f t="shared" si="42"/>
        <v>10.5</v>
      </c>
      <c r="I111" s="74">
        <f t="shared" si="43"/>
        <v>8.75</v>
      </c>
      <c r="J111" s="114">
        <f t="shared" si="44"/>
        <v>7</v>
      </c>
      <c r="K111" s="74">
        <f t="shared" si="45"/>
        <v>5.6875</v>
      </c>
      <c r="L111" s="74">
        <f t="shared" si="46"/>
        <v>4.375</v>
      </c>
      <c r="M111" s="74">
        <f t="shared" si="47"/>
        <v>3.0625</v>
      </c>
      <c r="N111" s="114">
        <f t="shared" si="62"/>
        <v>1.75</v>
      </c>
      <c r="O111" s="74">
        <f t="shared" si="59"/>
        <v>5.5625</v>
      </c>
      <c r="P111" s="74">
        <f t="shared" si="60"/>
        <v>9.375</v>
      </c>
      <c r="Q111" s="74">
        <f t="shared" si="61"/>
        <v>13.1875</v>
      </c>
      <c r="R111" s="114">
        <v>17</v>
      </c>
      <c r="S111" s="129"/>
      <c r="T111" s="117">
        <f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18.43253846153846</v>
      </c>
      <c r="U111" s="117"/>
      <c r="V111" s="129"/>
      <c r="W111" s="114"/>
    </row>
    <row r="112" spans="2:23">
      <c r="B112" s="114"/>
      <c r="C112" s="74"/>
      <c r="D112" s="74"/>
      <c r="E112" s="74"/>
      <c r="F112" s="114"/>
      <c r="G112" s="74"/>
      <c r="H112" s="74"/>
      <c r="I112" s="74"/>
      <c r="J112" s="114"/>
      <c r="K112" s="74"/>
      <c r="L112" s="74"/>
      <c r="M112" s="74"/>
      <c r="N112" s="114"/>
      <c r="O112" s="74"/>
      <c r="P112" s="74"/>
      <c r="Q112" s="74"/>
      <c r="R112" s="114"/>
      <c r="S112" s="129"/>
      <c r="T112" s="117"/>
      <c r="U112" s="117"/>
      <c r="V112" s="129"/>
      <c r="W112" s="114"/>
    </row>
    <row r="113" spans="2:23">
      <c r="B113" s="114">
        <v>15</v>
      </c>
      <c r="C113" s="74">
        <f t="shared" si="38"/>
        <v>15</v>
      </c>
      <c r="D113" s="74">
        <f t="shared" si="39"/>
        <v>15</v>
      </c>
      <c r="E113" s="74">
        <f t="shared" si="40"/>
        <v>15</v>
      </c>
      <c r="F113" s="114">
        <v>15</v>
      </c>
      <c r="G113" s="74">
        <f t="shared" si="41"/>
        <v>15</v>
      </c>
      <c r="H113" s="74">
        <f t="shared" si="42"/>
        <v>15</v>
      </c>
      <c r="I113" s="74">
        <f t="shared" si="43"/>
        <v>15</v>
      </c>
      <c r="J113" s="114">
        <f t="shared" si="44"/>
        <v>15</v>
      </c>
      <c r="K113" s="74">
        <f t="shared" si="45"/>
        <v>15.1</v>
      </c>
      <c r="L113" s="74">
        <f t="shared" si="46"/>
        <v>15.2</v>
      </c>
      <c r="M113" s="74">
        <f t="shared" si="47"/>
        <v>15.3</v>
      </c>
      <c r="N113" s="114">
        <f>SUM(F113,-B113,J113,0.25*ABS(J113-F113),0.2*(17-F113))</f>
        <v>15.4</v>
      </c>
      <c r="O113" s="74">
        <f t="shared" ref="O113:O121" si="63">SUM(0.25*(R113-N113),N113)</f>
        <v>15.8</v>
      </c>
      <c r="P113" s="74">
        <f t="shared" ref="P113:P121" si="64">SUM(0.5*(R113-N113),N113)</f>
        <v>16.2</v>
      </c>
      <c r="Q113" s="74">
        <f t="shared" ref="Q113:Q121" si="65">SUM(0.75*(R113-N113),N113)</f>
        <v>16.600000000000001</v>
      </c>
      <c r="R113" s="114">
        <v>17</v>
      </c>
      <c r="S113" s="129"/>
      <c r="T113" s="117">
        <f>SUM((BZ20+BZ19+BZ18+BZ17+BZ16+BZ15+BZ14+BZ13+BZ12+BZ11+BZ10+BZ9+BY8+BX6+BW5+BV4+BY7)*0.132,17)</f>
        <v>18.707538461538462</v>
      </c>
      <c r="U113" s="117"/>
      <c r="V113" s="129"/>
      <c r="W113" s="114"/>
    </row>
    <row r="114" spans="2:23">
      <c r="B114" s="114">
        <v>16</v>
      </c>
      <c r="C114" s="74">
        <f t="shared" si="38"/>
        <v>15.75</v>
      </c>
      <c r="D114" s="74">
        <f t="shared" si="39"/>
        <v>15.5</v>
      </c>
      <c r="E114" s="74">
        <f t="shared" si="40"/>
        <v>15.25</v>
      </c>
      <c r="F114" s="114">
        <v>15</v>
      </c>
      <c r="G114" s="74">
        <f t="shared" si="41"/>
        <v>14.75</v>
      </c>
      <c r="H114" s="74">
        <f t="shared" si="42"/>
        <v>14.5</v>
      </c>
      <c r="I114" s="74">
        <f t="shared" si="43"/>
        <v>14.25</v>
      </c>
      <c r="J114" s="114">
        <f t="shared" si="44"/>
        <v>14</v>
      </c>
      <c r="K114" s="74">
        <f t="shared" si="45"/>
        <v>13.8125</v>
      </c>
      <c r="L114" s="74">
        <f t="shared" si="46"/>
        <v>13.625</v>
      </c>
      <c r="M114" s="74">
        <f t="shared" si="47"/>
        <v>13.4375</v>
      </c>
      <c r="N114" s="114">
        <f t="shared" ref="N114:N121" si="66">SUM(F114,-B114,J114,0.25*ABS(J114-F114))</f>
        <v>13.25</v>
      </c>
      <c r="O114" s="74">
        <f t="shared" si="63"/>
        <v>14.1875</v>
      </c>
      <c r="P114" s="74">
        <f t="shared" si="64"/>
        <v>15.125</v>
      </c>
      <c r="Q114" s="74">
        <f t="shared" si="65"/>
        <v>16.0625</v>
      </c>
      <c r="R114" s="114">
        <v>17</v>
      </c>
      <c r="S114" s="129"/>
      <c r="T114" s="117">
        <f>SUM((BX20+BY19+BY18+BZ17+BZ16+CA15+CA14+CB13+CB12+CC11+CC10+CB9+CB8+BW5+BV4)*0.132,(CA7+BZ7+BY6+BX6)*0.132/2,17)</f>
        <v>19.30153846153846</v>
      </c>
      <c r="U114" s="117"/>
      <c r="V114" s="129"/>
      <c r="W114" s="114"/>
    </row>
    <row r="115" spans="2:23">
      <c r="B115" s="114">
        <v>17</v>
      </c>
      <c r="C115" s="74">
        <f t="shared" si="38"/>
        <v>16.5</v>
      </c>
      <c r="D115" s="74">
        <f t="shared" si="39"/>
        <v>16</v>
      </c>
      <c r="E115" s="74">
        <f t="shared" si="40"/>
        <v>15.5</v>
      </c>
      <c r="F115" s="114">
        <v>15</v>
      </c>
      <c r="G115" s="74">
        <f t="shared" si="41"/>
        <v>14.5</v>
      </c>
      <c r="H115" s="74">
        <f t="shared" si="42"/>
        <v>14</v>
      </c>
      <c r="I115" s="74">
        <f t="shared" si="43"/>
        <v>13.5</v>
      </c>
      <c r="J115" s="114">
        <f t="shared" si="44"/>
        <v>13</v>
      </c>
      <c r="K115" s="74">
        <f t="shared" si="45"/>
        <v>12.625</v>
      </c>
      <c r="L115" s="74">
        <f t="shared" si="46"/>
        <v>12.25</v>
      </c>
      <c r="M115" s="74">
        <f t="shared" si="47"/>
        <v>11.875</v>
      </c>
      <c r="N115" s="114">
        <f t="shared" si="66"/>
        <v>11.5</v>
      </c>
      <c r="O115" s="74">
        <f t="shared" si="63"/>
        <v>12.875</v>
      </c>
      <c r="P115" s="74">
        <f t="shared" si="64"/>
        <v>14.25</v>
      </c>
      <c r="Q115" s="74">
        <f t="shared" si="65"/>
        <v>15.625</v>
      </c>
      <c r="R115" s="114">
        <v>17</v>
      </c>
      <c r="S115" s="129"/>
      <c r="T115" s="117">
        <f>SUM((BV20+BW19+BX18+BY17+BZ16+CA15+CB14+CC13+CD12+CE11+CE10+CF9+CF8)*0.132,(CE7+CD7+CC7+CB6+CA6+BZ6)*0.132/3,(BY5+BX5+BW4+BV4)*0.132/2,17)</f>
        <v>19.367538461538462</v>
      </c>
      <c r="U115" s="117"/>
      <c r="V115" s="129"/>
      <c r="W115" s="114"/>
    </row>
    <row r="116" spans="2:23">
      <c r="B116" s="114">
        <v>18</v>
      </c>
      <c r="C116" s="74">
        <f t="shared" si="38"/>
        <v>17.25</v>
      </c>
      <c r="D116" s="74">
        <f t="shared" si="39"/>
        <v>16.5</v>
      </c>
      <c r="E116" s="74">
        <f t="shared" si="40"/>
        <v>15.75</v>
      </c>
      <c r="F116" s="114">
        <v>15</v>
      </c>
      <c r="G116" s="74">
        <f t="shared" si="41"/>
        <v>14.25</v>
      </c>
      <c r="H116" s="74">
        <f t="shared" si="42"/>
        <v>13.5</v>
      </c>
      <c r="I116" s="74">
        <f t="shared" si="43"/>
        <v>12.75</v>
      </c>
      <c r="J116" s="114">
        <f t="shared" si="44"/>
        <v>12</v>
      </c>
      <c r="K116" s="74">
        <f t="shared" si="45"/>
        <v>11.4375</v>
      </c>
      <c r="L116" s="74">
        <f t="shared" si="46"/>
        <v>10.875</v>
      </c>
      <c r="M116" s="74">
        <f t="shared" si="47"/>
        <v>10.3125</v>
      </c>
      <c r="N116" s="114">
        <f t="shared" si="66"/>
        <v>9.75</v>
      </c>
      <c r="O116" s="74">
        <f t="shared" si="63"/>
        <v>11.5625</v>
      </c>
      <c r="P116" s="74">
        <f t="shared" si="64"/>
        <v>13.375</v>
      </c>
      <c r="Q116" s="74">
        <f t="shared" si="65"/>
        <v>15.1875</v>
      </c>
      <c r="R116" s="114">
        <v>17</v>
      </c>
      <c r="S116" s="129"/>
      <c r="T116" s="117">
        <f>SUM((BT20+BW18+BZ16+CC14+CF12+CG11+CH10+CI9+CJ8)*0.132,(BU19+BV19+BX17+BY17+CA15+CB15+CD13+CE13)*0.132/2,(CI7+CH7+CG7+CF7+CE6+CD6+CC6+CB6)*0.132/4,(CA5+BZ5+BY5+BX4+BW4+BV4)*0.132/3,17)</f>
        <v>18.78453846153846</v>
      </c>
      <c r="U116" s="117"/>
      <c r="V116" s="129"/>
      <c r="W116" s="114"/>
    </row>
    <row r="117" spans="2:23">
      <c r="B117" s="114">
        <v>19</v>
      </c>
      <c r="C117" s="74">
        <f t="shared" si="38"/>
        <v>18</v>
      </c>
      <c r="D117" s="74">
        <f t="shared" si="39"/>
        <v>17</v>
      </c>
      <c r="E117" s="74">
        <f t="shared" si="40"/>
        <v>16</v>
      </c>
      <c r="F117" s="114">
        <v>15</v>
      </c>
      <c r="G117" s="74">
        <f t="shared" si="41"/>
        <v>14</v>
      </c>
      <c r="H117" s="74">
        <f t="shared" si="42"/>
        <v>13</v>
      </c>
      <c r="I117" s="74">
        <f t="shared" si="43"/>
        <v>12</v>
      </c>
      <c r="J117" s="114">
        <f t="shared" si="44"/>
        <v>11</v>
      </c>
      <c r="K117" s="74">
        <f t="shared" si="45"/>
        <v>10.25</v>
      </c>
      <c r="L117" s="74">
        <f t="shared" si="46"/>
        <v>9.5</v>
      </c>
      <c r="M117" s="74">
        <f t="shared" si="47"/>
        <v>8.75</v>
      </c>
      <c r="N117" s="114">
        <f t="shared" si="66"/>
        <v>8</v>
      </c>
      <c r="O117" s="74">
        <f t="shared" si="63"/>
        <v>10.25</v>
      </c>
      <c r="P117" s="74">
        <f t="shared" si="64"/>
        <v>12.5</v>
      </c>
      <c r="Q117" s="74">
        <f t="shared" si="65"/>
        <v>14.75</v>
      </c>
      <c r="R117" s="114">
        <v>17</v>
      </c>
      <c r="S117" s="129"/>
      <c r="T117" s="117">
        <f>SUM((BR20+CK10+CN8)*0.132,(BS19+BT19+BU18+BV18+BW17+BX17+BY16+BZ16+CA15+CB15+CC14+CD14+CE13+CF13+CG12+CH12+CI11+CJ11+CL9+CM9)*0.132/2,(CM7+CL7+CK7+CJ7+CI7+CH6+CG6+CF6+CE6+CD6)*0.132/5,(CC5+CB5+CA5+BZ5+BY4+BX4+BW4+BV4)*0.132/4,17)</f>
        <v>18.872538461538461</v>
      </c>
      <c r="U117" s="117"/>
      <c r="V117" s="129"/>
      <c r="W117" s="114"/>
    </row>
    <row r="118" spans="2:23">
      <c r="B118" s="114">
        <v>20</v>
      </c>
      <c r="C118" s="74">
        <f t="shared" si="38"/>
        <v>18.75</v>
      </c>
      <c r="D118" s="74">
        <f t="shared" si="39"/>
        <v>17.5</v>
      </c>
      <c r="E118" s="74">
        <f t="shared" si="40"/>
        <v>16.25</v>
      </c>
      <c r="F118" s="114">
        <v>15</v>
      </c>
      <c r="G118" s="74">
        <f t="shared" si="41"/>
        <v>13.75</v>
      </c>
      <c r="H118" s="74">
        <f t="shared" si="42"/>
        <v>12.5</v>
      </c>
      <c r="I118" s="74">
        <f t="shared" si="43"/>
        <v>11.25</v>
      </c>
      <c r="J118" s="114">
        <f t="shared" si="44"/>
        <v>10</v>
      </c>
      <c r="K118" s="74">
        <f t="shared" si="45"/>
        <v>9.0625</v>
      </c>
      <c r="L118" s="74">
        <f t="shared" si="46"/>
        <v>8.125</v>
      </c>
      <c r="M118" s="74">
        <f t="shared" si="47"/>
        <v>7.1875</v>
      </c>
      <c r="N118" s="114">
        <f t="shared" si="66"/>
        <v>6.25</v>
      </c>
      <c r="O118" s="74">
        <f t="shared" si="63"/>
        <v>8.9375</v>
      </c>
      <c r="P118" s="74">
        <f t="shared" si="64"/>
        <v>11.625</v>
      </c>
      <c r="Q118" s="74">
        <f t="shared" si="65"/>
        <v>14.3125</v>
      </c>
      <c r="R118" s="114">
        <v>17</v>
      </c>
      <c r="S118" s="129"/>
      <c r="T118" s="117">
        <f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18.469938461538462</v>
      </c>
      <c r="U118" s="117"/>
      <c r="V118" s="129"/>
      <c r="W118" s="114"/>
    </row>
    <row r="119" spans="2:23">
      <c r="B119" s="114">
        <v>21</v>
      </c>
      <c r="C119" s="74">
        <f t="shared" si="38"/>
        <v>19.5</v>
      </c>
      <c r="D119" s="74">
        <f t="shared" si="39"/>
        <v>18</v>
      </c>
      <c r="E119" s="74">
        <f t="shared" si="40"/>
        <v>16.5</v>
      </c>
      <c r="F119" s="114">
        <v>15</v>
      </c>
      <c r="G119" s="74">
        <f t="shared" si="41"/>
        <v>13.5</v>
      </c>
      <c r="H119" s="74">
        <f t="shared" si="42"/>
        <v>12</v>
      </c>
      <c r="I119" s="74">
        <f t="shared" si="43"/>
        <v>10.5</v>
      </c>
      <c r="J119" s="114">
        <f t="shared" si="44"/>
        <v>9</v>
      </c>
      <c r="K119" s="74">
        <f t="shared" si="45"/>
        <v>7.875</v>
      </c>
      <c r="L119" s="74">
        <f t="shared" si="46"/>
        <v>6.75</v>
      </c>
      <c r="M119" s="74">
        <f t="shared" si="47"/>
        <v>5.625</v>
      </c>
      <c r="N119" s="114">
        <f t="shared" si="66"/>
        <v>4.5</v>
      </c>
      <c r="O119" s="74">
        <f t="shared" si="63"/>
        <v>7.625</v>
      </c>
      <c r="P119" s="74">
        <f t="shared" si="64"/>
        <v>10.75</v>
      </c>
      <c r="Q119" s="74">
        <f t="shared" si="65"/>
        <v>13.875</v>
      </c>
      <c r="R119" s="114">
        <v>17</v>
      </c>
      <c r="S119" s="129"/>
      <c r="T119" s="117">
        <f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18.097824175824176</v>
      </c>
      <c r="U119" s="117"/>
      <c r="V119" s="129"/>
      <c r="W119" s="114"/>
    </row>
    <row r="120" spans="2:23">
      <c r="B120" s="114">
        <v>22</v>
      </c>
      <c r="C120" s="74">
        <f t="shared" si="38"/>
        <v>20.25</v>
      </c>
      <c r="D120" s="74">
        <f t="shared" si="39"/>
        <v>18.5</v>
      </c>
      <c r="E120" s="74">
        <f t="shared" si="40"/>
        <v>16.75</v>
      </c>
      <c r="F120" s="114">
        <v>15</v>
      </c>
      <c r="G120" s="74">
        <f t="shared" si="41"/>
        <v>13.25</v>
      </c>
      <c r="H120" s="74">
        <f t="shared" si="42"/>
        <v>11.5</v>
      </c>
      <c r="I120" s="74">
        <f t="shared" si="43"/>
        <v>9.75</v>
      </c>
      <c r="J120" s="114">
        <f t="shared" si="44"/>
        <v>8</v>
      </c>
      <c r="K120" s="74">
        <f t="shared" si="45"/>
        <v>6.6875</v>
      </c>
      <c r="L120" s="74">
        <f t="shared" si="46"/>
        <v>5.375</v>
      </c>
      <c r="M120" s="74">
        <f t="shared" si="47"/>
        <v>4.0625</v>
      </c>
      <c r="N120" s="114">
        <f t="shared" si="66"/>
        <v>2.75</v>
      </c>
      <c r="O120" s="74">
        <f t="shared" si="63"/>
        <v>6.3125</v>
      </c>
      <c r="P120" s="74">
        <f t="shared" si="64"/>
        <v>9.875</v>
      </c>
      <c r="Q120" s="74">
        <f t="shared" si="65"/>
        <v>13.4375</v>
      </c>
      <c r="R120" s="114">
        <v>17</v>
      </c>
      <c r="S120" s="129"/>
      <c r="T120" s="117">
        <f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18.049895604395605</v>
      </c>
      <c r="U120" s="117"/>
      <c r="V120" s="129"/>
      <c r="W120" s="114"/>
    </row>
    <row r="121" spans="2:23">
      <c r="B121" s="114">
        <v>23</v>
      </c>
      <c r="C121" s="74">
        <f t="shared" si="38"/>
        <v>21</v>
      </c>
      <c r="D121" s="74">
        <f t="shared" si="39"/>
        <v>19</v>
      </c>
      <c r="E121" s="74">
        <f t="shared" si="40"/>
        <v>17</v>
      </c>
      <c r="F121" s="114">
        <v>15</v>
      </c>
      <c r="G121" s="74">
        <f t="shared" si="41"/>
        <v>13</v>
      </c>
      <c r="H121" s="74">
        <f t="shared" si="42"/>
        <v>11</v>
      </c>
      <c r="I121" s="74">
        <f t="shared" si="43"/>
        <v>9</v>
      </c>
      <c r="J121" s="114">
        <f t="shared" si="44"/>
        <v>7</v>
      </c>
      <c r="K121" s="74">
        <f t="shared" si="45"/>
        <v>5.5</v>
      </c>
      <c r="L121" s="74">
        <f t="shared" si="46"/>
        <v>4</v>
      </c>
      <c r="M121" s="74">
        <f t="shared" si="47"/>
        <v>2.5</v>
      </c>
      <c r="N121" s="114">
        <f t="shared" si="66"/>
        <v>1</v>
      </c>
      <c r="O121" s="74">
        <f t="shared" si="63"/>
        <v>5</v>
      </c>
      <c r="P121" s="74">
        <f t="shared" si="64"/>
        <v>9</v>
      </c>
      <c r="Q121" s="74">
        <f t="shared" si="65"/>
        <v>13</v>
      </c>
      <c r="R121" s="114">
        <v>17</v>
      </c>
      <c r="S121" s="129"/>
      <c r="T121" s="126">
        <f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18.157538461538461</v>
      </c>
      <c r="U121" s="126"/>
      <c r="V121" s="129"/>
      <c r="W121" s="114"/>
    </row>
    <row r="122" spans="2:23">
      <c r="B122" s="114"/>
      <c r="C122" s="74"/>
      <c r="D122" s="74"/>
      <c r="E122" s="74"/>
      <c r="F122" s="114"/>
      <c r="G122" s="74"/>
      <c r="H122" s="74"/>
      <c r="I122" s="74"/>
      <c r="J122" s="114"/>
      <c r="K122" s="74"/>
      <c r="L122" s="74"/>
      <c r="M122" s="74"/>
      <c r="N122" s="114"/>
      <c r="O122" s="74"/>
      <c r="P122" s="74"/>
      <c r="Q122" s="74"/>
      <c r="R122" s="114"/>
      <c r="S122" s="129"/>
      <c r="T122" s="117"/>
      <c r="U122" s="117"/>
      <c r="V122" s="129"/>
      <c r="W122" s="114"/>
    </row>
    <row r="123" spans="2:23">
      <c r="B123" s="114">
        <v>16</v>
      </c>
      <c r="C123" s="74">
        <f t="shared" si="38"/>
        <v>16</v>
      </c>
      <c r="D123" s="74">
        <f t="shared" si="39"/>
        <v>16</v>
      </c>
      <c r="E123" s="74">
        <f t="shared" si="40"/>
        <v>16</v>
      </c>
      <c r="F123" s="114">
        <v>16</v>
      </c>
      <c r="G123" s="74">
        <f t="shared" si="41"/>
        <v>16</v>
      </c>
      <c r="H123" s="74">
        <f t="shared" si="42"/>
        <v>16</v>
      </c>
      <c r="I123" s="74">
        <f t="shared" si="43"/>
        <v>16</v>
      </c>
      <c r="J123" s="114">
        <f t="shared" si="44"/>
        <v>16</v>
      </c>
      <c r="K123" s="74">
        <f t="shared" si="45"/>
        <v>16.05</v>
      </c>
      <c r="L123" s="74">
        <f t="shared" si="46"/>
        <v>16.100000000000001</v>
      </c>
      <c r="M123" s="74">
        <f t="shared" si="47"/>
        <v>16.149999999999999</v>
      </c>
      <c r="N123" s="114">
        <f>SUM(F123,-B123,J123,0.25*ABS(J123-F123),0.2*(17-F123))</f>
        <v>16.2</v>
      </c>
      <c r="O123" s="74">
        <f t="shared" ref="O123:O131" si="67">SUM(0.25*(R123-N123),N123)</f>
        <v>16.399999999999999</v>
      </c>
      <c r="P123" s="74">
        <f t="shared" ref="P123:P131" si="68">SUM(0.5*(R123-N123),N123)</f>
        <v>16.600000000000001</v>
      </c>
      <c r="Q123" s="74">
        <f t="shared" ref="Q123:Q131" si="69">SUM(0.75*(R123-N123),N123)</f>
        <v>16.8</v>
      </c>
      <c r="R123" s="114">
        <v>17</v>
      </c>
      <c r="S123" s="129"/>
      <c r="T123" s="117">
        <f>SUM((BX20+BX19+BX18+BX17+BX16+BX15+BX14+BX13+BX12+BX11+BX10+BX9+BX8+BW7+BW6+BV5+BV4)*0.132,17)</f>
        <v>19.103538461538459</v>
      </c>
      <c r="U123" s="117"/>
      <c r="V123" s="129"/>
      <c r="W123" s="114"/>
    </row>
    <row r="124" spans="2:23">
      <c r="B124" s="114">
        <v>17</v>
      </c>
      <c r="C124" s="74">
        <f t="shared" si="38"/>
        <v>16.75</v>
      </c>
      <c r="D124" s="74">
        <f t="shared" si="39"/>
        <v>16.5</v>
      </c>
      <c r="E124" s="74">
        <f t="shared" si="40"/>
        <v>16.25</v>
      </c>
      <c r="F124" s="114">
        <v>16</v>
      </c>
      <c r="G124" s="74">
        <f t="shared" si="41"/>
        <v>15.75</v>
      </c>
      <c r="H124" s="74">
        <f t="shared" si="42"/>
        <v>15.5</v>
      </c>
      <c r="I124" s="74">
        <f t="shared" si="43"/>
        <v>15.25</v>
      </c>
      <c r="J124" s="114">
        <f t="shared" si="44"/>
        <v>15</v>
      </c>
      <c r="K124" s="74">
        <f t="shared" si="45"/>
        <v>14.8125</v>
      </c>
      <c r="L124" s="74">
        <f t="shared" si="46"/>
        <v>14.625</v>
      </c>
      <c r="M124" s="74">
        <f t="shared" si="47"/>
        <v>14.4375</v>
      </c>
      <c r="N124" s="114">
        <f t="shared" ref="N124:N131" si="70">SUM(F124,-B124,J124,0.25*ABS(J124-F124))</f>
        <v>14.25</v>
      </c>
      <c r="O124" s="74">
        <f t="shared" si="67"/>
        <v>14.9375</v>
      </c>
      <c r="P124" s="74">
        <f t="shared" si="68"/>
        <v>15.625</v>
      </c>
      <c r="Q124" s="74">
        <f t="shared" si="69"/>
        <v>16.3125</v>
      </c>
      <c r="R124" s="114">
        <v>17</v>
      </c>
      <c r="S124" s="129"/>
      <c r="T124" s="117">
        <f>SUM((BV20+BW19+BW18+BX17+BX16+BY15+BY14+BZ13+BZ12+CA11+CA10+BZ9+BZ8+BY7+BX6+BW5+BV4)*0.132,17)</f>
        <v>18.047538461538462</v>
      </c>
      <c r="U124" s="117"/>
      <c r="V124" s="129"/>
      <c r="W124" s="114"/>
    </row>
    <row r="125" spans="2:23">
      <c r="B125" s="114">
        <v>18</v>
      </c>
      <c r="C125" s="74">
        <f t="shared" si="38"/>
        <v>17.5</v>
      </c>
      <c r="D125" s="74">
        <f t="shared" si="39"/>
        <v>17</v>
      </c>
      <c r="E125" s="74">
        <f t="shared" si="40"/>
        <v>16.5</v>
      </c>
      <c r="F125" s="114">
        <v>16</v>
      </c>
      <c r="G125" s="74">
        <f t="shared" si="41"/>
        <v>15.5</v>
      </c>
      <c r="H125" s="74">
        <f t="shared" si="42"/>
        <v>15</v>
      </c>
      <c r="I125" s="74">
        <f t="shared" si="43"/>
        <v>14.5</v>
      </c>
      <c r="J125" s="114">
        <f t="shared" si="44"/>
        <v>14</v>
      </c>
      <c r="K125" s="74">
        <f t="shared" si="45"/>
        <v>13.625</v>
      </c>
      <c r="L125" s="74">
        <f t="shared" si="46"/>
        <v>13.25</v>
      </c>
      <c r="M125" s="74">
        <f t="shared" si="47"/>
        <v>12.875</v>
      </c>
      <c r="N125" s="114">
        <f t="shared" si="70"/>
        <v>12.5</v>
      </c>
      <c r="O125" s="74">
        <f t="shared" si="67"/>
        <v>13.625</v>
      </c>
      <c r="P125" s="74">
        <f t="shared" si="68"/>
        <v>14.75</v>
      </c>
      <c r="Q125" s="74">
        <f t="shared" si="69"/>
        <v>15.875</v>
      </c>
      <c r="R125" s="114">
        <v>17</v>
      </c>
      <c r="S125" s="129"/>
      <c r="T125" s="117">
        <f>SUM((BT20+BU19+BV18+BW17+BX16+BY15+BZ14+CA13+CB12+CC11+CC10+CD9+CD8)*0.132,(CC7+CB7+CA6+BZ6++BY5+BX5+BW4+BV4)*0.132/2,17)</f>
        <v>18.311538461538461</v>
      </c>
      <c r="U125" s="117"/>
      <c r="V125" s="129"/>
      <c r="W125" s="114"/>
    </row>
    <row r="126" spans="2:23">
      <c r="B126" s="114">
        <v>19</v>
      </c>
      <c r="C126" s="74">
        <f t="shared" si="38"/>
        <v>18.25</v>
      </c>
      <c r="D126" s="74">
        <f t="shared" si="39"/>
        <v>17.5</v>
      </c>
      <c r="E126" s="74">
        <f t="shared" si="40"/>
        <v>16.75</v>
      </c>
      <c r="F126" s="114">
        <v>16</v>
      </c>
      <c r="G126" s="74">
        <f t="shared" si="41"/>
        <v>15.25</v>
      </c>
      <c r="H126" s="74">
        <f t="shared" si="42"/>
        <v>14.5</v>
      </c>
      <c r="I126" s="74">
        <f t="shared" si="43"/>
        <v>13.75</v>
      </c>
      <c r="J126" s="114">
        <f t="shared" si="44"/>
        <v>13</v>
      </c>
      <c r="K126" s="74">
        <f t="shared" si="45"/>
        <v>12.4375</v>
      </c>
      <c r="L126" s="74">
        <f t="shared" si="46"/>
        <v>11.875</v>
      </c>
      <c r="M126" s="74">
        <f t="shared" si="47"/>
        <v>11.3125</v>
      </c>
      <c r="N126" s="114">
        <f t="shared" si="70"/>
        <v>10.75</v>
      </c>
      <c r="O126" s="74">
        <f t="shared" si="67"/>
        <v>12.3125</v>
      </c>
      <c r="P126" s="74">
        <f t="shared" si="68"/>
        <v>13.875</v>
      </c>
      <c r="Q126" s="74">
        <f t="shared" si="69"/>
        <v>15.4375</v>
      </c>
      <c r="R126" s="114">
        <v>17</v>
      </c>
      <c r="S126" s="129"/>
      <c r="T126" s="117">
        <f>SUM((BR20+BU18+BX16+CA14+CD12+CE11+CF10+CG9+CH8)*0.132,(BS19+BT19+BV17+BW17+BY15+BZ15+CB13+CC13)*0.132/2,(CG7+CF7+CE7+CD6+CC6+CB6+CA5+BZ5+BY5+BX4+BW4+BV4)*0.132/3,17)</f>
        <v>18.355538461538462</v>
      </c>
      <c r="U126" s="117"/>
      <c r="V126" s="129"/>
      <c r="W126" s="114"/>
    </row>
    <row r="127" spans="2:23">
      <c r="B127" s="114">
        <v>20</v>
      </c>
      <c r="C127" s="74">
        <f t="shared" si="38"/>
        <v>19</v>
      </c>
      <c r="D127" s="74">
        <f t="shared" si="39"/>
        <v>18</v>
      </c>
      <c r="E127" s="74">
        <f t="shared" si="40"/>
        <v>17</v>
      </c>
      <c r="F127" s="114">
        <v>16</v>
      </c>
      <c r="G127" s="74">
        <f t="shared" si="41"/>
        <v>15</v>
      </c>
      <c r="H127" s="74">
        <f t="shared" si="42"/>
        <v>14</v>
      </c>
      <c r="I127" s="74">
        <f t="shared" si="43"/>
        <v>13</v>
      </c>
      <c r="J127" s="114">
        <f t="shared" si="44"/>
        <v>12</v>
      </c>
      <c r="K127" s="74">
        <f t="shared" si="45"/>
        <v>11.25</v>
      </c>
      <c r="L127" s="74">
        <f t="shared" si="46"/>
        <v>10.5</v>
      </c>
      <c r="M127" s="74">
        <f t="shared" si="47"/>
        <v>9.75</v>
      </c>
      <c r="N127" s="114">
        <f t="shared" si="70"/>
        <v>9</v>
      </c>
      <c r="O127" s="74">
        <f t="shared" si="67"/>
        <v>11</v>
      </c>
      <c r="P127" s="74">
        <f t="shared" si="68"/>
        <v>13</v>
      </c>
      <c r="Q127" s="74">
        <f t="shared" si="69"/>
        <v>15</v>
      </c>
      <c r="R127" s="114">
        <v>17</v>
      </c>
      <c r="S127" s="129"/>
      <c r="T127" s="117">
        <f>SUM((BP20+CI10+CL8)*0.132,(BQ19+BR19+BS18+BT18+BU17+BV17+BW16+BX16+BY15+BZ15+CA14+CB14+CC13+CD13+CE12+CF12+CG11+CH11+CJ9+CK9)*0.132/2,(CK7+CJ7+CI7+CH7+CG6+CF6+CE6+CD6+CC5+CB5+CA5+BZ5+BY4+BX4+BW4+BV4)*0.132/4,17)</f>
        <v>18.410538461538462</v>
      </c>
      <c r="U127" s="117"/>
      <c r="V127" s="129"/>
      <c r="W127" s="114"/>
    </row>
    <row r="128" spans="2:23">
      <c r="B128" s="114">
        <v>21</v>
      </c>
      <c r="C128" s="74">
        <f t="shared" si="38"/>
        <v>19.75</v>
      </c>
      <c r="D128" s="74">
        <f t="shared" si="39"/>
        <v>18.5</v>
      </c>
      <c r="E128" s="74">
        <f t="shared" si="40"/>
        <v>17.25</v>
      </c>
      <c r="F128" s="114">
        <v>16</v>
      </c>
      <c r="G128" s="74">
        <f t="shared" si="41"/>
        <v>14.75</v>
      </c>
      <c r="H128" s="74">
        <f t="shared" si="42"/>
        <v>13.5</v>
      </c>
      <c r="I128" s="74">
        <f t="shared" si="43"/>
        <v>12.25</v>
      </c>
      <c r="J128" s="114">
        <f t="shared" si="44"/>
        <v>11</v>
      </c>
      <c r="K128" s="74">
        <f t="shared" si="45"/>
        <v>10.0625</v>
      </c>
      <c r="L128" s="74">
        <f t="shared" si="46"/>
        <v>9.125</v>
      </c>
      <c r="M128" s="74">
        <f t="shared" si="47"/>
        <v>8.1875</v>
      </c>
      <c r="N128" s="114">
        <f t="shared" si="70"/>
        <v>7.25</v>
      </c>
      <c r="O128" s="74">
        <f t="shared" si="67"/>
        <v>9.6875</v>
      </c>
      <c r="P128" s="74">
        <f t="shared" si="68"/>
        <v>12.125</v>
      </c>
      <c r="Q128" s="74">
        <f t="shared" si="69"/>
        <v>14.5625</v>
      </c>
      <c r="R128" s="114">
        <v>17</v>
      </c>
      <c r="S128" s="129"/>
      <c r="T128" s="117">
        <f>SUM((BN20+BO20+BP19+BQ19+BU17+BV17+BW16+BX16+CB14+CC14+CG12+CH12+CI11+CJ11+CK10+CL10+CM9+CN9+CO8+CP8)*0.132/2,(BR18+BS18+BT18+BY15+BZ15+CA15+CD13+CE13+CF13)*0.132/3,(CO7+CN7+CM7+CL7+CK7+CJ6+CI6+CH6+CG6+CF6+CE5+CD5+CC5+CB5+CA5+BZ4+BY4+BX4+BW4+BV4)*0.132/5,17)</f>
        <v>18.153138461538461</v>
      </c>
      <c r="U128" s="117"/>
      <c r="V128" s="129"/>
      <c r="W128" s="114"/>
    </row>
    <row r="129" spans="2:23">
      <c r="B129" s="114">
        <v>22</v>
      </c>
      <c r="C129" s="74">
        <f t="shared" si="38"/>
        <v>20.5</v>
      </c>
      <c r="D129" s="74">
        <f t="shared" si="39"/>
        <v>19</v>
      </c>
      <c r="E129" s="74">
        <f t="shared" si="40"/>
        <v>17.5</v>
      </c>
      <c r="F129" s="114">
        <v>16</v>
      </c>
      <c r="G129" s="74">
        <f t="shared" si="41"/>
        <v>14.5</v>
      </c>
      <c r="H129" s="74">
        <f t="shared" si="42"/>
        <v>13</v>
      </c>
      <c r="I129" s="74">
        <f t="shared" si="43"/>
        <v>11.5</v>
      </c>
      <c r="J129" s="114">
        <f t="shared" si="44"/>
        <v>10</v>
      </c>
      <c r="K129" s="74">
        <f t="shared" si="45"/>
        <v>8.875</v>
      </c>
      <c r="L129" s="74">
        <f t="shared" si="46"/>
        <v>7.75</v>
      </c>
      <c r="M129" s="74">
        <f t="shared" si="47"/>
        <v>6.625</v>
      </c>
      <c r="N129" s="114">
        <f t="shared" si="70"/>
        <v>5.5</v>
      </c>
      <c r="O129" s="74">
        <f t="shared" si="67"/>
        <v>8.375</v>
      </c>
      <c r="P129" s="74">
        <f t="shared" si="68"/>
        <v>11.25</v>
      </c>
      <c r="Q129" s="74">
        <f t="shared" si="69"/>
        <v>14.125</v>
      </c>
      <c r="R129" s="114">
        <v>17</v>
      </c>
      <c r="S129" s="129"/>
      <c r="T129" s="117">
        <f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17.71753846153846</v>
      </c>
      <c r="U129" s="117"/>
      <c r="V129" s="129"/>
      <c r="W129" s="114"/>
    </row>
    <row r="130" spans="2:23">
      <c r="B130" s="114">
        <v>23</v>
      </c>
      <c r="C130" s="74">
        <f t="shared" si="38"/>
        <v>21.25</v>
      </c>
      <c r="D130" s="74">
        <f t="shared" si="39"/>
        <v>19.5</v>
      </c>
      <c r="E130" s="74">
        <f t="shared" si="40"/>
        <v>17.75</v>
      </c>
      <c r="F130" s="114">
        <v>16</v>
      </c>
      <c r="G130" s="74">
        <f t="shared" si="41"/>
        <v>14.25</v>
      </c>
      <c r="H130" s="74">
        <f t="shared" si="42"/>
        <v>12.5</v>
      </c>
      <c r="I130" s="74">
        <f t="shared" si="43"/>
        <v>10.75</v>
      </c>
      <c r="J130" s="114">
        <f t="shared" si="44"/>
        <v>9</v>
      </c>
      <c r="K130" s="74">
        <f t="shared" si="45"/>
        <v>7.6875</v>
      </c>
      <c r="L130" s="74">
        <f t="shared" si="46"/>
        <v>6.375</v>
      </c>
      <c r="M130" s="74">
        <f t="shared" si="47"/>
        <v>5.0625</v>
      </c>
      <c r="N130" s="114">
        <f t="shared" si="70"/>
        <v>3.75</v>
      </c>
      <c r="O130" s="74">
        <f t="shared" si="67"/>
        <v>7.0625</v>
      </c>
      <c r="P130" s="74">
        <f t="shared" si="68"/>
        <v>10.375</v>
      </c>
      <c r="Q130" s="74">
        <f t="shared" si="69"/>
        <v>13.6875</v>
      </c>
      <c r="R130" s="114">
        <v>17</v>
      </c>
      <c r="S130" s="129"/>
      <c r="T130" s="117">
        <f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17.709681318681319</v>
      </c>
      <c r="U130" s="117"/>
      <c r="V130" s="129"/>
      <c r="W130" s="114"/>
    </row>
    <row r="131" spans="2:23">
      <c r="B131" s="114">
        <v>24</v>
      </c>
      <c r="C131" s="74">
        <f t="shared" si="38"/>
        <v>22</v>
      </c>
      <c r="D131" s="74">
        <f t="shared" si="39"/>
        <v>20</v>
      </c>
      <c r="E131" s="74">
        <f t="shared" si="40"/>
        <v>18</v>
      </c>
      <c r="F131" s="114">
        <v>16</v>
      </c>
      <c r="G131" s="74">
        <f t="shared" si="41"/>
        <v>14</v>
      </c>
      <c r="H131" s="74">
        <f t="shared" si="42"/>
        <v>12</v>
      </c>
      <c r="I131" s="74">
        <f t="shared" si="43"/>
        <v>10</v>
      </c>
      <c r="J131" s="114">
        <f t="shared" si="44"/>
        <v>8</v>
      </c>
      <c r="K131" s="74">
        <f t="shared" si="45"/>
        <v>6.5</v>
      </c>
      <c r="L131" s="74">
        <f t="shared" si="46"/>
        <v>5</v>
      </c>
      <c r="M131" s="74">
        <f t="shared" si="47"/>
        <v>3.5</v>
      </c>
      <c r="N131" s="114">
        <f t="shared" si="70"/>
        <v>2</v>
      </c>
      <c r="O131" s="74">
        <f t="shared" si="67"/>
        <v>5.75</v>
      </c>
      <c r="P131" s="74">
        <f t="shared" si="68"/>
        <v>9.5</v>
      </c>
      <c r="Q131" s="74">
        <f t="shared" si="69"/>
        <v>13.25</v>
      </c>
      <c r="R131" s="114">
        <v>17</v>
      </c>
      <c r="S131" s="129"/>
      <c r="T131" s="117">
        <f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17.71753846153846</v>
      </c>
      <c r="U131" s="117"/>
      <c r="V131" s="129"/>
      <c r="W131" s="114"/>
    </row>
    <row r="132" spans="2:23">
      <c r="B132" s="114"/>
      <c r="C132" s="74"/>
      <c r="D132" s="74"/>
      <c r="E132" s="74"/>
      <c r="F132" s="114"/>
      <c r="G132" s="74"/>
      <c r="H132" s="74"/>
      <c r="I132" s="74"/>
      <c r="J132" s="114"/>
      <c r="K132" s="74"/>
      <c r="L132" s="74"/>
      <c r="M132" s="74"/>
      <c r="N132" s="114"/>
      <c r="O132" s="74"/>
      <c r="P132" s="74"/>
      <c r="Q132" s="74"/>
      <c r="R132" s="114"/>
      <c r="S132" s="129"/>
      <c r="T132" s="117"/>
      <c r="U132" s="117"/>
      <c r="V132" s="129"/>
      <c r="W132" s="114"/>
    </row>
    <row r="133" spans="2:23">
      <c r="B133" s="114">
        <v>17</v>
      </c>
      <c r="C133" s="74">
        <f t="shared" ref="C133:C206" si="71">SUM(0.25*(F133-B133),B133)</f>
        <v>17</v>
      </c>
      <c r="D133" s="74">
        <f t="shared" ref="D133:D206" si="72">SUM(0.5*(F133-B133)+B133)</f>
        <v>17</v>
      </c>
      <c r="E133" s="74">
        <f t="shared" ref="E133:E206" si="73">SUM(0.75*(F133-B133),B133)</f>
        <v>17</v>
      </c>
      <c r="F133" s="114">
        <v>17</v>
      </c>
      <c r="G133" s="74">
        <f t="shared" ref="G133:G206" si="74">SUM(0.25*(J133-F133),F133)</f>
        <v>17</v>
      </c>
      <c r="H133" s="74">
        <f t="shared" ref="H133:H206" si="75">SUM(0.5*(J133-F133),F133)</f>
        <v>17</v>
      </c>
      <c r="I133" s="74">
        <f t="shared" ref="I133:I206" si="76">SUM(0.75*(J133-F133),F133)</f>
        <v>17</v>
      </c>
      <c r="J133" s="114">
        <f t="shared" ref="J133:J206" si="77">SUM(F133,-B133,F133)</f>
        <v>17</v>
      </c>
      <c r="K133" s="74">
        <f t="shared" ref="K133:K206" si="78">SUM(0.25*(N133-J133),J133)</f>
        <v>17</v>
      </c>
      <c r="L133" s="74">
        <f t="shared" ref="L133:L206" si="79">SUM(0.5*(N133-J133),J133)</f>
        <v>17</v>
      </c>
      <c r="M133" s="74">
        <f t="shared" ref="M133:M206" si="80">SUM(0.75*(N133-J133),J133)</f>
        <v>17</v>
      </c>
      <c r="N133" s="114">
        <f>SUM(F133,-B133,J133,0.25*ABS(J133-F133),0.2*(17-F133))</f>
        <v>17</v>
      </c>
      <c r="O133" s="74">
        <f t="shared" ref="O133:O142" si="81">SUM(0.25*(R133-N133),N133)</f>
        <v>17</v>
      </c>
      <c r="P133" s="74">
        <f t="shared" ref="P133:P142" si="82">SUM(0.5*(R133-N133),N133)</f>
        <v>17</v>
      </c>
      <c r="Q133" s="74">
        <f t="shared" ref="Q133:Q142" si="83">SUM(0.75*(R133-N133),N133)</f>
        <v>17</v>
      </c>
      <c r="R133" s="114">
        <v>17</v>
      </c>
      <c r="S133" s="129"/>
      <c r="T133" s="117">
        <f>SUM((BV20+BV19+BV18+BV17+BV16+BV15+BV14+BV13+BV12+BV11+BV10+BV9+BV8+BV7+BV6+BV5+BV4)*0.132,17)</f>
        <v>17.651538461538461</v>
      </c>
      <c r="U133" s="117"/>
      <c r="V133" s="129"/>
      <c r="W133" s="114"/>
    </row>
    <row r="134" spans="2:23">
      <c r="B134" s="114">
        <v>18</v>
      </c>
      <c r="C134" s="74">
        <f t="shared" si="71"/>
        <v>17.75</v>
      </c>
      <c r="D134" s="74">
        <f t="shared" si="72"/>
        <v>17.5</v>
      </c>
      <c r="E134" s="74">
        <f t="shared" si="73"/>
        <v>17.25</v>
      </c>
      <c r="F134" s="114">
        <v>17</v>
      </c>
      <c r="G134" s="74">
        <f t="shared" si="74"/>
        <v>16.75</v>
      </c>
      <c r="H134" s="74">
        <f t="shared" si="75"/>
        <v>16.5</v>
      </c>
      <c r="I134" s="74">
        <f t="shared" si="76"/>
        <v>16.25</v>
      </c>
      <c r="J134" s="114">
        <f t="shared" si="77"/>
        <v>16</v>
      </c>
      <c r="K134" s="74">
        <f t="shared" si="78"/>
        <v>15.8125</v>
      </c>
      <c r="L134" s="74">
        <f t="shared" si="79"/>
        <v>15.625</v>
      </c>
      <c r="M134" s="74">
        <f t="shared" si="80"/>
        <v>15.4375</v>
      </c>
      <c r="N134" s="114">
        <f t="shared" ref="N134:N142" si="84">SUM(F134,-B134,J134,0.25*ABS(J134-F134))</f>
        <v>15.25</v>
      </c>
      <c r="O134" s="74">
        <f t="shared" si="81"/>
        <v>15.6875</v>
      </c>
      <c r="P134" s="74">
        <f t="shared" si="82"/>
        <v>16.125</v>
      </c>
      <c r="Q134" s="74">
        <f t="shared" si="83"/>
        <v>16.5625</v>
      </c>
      <c r="R134" s="114">
        <v>17</v>
      </c>
      <c r="S134" s="129"/>
      <c r="T134" s="117">
        <f>SUM((BT20+BU19+BU18+BV17+BV16+BW15+BW14+BX13+BX12+BY11+BY10+BX9+BX8+BW7+BW6+BV5+BV4)*0.132,17)</f>
        <v>17.783538461538463</v>
      </c>
      <c r="U134" s="117"/>
      <c r="V134" s="129"/>
      <c r="W134" s="114"/>
    </row>
    <row r="135" spans="2:23">
      <c r="B135" s="114">
        <v>19</v>
      </c>
      <c r="C135" s="74">
        <f t="shared" si="71"/>
        <v>18.5</v>
      </c>
      <c r="D135" s="74">
        <f t="shared" si="72"/>
        <v>18</v>
      </c>
      <c r="E135" s="74">
        <f t="shared" si="73"/>
        <v>17.5</v>
      </c>
      <c r="F135" s="114">
        <v>17</v>
      </c>
      <c r="G135" s="74">
        <f t="shared" si="74"/>
        <v>16.5</v>
      </c>
      <c r="H135" s="74">
        <f t="shared" si="75"/>
        <v>16</v>
      </c>
      <c r="I135" s="74">
        <f t="shared" si="76"/>
        <v>15.5</v>
      </c>
      <c r="J135" s="114">
        <f t="shared" si="77"/>
        <v>15</v>
      </c>
      <c r="K135" s="74">
        <f t="shared" si="78"/>
        <v>14.625</v>
      </c>
      <c r="L135" s="74">
        <f t="shared" si="79"/>
        <v>14.25</v>
      </c>
      <c r="M135" s="74">
        <f t="shared" si="80"/>
        <v>13.875</v>
      </c>
      <c r="N135" s="114">
        <f t="shared" si="84"/>
        <v>13.5</v>
      </c>
      <c r="O135" s="74">
        <f t="shared" si="81"/>
        <v>14.375</v>
      </c>
      <c r="P135" s="74">
        <f t="shared" si="82"/>
        <v>15.25</v>
      </c>
      <c r="Q135" s="74">
        <f t="shared" si="83"/>
        <v>16.125</v>
      </c>
      <c r="R135" s="114">
        <v>17</v>
      </c>
      <c r="S135" s="129"/>
      <c r="T135" s="117">
        <f>SUM((BR20+BS19+BT18+BU17+BV16+BW15+BX14+BY13+BZ12+CA11+CA10+CB9+CB8+BW5+BV4)*0.132,(CA7+BZ7+BY6+BX6)*0.132/2,17)</f>
        <v>18.37753846153846</v>
      </c>
      <c r="U135" s="117"/>
      <c r="V135" s="129"/>
      <c r="W135" s="114"/>
    </row>
    <row r="136" spans="2:23">
      <c r="B136" s="114">
        <v>20</v>
      </c>
      <c r="C136" s="74">
        <f t="shared" si="71"/>
        <v>19.25</v>
      </c>
      <c r="D136" s="74">
        <f t="shared" si="72"/>
        <v>18.5</v>
      </c>
      <c r="E136" s="74">
        <f t="shared" si="73"/>
        <v>17.75</v>
      </c>
      <c r="F136" s="114">
        <v>17</v>
      </c>
      <c r="G136" s="74">
        <f t="shared" si="74"/>
        <v>16.25</v>
      </c>
      <c r="H136" s="74">
        <f t="shared" si="75"/>
        <v>15.5</v>
      </c>
      <c r="I136" s="74">
        <f t="shared" si="76"/>
        <v>14.75</v>
      </c>
      <c r="J136" s="114">
        <f t="shared" si="77"/>
        <v>14</v>
      </c>
      <c r="K136" s="74">
        <f t="shared" si="78"/>
        <v>13.4375</v>
      </c>
      <c r="L136" s="74">
        <f t="shared" si="79"/>
        <v>12.875</v>
      </c>
      <c r="M136" s="74">
        <f t="shared" si="80"/>
        <v>12.3125</v>
      </c>
      <c r="N136" s="114">
        <f t="shared" si="84"/>
        <v>11.75</v>
      </c>
      <c r="O136" s="74">
        <f t="shared" si="81"/>
        <v>13.0625</v>
      </c>
      <c r="P136" s="74">
        <f t="shared" si="82"/>
        <v>14.375</v>
      </c>
      <c r="Q136" s="74">
        <f t="shared" si="83"/>
        <v>15.6875</v>
      </c>
      <c r="R136" s="114">
        <v>17</v>
      </c>
      <c r="S136" s="129"/>
      <c r="T136" s="117">
        <f>SUM((BP20+BS18+BV16+BY14+CB12+CC11+CD10+CE9+CF8)*0.132,(BQ19+BR19+BT17+BU17+BW15+BX15+BZ13+CA13)*0.132/2,(CE7+CD7+CC7+CB6+CA6+BZ6)*0.132/3,(BY5+BX5+BW4+BV4)*0.132/2,17)</f>
        <v>17.981538461538463</v>
      </c>
      <c r="U136" s="117"/>
      <c r="V136" s="129"/>
      <c r="W136" s="114"/>
    </row>
    <row r="137" spans="2:23">
      <c r="B137" s="114">
        <v>21</v>
      </c>
      <c r="C137" s="74">
        <f t="shared" si="71"/>
        <v>20</v>
      </c>
      <c r="D137" s="74">
        <f t="shared" si="72"/>
        <v>19</v>
      </c>
      <c r="E137" s="74">
        <f t="shared" si="73"/>
        <v>18</v>
      </c>
      <c r="F137" s="114">
        <v>17</v>
      </c>
      <c r="G137" s="74">
        <f t="shared" si="74"/>
        <v>16</v>
      </c>
      <c r="H137" s="74">
        <f t="shared" si="75"/>
        <v>15</v>
      </c>
      <c r="I137" s="74">
        <f t="shared" si="76"/>
        <v>14</v>
      </c>
      <c r="J137" s="114">
        <f t="shared" si="77"/>
        <v>13</v>
      </c>
      <c r="K137" s="74">
        <f t="shared" si="78"/>
        <v>12.25</v>
      </c>
      <c r="L137" s="74">
        <f t="shared" si="79"/>
        <v>11.5</v>
      </c>
      <c r="M137" s="74">
        <f t="shared" si="80"/>
        <v>10.75</v>
      </c>
      <c r="N137" s="114">
        <f t="shared" si="84"/>
        <v>10</v>
      </c>
      <c r="O137" s="74">
        <f t="shared" si="81"/>
        <v>11.75</v>
      </c>
      <c r="P137" s="74">
        <f t="shared" si="82"/>
        <v>13.5</v>
      </c>
      <c r="Q137" s="74">
        <f t="shared" si="83"/>
        <v>15.25</v>
      </c>
      <c r="R137" s="114">
        <v>17</v>
      </c>
      <c r="S137" s="129"/>
      <c r="T137" s="117">
        <f>SUM((BN20+BO20+BP19+BQ19+BS17+BT17+BU16+BV16+BW15+BX15+BY14+BZ14+CA13+CB13+CC12+CD12+CE11+CF11+CH9+CI9)*0.132/2,(BR18+CG10+CJ8)*0.132,(CI7+CH7+CG7+CF7+CE6+CD6+CC6+CB6)*0.132/4,(CA5+BZ5+BY5+BX4+BW4+BV4)*0.132/3,17)</f>
        <v>17.926538461538463</v>
      </c>
      <c r="U137" s="117"/>
      <c r="V137" s="129"/>
      <c r="W137" s="114"/>
    </row>
    <row r="138" spans="2:23">
      <c r="B138" s="114">
        <v>22</v>
      </c>
      <c r="C138" s="74">
        <f t="shared" si="71"/>
        <v>20.75</v>
      </c>
      <c r="D138" s="74">
        <f t="shared" si="72"/>
        <v>19.5</v>
      </c>
      <c r="E138" s="74">
        <f t="shared" si="73"/>
        <v>18.25</v>
      </c>
      <c r="F138" s="114">
        <v>17</v>
      </c>
      <c r="G138" s="74">
        <f t="shared" si="74"/>
        <v>15.75</v>
      </c>
      <c r="H138" s="74">
        <f t="shared" si="75"/>
        <v>14.5</v>
      </c>
      <c r="I138" s="74">
        <f t="shared" si="76"/>
        <v>13.25</v>
      </c>
      <c r="J138" s="114">
        <f t="shared" si="77"/>
        <v>12</v>
      </c>
      <c r="K138" s="74">
        <f t="shared" si="78"/>
        <v>11.0625</v>
      </c>
      <c r="L138" s="74">
        <f t="shared" si="79"/>
        <v>10.125</v>
      </c>
      <c r="M138" s="74">
        <f t="shared" si="80"/>
        <v>9.1875</v>
      </c>
      <c r="N138" s="114">
        <f t="shared" si="84"/>
        <v>8.25</v>
      </c>
      <c r="O138" s="74">
        <f t="shared" si="81"/>
        <v>10.4375</v>
      </c>
      <c r="P138" s="74">
        <f t="shared" si="82"/>
        <v>12.625</v>
      </c>
      <c r="Q138" s="74">
        <f t="shared" si="83"/>
        <v>14.8125</v>
      </c>
      <c r="R138" s="114">
        <v>17</v>
      </c>
      <c r="S138" s="129"/>
      <c r="T138" s="117">
        <f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18.080538461538463</v>
      </c>
      <c r="U138" s="117"/>
      <c r="V138" s="129"/>
      <c r="W138" s="114"/>
    </row>
    <row r="139" spans="2:23">
      <c r="B139" s="114">
        <v>23</v>
      </c>
      <c r="C139" s="74">
        <f t="shared" si="71"/>
        <v>21.5</v>
      </c>
      <c r="D139" s="74">
        <f t="shared" si="72"/>
        <v>20</v>
      </c>
      <c r="E139" s="74">
        <f t="shared" si="73"/>
        <v>18.5</v>
      </c>
      <c r="F139" s="114">
        <v>17</v>
      </c>
      <c r="G139" s="74">
        <f t="shared" si="74"/>
        <v>15.5</v>
      </c>
      <c r="H139" s="74">
        <f t="shared" si="75"/>
        <v>14</v>
      </c>
      <c r="I139" s="74">
        <f t="shared" si="76"/>
        <v>12.5</v>
      </c>
      <c r="J139" s="114">
        <f t="shared" si="77"/>
        <v>11</v>
      </c>
      <c r="K139" s="74">
        <f t="shared" si="78"/>
        <v>9.875</v>
      </c>
      <c r="L139" s="74">
        <f t="shared" si="79"/>
        <v>8.75</v>
      </c>
      <c r="M139" s="74">
        <f t="shared" si="80"/>
        <v>7.625</v>
      </c>
      <c r="N139" s="114">
        <f t="shared" si="84"/>
        <v>6.5</v>
      </c>
      <c r="O139" s="74">
        <f t="shared" si="81"/>
        <v>9.125</v>
      </c>
      <c r="P139" s="74">
        <f t="shared" si="82"/>
        <v>11.75</v>
      </c>
      <c r="Q139" s="74">
        <f t="shared" si="83"/>
        <v>14.375</v>
      </c>
      <c r="R139" s="114">
        <v>17</v>
      </c>
      <c r="S139" s="129"/>
      <c r="T139" s="117">
        <f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17.787938461538463</v>
      </c>
      <c r="U139" s="117"/>
      <c r="V139" s="129"/>
      <c r="W139" s="114"/>
    </row>
    <row r="140" spans="2:23">
      <c r="B140" s="114">
        <v>24</v>
      </c>
      <c r="C140" s="74">
        <f t="shared" si="71"/>
        <v>22.25</v>
      </c>
      <c r="D140" s="74">
        <f t="shared" si="72"/>
        <v>20.5</v>
      </c>
      <c r="E140" s="74">
        <f t="shared" si="73"/>
        <v>18.75</v>
      </c>
      <c r="F140" s="114">
        <v>17</v>
      </c>
      <c r="G140" s="74">
        <f t="shared" si="74"/>
        <v>15.25</v>
      </c>
      <c r="H140" s="74">
        <f t="shared" si="75"/>
        <v>13.5</v>
      </c>
      <c r="I140" s="74">
        <f t="shared" si="76"/>
        <v>11.75</v>
      </c>
      <c r="J140" s="114">
        <f t="shared" si="77"/>
        <v>10</v>
      </c>
      <c r="K140" s="74">
        <f t="shared" si="78"/>
        <v>8.6875</v>
      </c>
      <c r="L140" s="74">
        <f t="shared" si="79"/>
        <v>7.375</v>
      </c>
      <c r="M140" s="74">
        <f t="shared" si="80"/>
        <v>6.0625</v>
      </c>
      <c r="N140" s="114">
        <f t="shared" si="84"/>
        <v>4.75</v>
      </c>
      <c r="O140" s="74">
        <f t="shared" si="81"/>
        <v>7.8125</v>
      </c>
      <c r="P140" s="74">
        <f t="shared" si="82"/>
        <v>10.875</v>
      </c>
      <c r="Q140" s="74">
        <f t="shared" si="83"/>
        <v>13.9375</v>
      </c>
      <c r="R140" s="114">
        <v>17</v>
      </c>
      <c r="S140" s="129"/>
      <c r="T140" s="117">
        <f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17.404824175824178</v>
      </c>
      <c r="U140" s="117"/>
      <c r="V140" s="129"/>
      <c r="W140" s="114"/>
    </row>
    <row r="141" spans="2:23">
      <c r="B141" s="114">
        <v>25</v>
      </c>
      <c r="C141" s="74">
        <f t="shared" si="71"/>
        <v>23</v>
      </c>
      <c r="D141" s="74">
        <f t="shared" si="72"/>
        <v>21</v>
      </c>
      <c r="E141" s="74">
        <f t="shared" si="73"/>
        <v>19</v>
      </c>
      <c r="F141" s="114">
        <v>17</v>
      </c>
      <c r="G141" s="74">
        <f t="shared" si="74"/>
        <v>15</v>
      </c>
      <c r="H141" s="74">
        <f t="shared" si="75"/>
        <v>13</v>
      </c>
      <c r="I141" s="74">
        <f t="shared" si="76"/>
        <v>11</v>
      </c>
      <c r="J141" s="114">
        <f t="shared" si="77"/>
        <v>9</v>
      </c>
      <c r="K141" s="74">
        <f t="shared" si="78"/>
        <v>7.5</v>
      </c>
      <c r="L141" s="74">
        <f t="shared" si="79"/>
        <v>6</v>
      </c>
      <c r="M141" s="74">
        <f t="shared" si="80"/>
        <v>4.5</v>
      </c>
      <c r="N141" s="114">
        <f t="shared" si="84"/>
        <v>3</v>
      </c>
      <c r="O141" s="74">
        <f t="shared" si="81"/>
        <v>6.5</v>
      </c>
      <c r="P141" s="74">
        <f t="shared" si="82"/>
        <v>10</v>
      </c>
      <c r="Q141" s="74">
        <f t="shared" si="83"/>
        <v>13.5</v>
      </c>
      <c r="R141" s="114">
        <v>17</v>
      </c>
      <c r="S141" s="129"/>
      <c r="T141" s="117">
        <f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17.180895604395605</v>
      </c>
      <c r="U141" s="117"/>
      <c r="V141" s="129"/>
      <c r="W141" s="114"/>
    </row>
    <row r="142" spans="2:23">
      <c r="B142" s="114">
        <v>26</v>
      </c>
      <c r="C142" s="74">
        <f t="shared" si="71"/>
        <v>23.75</v>
      </c>
      <c r="D142" s="74">
        <f t="shared" si="72"/>
        <v>21.5</v>
      </c>
      <c r="E142" s="74">
        <f t="shared" si="73"/>
        <v>19.25</v>
      </c>
      <c r="F142" s="114">
        <v>17</v>
      </c>
      <c r="G142" s="74">
        <f t="shared" si="74"/>
        <v>14.75</v>
      </c>
      <c r="H142" s="74">
        <f t="shared" si="75"/>
        <v>12.5</v>
      </c>
      <c r="I142" s="74">
        <f t="shared" si="76"/>
        <v>10.25</v>
      </c>
      <c r="J142" s="114">
        <f t="shared" si="77"/>
        <v>8</v>
      </c>
      <c r="K142" s="74">
        <f t="shared" si="78"/>
        <v>6.3125</v>
      </c>
      <c r="L142" s="74">
        <f t="shared" si="79"/>
        <v>4.625</v>
      </c>
      <c r="M142" s="74">
        <f t="shared" si="80"/>
        <v>2.9375</v>
      </c>
      <c r="N142" s="114">
        <f t="shared" si="84"/>
        <v>1.25</v>
      </c>
      <c r="O142" s="74">
        <f t="shared" si="81"/>
        <v>5.1875</v>
      </c>
      <c r="P142" s="74">
        <f t="shared" si="82"/>
        <v>9.125</v>
      </c>
      <c r="Q142" s="74">
        <f t="shared" si="83"/>
        <v>13.0625</v>
      </c>
      <c r="R142" s="114">
        <v>17</v>
      </c>
      <c r="S142" s="129"/>
      <c r="T142" s="126">
        <f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17.286338461538463</v>
      </c>
      <c r="U142" s="126"/>
      <c r="V142" s="129"/>
      <c r="W142" s="114"/>
    </row>
    <row r="143" spans="2:23">
      <c r="B143" s="114"/>
      <c r="C143" s="74"/>
      <c r="D143" s="74"/>
      <c r="E143" s="74"/>
      <c r="F143" s="114"/>
      <c r="G143" s="74"/>
      <c r="H143" s="74"/>
      <c r="I143" s="74"/>
      <c r="J143" s="114"/>
      <c r="K143" s="74"/>
      <c r="L143" s="74"/>
      <c r="M143" s="74"/>
      <c r="N143" s="114"/>
      <c r="O143" s="74"/>
      <c r="P143" s="74"/>
      <c r="Q143" s="74"/>
      <c r="R143" s="114"/>
      <c r="S143" s="129"/>
      <c r="T143" s="117"/>
      <c r="U143" s="117"/>
      <c r="V143" s="129"/>
      <c r="W143" s="114"/>
    </row>
    <row r="144" spans="2:23">
      <c r="B144" s="114">
        <v>19</v>
      </c>
      <c r="C144" s="74">
        <f t="shared" si="71"/>
        <v>18.75</v>
      </c>
      <c r="D144" s="74">
        <f t="shared" si="72"/>
        <v>18.5</v>
      </c>
      <c r="E144" s="74">
        <f t="shared" si="73"/>
        <v>18.25</v>
      </c>
      <c r="F144" s="114">
        <v>18</v>
      </c>
      <c r="G144" s="74">
        <f t="shared" si="74"/>
        <v>17.75</v>
      </c>
      <c r="H144" s="74">
        <f t="shared" si="75"/>
        <v>17.5</v>
      </c>
      <c r="I144" s="74">
        <f t="shared" si="76"/>
        <v>17.25</v>
      </c>
      <c r="J144" s="114">
        <f t="shared" si="77"/>
        <v>17</v>
      </c>
      <c r="K144" s="74">
        <f t="shared" si="78"/>
        <v>16.8125</v>
      </c>
      <c r="L144" s="74">
        <f t="shared" si="79"/>
        <v>16.625</v>
      </c>
      <c r="M144" s="74">
        <f t="shared" si="80"/>
        <v>16.4375</v>
      </c>
      <c r="N144" s="114">
        <f t="shared" ref="N144:N152" si="85">SUM(F144,-B144,J144,0.25*ABS(J144-F144))</f>
        <v>16.25</v>
      </c>
      <c r="O144" s="74">
        <f t="shared" ref="O144:O152" si="86">SUM(0.25*(R144-N144),N144)</f>
        <v>16.4375</v>
      </c>
      <c r="P144" s="74">
        <f t="shared" ref="P144:P152" si="87">SUM(0.5*(R144-N144),N144)</f>
        <v>16.625</v>
      </c>
      <c r="Q144" s="74">
        <f t="shared" ref="Q144:Q152" si="88">SUM(0.75*(R144-N144),N144)</f>
        <v>16.8125</v>
      </c>
      <c r="R144" s="114">
        <v>17</v>
      </c>
      <c r="S144" s="129"/>
      <c r="T144" s="117">
        <f>SUM((BR20+BS19+BS18+BT17+BT16+BU15+BU14+BV13+BV12+BW11+BW10+BX9+BX8+BW7+BW6+BV5+BV4)*0.132,17)</f>
        <v>17.651538461538461</v>
      </c>
      <c r="U144" s="117"/>
      <c r="V144" s="129"/>
      <c r="W144" s="114"/>
    </row>
    <row r="145" spans="2:23">
      <c r="B145" s="114">
        <v>20</v>
      </c>
      <c r="C145" s="74">
        <f t="shared" si="71"/>
        <v>19.5</v>
      </c>
      <c r="D145" s="74">
        <f t="shared" si="72"/>
        <v>19</v>
      </c>
      <c r="E145" s="74">
        <f t="shared" si="73"/>
        <v>18.5</v>
      </c>
      <c r="F145" s="114">
        <v>18</v>
      </c>
      <c r="G145" s="74">
        <f t="shared" si="74"/>
        <v>17.5</v>
      </c>
      <c r="H145" s="74">
        <f t="shared" si="75"/>
        <v>17</v>
      </c>
      <c r="I145" s="74">
        <f t="shared" si="76"/>
        <v>16.5</v>
      </c>
      <c r="J145" s="114">
        <f t="shared" si="77"/>
        <v>16</v>
      </c>
      <c r="K145" s="74">
        <f t="shared" si="78"/>
        <v>15.625</v>
      </c>
      <c r="L145" s="74">
        <f t="shared" si="79"/>
        <v>15.25</v>
      </c>
      <c r="M145" s="74">
        <f t="shared" si="80"/>
        <v>14.875</v>
      </c>
      <c r="N145" s="114">
        <f t="shared" si="85"/>
        <v>14.5</v>
      </c>
      <c r="O145" s="74">
        <f t="shared" si="86"/>
        <v>15.125</v>
      </c>
      <c r="P145" s="74">
        <f t="shared" si="87"/>
        <v>15.75</v>
      </c>
      <c r="Q145" s="74">
        <f t="shared" si="88"/>
        <v>16.375</v>
      </c>
      <c r="R145" s="114">
        <v>17</v>
      </c>
      <c r="S145" s="129"/>
      <c r="T145" s="117">
        <f>SUM((BP20+BQ19+BR18+BS17+BT16+BU15+BV14+BW13+BX12+BY11+BY10+BZ9+BZ8+BY7+BX6+BW5+BV4)*0.132,17)</f>
        <v>17.783538461538463</v>
      </c>
      <c r="U145" s="117"/>
      <c r="V145" s="129"/>
      <c r="W145" s="114"/>
    </row>
    <row r="146" spans="2:23">
      <c r="B146" s="114">
        <v>21</v>
      </c>
      <c r="C146" s="74">
        <f t="shared" si="71"/>
        <v>20.25</v>
      </c>
      <c r="D146" s="74">
        <f t="shared" si="72"/>
        <v>19.5</v>
      </c>
      <c r="E146" s="74">
        <f t="shared" si="73"/>
        <v>18.75</v>
      </c>
      <c r="F146" s="114">
        <v>18</v>
      </c>
      <c r="G146" s="74">
        <f t="shared" si="74"/>
        <v>17.25</v>
      </c>
      <c r="H146" s="74">
        <f t="shared" si="75"/>
        <v>16.5</v>
      </c>
      <c r="I146" s="74">
        <f t="shared" si="76"/>
        <v>15.75</v>
      </c>
      <c r="J146" s="114">
        <f t="shared" si="77"/>
        <v>15</v>
      </c>
      <c r="K146" s="74">
        <f t="shared" si="78"/>
        <v>14.4375</v>
      </c>
      <c r="L146" s="74">
        <f t="shared" si="79"/>
        <v>13.875</v>
      </c>
      <c r="M146" s="74">
        <f t="shared" si="80"/>
        <v>13.3125</v>
      </c>
      <c r="N146" s="114">
        <f t="shared" si="85"/>
        <v>12.75</v>
      </c>
      <c r="O146" s="74">
        <f t="shared" si="86"/>
        <v>13.8125</v>
      </c>
      <c r="P146" s="74">
        <f t="shared" si="87"/>
        <v>14.875</v>
      </c>
      <c r="Q146" s="74">
        <f t="shared" si="88"/>
        <v>15.9375</v>
      </c>
      <c r="R146" s="114">
        <v>17</v>
      </c>
      <c r="S146" s="129"/>
      <c r="T146" s="117">
        <f>SUM((BN20+BQ18+BT16+BW14+BZ12+CA11+CB10+CC9+CD8)*0.132,(BO19+BP19+BR17+BS17+BU15+BV15+BX13+BY13)*0.132/2,(CC7+CB7+CA6+BZ6+BY5+BX5+BW4+BV4)*0.132/2,17)</f>
        <v>17.71753846153846</v>
      </c>
      <c r="U146" s="117"/>
      <c r="V146" s="129"/>
      <c r="W146" s="114"/>
    </row>
    <row r="147" spans="2:23">
      <c r="B147" s="114">
        <v>22</v>
      </c>
      <c r="C147" s="74">
        <f t="shared" si="71"/>
        <v>21</v>
      </c>
      <c r="D147" s="74">
        <f t="shared" si="72"/>
        <v>20</v>
      </c>
      <c r="E147" s="74">
        <f t="shared" si="73"/>
        <v>19</v>
      </c>
      <c r="F147" s="114">
        <v>18</v>
      </c>
      <c r="G147" s="74">
        <f t="shared" si="74"/>
        <v>17</v>
      </c>
      <c r="H147" s="74">
        <f t="shared" si="75"/>
        <v>16</v>
      </c>
      <c r="I147" s="74">
        <f t="shared" si="76"/>
        <v>15</v>
      </c>
      <c r="J147" s="114">
        <f t="shared" si="77"/>
        <v>14</v>
      </c>
      <c r="K147" s="74">
        <f t="shared" si="78"/>
        <v>13.25</v>
      </c>
      <c r="L147" s="74">
        <f t="shared" si="79"/>
        <v>12.5</v>
      </c>
      <c r="M147" s="74">
        <f t="shared" si="80"/>
        <v>11.75</v>
      </c>
      <c r="N147" s="114">
        <f t="shared" si="85"/>
        <v>11</v>
      </c>
      <c r="O147" s="74">
        <f t="shared" si="86"/>
        <v>12.5</v>
      </c>
      <c r="P147" s="74">
        <f t="shared" si="87"/>
        <v>14</v>
      </c>
      <c r="Q147" s="74">
        <f t="shared" si="88"/>
        <v>15.5</v>
      </c>
      <c r="R147" s="114">
        <v>17</v>
      </c>
      <c r="S147" s="129"/>
      <c r="T147" s="117">
        <f>SUM((BL20+BM20+BN19+BO19+BQ17+BR17+BS16+BT16+BU15+BV15+BX13+BY13)*0.132/2,(BP18+BW14+BZ12+CD8+CC9+CB10+CA11)*0.132,(CC7+CB7+CA6+BZ6+BY5+BX5+BW4+BV4)*0.132/2,17)</f>
        <v>17.783538461538463</v>
      </c>
      <c r="U147" s="117"/>
      <c r="V147" s="129"/>
      <c r="W147" s="114"/>
    </row>
    <row r="148" spans="2:23">
      <c r="B148" s="114">
        <v>23</v>
      </c>
      <c r="C148" s="74">
        <f t="shared" si="71"/>
        <v>21.75</v>
      </c>
      <c r="D148" s="74">
        <f t="shared" si="72"/>
        <v>20.5</v>
      </c>
      <c r="E148" s="74">
        <f t="shared" si="73"/>
        <v>19.25</v>
      </c>
      <c r="F148" s="114">
        <v>18</v>
      </c>
      <c r="G148" s="74">
        <f t="shared" si="74"/>
        <v>16.75</v>
      </c>
      <c r="H148" s="74">
        <f t="shared" si="75"/>
        <v>15.5</v>
      </c>
      <c r="I148" s="74">
        <f t="shared" si="76"/>
        <v>14.25</v>
      </c>
      <c r="J148" s="114">
        <f t="shared" si="77"/>
        <v>13</v>
      </c>
      <c r="K148" s="74">
        <f t="shared" si="78"/>
        <v>12.0625</v>
      </c>
      <c r="L148" s="74">
        <f t="shared" si="79"/>
        <v>11.125</v>
      </c>
      <c r="M148" s="74">
        <f t="shared" si="80"/>
        <v>10.1875</v>
      </c>
      <c r="N148" s="114">
        <f t="shared" si="85"/>
        <v>9.25</v>
      </c>
      <c r="O148" s="74">
        <f t="shared" si="86"/>
        <v>11.1875</v>
      </c>
      <c r="P148" s="74">
        <f t="shared" si="87"/>
        <v>13.125</v>
      </c>
      <c r="Q148" s="74">
        <f t="shared" si="88"/>
        <v>15.0625</v>
      </c>
      <c r="R148" s="114">
        <v>17</v>
      </c>
      <c r="S148" s="129"/>
      <c r="T148" s="117">
        <f>SUM((BJ20+BK20+BL19+BM19+BQ17+BR17+BS16+BT16+BX14+BY14+CC12+CD12+CE11+CF11+CG10+CH10+CI9+CJ9+CK8+CL8)*0.132/2,(BN18+BO18+BP18+BU15+BV15+BW15+BZ13+CA13+CB13)*0.132/3,(CK7+CJ7+CI7+CH7++CG6+CF6+CE6+CD6+CC5+CB5+CA5+BZ5+BY4+BX4+BW4+BV4)*0.132/4,17)</f>
        <v>17.838538461538462</v>
      </c>
      <c r="U148" s="117"/>
      <c r="V148" s="129"/>
      <c r="W148" s="114"/>
    </row>
    <row r="149" spans="2:23">
      <c r="B149" s="114">
        <v>24</v>
      </c>
      <c r="C149" s="74">
        <f t="shared" si="71"/>
        <v>22.5</v>
      </c>
      <c r="D149" s="74">
        <f t="shared" si="72"/>
        <v>21</v>
      </c>
      <c r="E149" s="74">
        <f t="shared" si="73"/>
        <v>19.5</v>
      </c>
      <c r="F149" s="114">
        <v>18</v>
      </c>
      <c r="G149" s="74">
        <f t="shared" si="74"/>
        <v>16.5</v>
      </c>
      <c r="H149" s="74">
        <f t="shared" si="75"/>
        <v>15</v>
      </c>
      <c r="I149" s="74">
        <f t="shared" si="76"/>
        <v>13.5</v>
      </c>
      <c r="J149" s="114">
        <f t="shared" si="77"/>
        <v>12</v>
      </c>
      <c r="K149" s="74">
        <f t="shared" si="78"/>
        <v>10.875</v>
      </c>
      <c r="L149" s="74">
        <f t="shared" si="79"/>
        <v>9.75</v>
      </c>
      <c r="M149" s="74">
        <f t="shared" si="80"/>
        <v>8.625</v>
      </c>
      <c r="N149" s="114">
        <f t="shared" si="85"/>
        <v>7.5</v>
      </c>
      <c r="O149" s="74">
        <f t="shared" si="86"/>
        <v>9.875</v>
      </c>
      <c r="P149" s="74">
        <f t="shared" si="87"/>
        <v>12.25</v>
      </c>
      <c r="Q149" s="74">
        <f t="shared" si="88"/>
        <v>14.625</v>
      </c>
      <c r="R149" s="114">
        <v>17</v>
      </c>
      <c r="S149" s="129"/>
      <c r="T149" s="117">
        <f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17.537138461538461</v>
      </c>
      <c r="U149" s="117"/>
      <c r="V149" s="129"/>
      <c r="W149" s="114"/>
    </row>
    <row r="150" spans="2:23">
      <c r="B150" s="114">
        <v>25</v>
      </c>
      <c r="C150" s="74">
        <f t="shared" si="71"/>
        <v>23.25</v>
      </c>
      <c r="D150" s="74">
        <f t="shared" si="72"/>
        <v>21.5</v>
      </c>
      <c r="E150" s="74">
        <f t="shared" si="73"/>
        <v>19.75</v>
      </c>
      <c r="F150" s="114">
        <v>18</v>
      </c>
      <c r="G150" s="74">
        <f t="shared" si="74"/>
        <v>16.25</v>
      </c>
      <c r="H150" s="74">
        <f t="shared" si="75"/>
        <v>14.5</v>
      </c>
      <c r="I150" s="74">
        <f t="shared" si="76"/>
        <v>12.75</v>
      </c>
      <c r="J150" s="114">
        <f t="shared" si="77"/>
        <v>11</v>
      </c>
      <c r="K150" s="74">
        <f t="shared" si="78"/>
        <v>9.6875</v>
      </c>
      <c r="L150" s="74">
        <f t="shared" si="79"/>
        <v>8.375</v>
      </c>
      <c r="M150" s="74">
        <f t="shared" si="80"/>
        <v>7.0625</v>
      </c>
      <c r="N150" s="114">
        <f t="shared" si="85"/>
        <v>5.75</v>
      </c>
      <c r="O150" s="74">
        <f t="shared" si="86"/>
        <v>8.5625</v>
      </c>
      <c r="P150" s="74">
        <f t="shared" si="87"/>
        <v>11.375</v>
      </c>
      <c r="Q150" s="74">
        <f t="shared" si="88"/>
        <v>14.1875</v>
      </c>
      <c r="R150" s="114">
        <v>17</v>
      </c>
      <c r="S150" s="129"/>
      <c r="T150" s="117">
        <f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17.167538461538463</v>
      </c>
      <c r="U150" s="117"/>
      <c r="V150" s="129"/>
      <c r="W150" s="114"/>
    </row>
    <row r="151" spans="2:23">
      <c r="B151" s="114">
        <v>26</v>
      </c>
      <c r="C151" s="74">
        <f t="shared" si="71"/>
        <v>24</v>
      </c>
      <c r="D151" s="74">
        <f t="shared" si="72"/>
        <v>22</v>
      </c>
      <c r="E151" s="74">
        <f t="shared" si="73"/>
        <v>20</v>
      </c>
      <c r="F151" s="114">
        <v>18</v>
      </c>
      <c r="G151" s="74">
        <f t="shared" si="74"/>
        <v>16</v>
      </c>
      <c r="H151" s="74">
        <f t="shared" si="75"/>
        <v>14</v>
      </c>
      <c r="I151" s="74">
        <f t="shared" si="76"/>
        <v>12</v>
      </c>
      <c r="J151" s="114">
        <f t="shared" si="77"/>
        <v>10</v>
      </c>
      <c r="K151" s="74">
        <f t="shared" si="78"/>
        <v>8.5</v>
      </c>
      <c r="L151" s="74">
        <f t="shared" si="79"/>
        <v>7</v>
      </c>
      <c r="M151" s="74">
        <f t="shared" si="80"/>
        <v>5.5</v>
      </c>
      <c r="N151" s="114">
        <f t="shared" si="85"/>
        <v>4</v>
      </c>
      <c r="O151" s="74">
        <f t="shared" si="86"/>
        <v>7.25</v>
      </c>
      <c r="P151" s="74">
        <f t="shared" si="87"/>
        <v>10.5</v>
      </c>
      <c r="Q151" s="74">
        <f t="shared" si="88"/>
        <v>13.75</v>
      </c>
      <c r="R151" s="114">
        <v>17</v>
      </c>
      <c r="S151" s="129"/>
      <c r="T151" s="117">
        <f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16.98368131868132</v>
      </c>
      <c r="U151" s="117"/>
      <c r="V151" s="129"/>
      <c r="W151" s="114"/>
    </row>
    <row r="152" spans="2:23">
      <c r="B152" s="114">
        <v>27</v>
      </c>
      <c r="C152" s="74">
        <f t="shared" si="71"/>
        <v>24.75</v>
      </c>
      <c r="D152" s="74">
        <f t="shared" si="72"/>
        <v>22.5</v>
      </c>
      <c r="E152" s="74">
        <f t="shared" si="73"/>
        <v>20.25</v>
      </c>
      <c r="F152" s="114">
        <v>18</v>
      </c>
      <c r="G152" s="74">
        <f t="shared" si="74"/>
        <v>15.75</v>
      </c>
      <c r="H152" s="74">
        <f t="shared" si="75"/>
        <v>13.5</v>
      </c>
      <c r="I152" s="74">
        <f t="shared" si="76"/>
        <v>11.25</v>
      </c>
      <c r="J152" s="114">
        <f t="shared" si="77"/>
        <v>9</v>
      </c>
      <c r="K152" s="74">
        <f t="shared" si="78"/>
        <v>7.3125</v>
      </c>
      <c r="L152" s="74">
        <f t="shared" si="79"/>
        <v>5.625</v>
      </c>
      <c r="M152" s="74">
        <f t="shared" si="80"/>
        <v>3.9375</v>
      </c>
      <c r="N152" s="114">
        <f t="shared" si="85"/>
        <v>2.25</v>
      </c>
      <c r="O152" s="74">
        <f t="shared" si="86"/>
        <v>5.9375</v>
      </c>
      <c r="P152" s="74">
        <f t="shared" si="87"/>
        <v>9.625</v>
      </c>
      <c r="Q152" s="74">
        <f t="shared" si="88"/>
        <v>13.3125</v>
      </c>
      <c r="R152" s="114">
        <v>17</v>
      </c>
      <c r="S152" s="129"/>
      <c r="T152" s="117">
        <f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16.938738461538463</v>
      </c>
      <c r="U152" s="117"/>
      <c r="V152" s="129"/>
      <c r="W152" s="114"/>
    </row>
    <row r="153" spans="2:23">
      <c r="B153" s="114"/>
      <c r="C153" s="74"/>
      <c r="D153" s="74"/>
      <c r="E153" s="74"/>
      <c r="F153" s="114"/>
      <c r="G153" s="74"/>
      <c r="H153" s="74"/>
      <c r="I153" s="74"/>
      <c r="J153" s="114"/>
      <c r="K153" s="74"/>
      <c r="L153" s="74"/>
      <c r="M153" s="74"/>
      <c r="N153" s="114"/>
      <c r="O153" s="74"/>
      <c r="P153" s="74"/>
      <c r="Q153" s="74"/>
      <c r="R153" s="114"/>
      <c r="S153" s="129"/>
      <c r="T153" s="117"/>
      <c r="U153" s="117"/>
      <c r="V153" s="129"/>
      <c r="W153" s="114"/>
    </row>
    <row r="154" spans="2:23">
      <c r="B154" s="114">
        <v>20</v>
      </c>
      <c r="C154" s="74">
        <f t="shared" si="71"/>
        <v>19.75</v>
      </c>
      <c r="D154" s="74">
        <f t="shared" si="72"/>
        <v>19.5</v>
      </c>
      <c r="E154" s="74">
        <f t="shared" si="73"/>
        <v>19.25</v>
      </c>
      <c r="F154" s="114">
        <v>19</v>
      </c>
      <c r="G154" s="74">
        <f t="shared" si="74"/>
        <v>18.75</v>
      </c>
      <c r="H154" s="74">
        <f t="shared" si="75"/>
        <v>18.5</v>
      </c>
      <c r="I154" s="74">
        <f t="shared" si="76"/>
        <v>18.25</v>
      </c>
      <c r="J154" s="114">
        <f t="shared" si="77"/>
        <v>18</v>
      </c>
      <c r="K154" s="74">
        <f t="shared" si="78"/>
        <v>17.8125</v>
      </c>
      <c r="L154" s="74">
        <f t="shared" si="79"/>
        <v>17.625</v>
      </c>
      <c r="M154" s="74">
        <f t="shared" si="80"/>
        <v>17.4375</v>
      </c>
      <c r="N154" s="114">
        <f t="shared" ref="N154:N163" si="89">SUM(F154,-B154,J154,0.25*ABS(J154-F154))</f>
        <v>17.25</v>
      </c>
      <c r="O154" s="74">
        <f t="shared" ref="O154:O163" si="90">SUM(0.25*(R154-N154),N154)</f>
        <v>17.1875</v>
      </c>
      <c r="P154" s="74">
        <f t="shared" ref="P154:P163" si="91">SUM(0.5*(R154-N154),N154)</f>
        <v>17.125</v>
      </c>
      <c r="Q154" s="74">
        <f t="shared" ref="Q154:Q163" si="92">SUM(0.75*(R154-N154),N154)</f>
        <v>17.0625</v>
      </c>
      <c r="R154" s="114">
        <v>17</v>
      </c>
      <c r="S154" s="129"/>
      <c r="T154" s="117">
        <f>SUM((BP20+BQ19+BQ18+BR17+BR16+BS15+BS14+BT13+BT12+BU11+BU10+BU9+BV8+BV7+BV6+BV5+BV4)*0.132,17)</f>
        <v>17.25553846153846</v>
      </c>
      <c r="U154" s="117"/>
      <c r="V154" s="129"/>
      <c r="W154" s="114"/>
    </row>
    <row r="155" spans="2:23">
      <c r="B155" s="114">
        <v>21</v>
      </c>
      <c r="C155" s="74">
        <f t="shared" si="71"/>
        <v>20.5</v>
      </c>
      <c r="D155" s="74">
        <f t="shared" si="72"/>
        <v>20</v>
      </c>
      <c r="E155" s="74">
        <f t="shared" si="73"/>
        <v>19.5</v>
      </c>
      <c r="F155" s="114">
        <v>19</v>
      </c>
      <c r="G155" s="74">
        <f t="shared" si="74"/>
        <v>18.5</v>
      </c>
      <c r="H155" s="74">
        <f t="shared" si="75"/>
        <v>18</v>
      </c>
      <c r="I155" s="74">
        <f t="shared" si="76"/>
        <v>17.5</v>
      </c>
      <c r="J155" s="114">
        <f t="shared" si="77"/>
        <v>17</v>
      </c>
      <c r="K155" s="74">
        <f t="shared" si="78"/>
        <v>16.625</v>
      </c>
      <c r="L155" s="74">
        <f t="shared" si="79"/>
        <v>16.25</v>
      </c>
      <c r="M155" s="74">
        <f t="shared" si="80"/>
        <v>15.875</v>
      </c>
      <c r="N155" s="114">
        <f t="shared" si="89"/>
        <v>15.5</v>
      </c>
      <c r="O155" s="74">
        <f t="shared" si="90"/>
        <v>15.875</v>
      </c>
      <c r="P155" s="74">
        <f t="shared" si="91"/>
        <v>16.25</v>
      </c>
      <c r="Q155" s="74">
        <f t="shared" si="92"/>
        <v>16.625</v>
      </c>
      <c r="R155" s="114">
        <v>17</v>
      </c>
      <c r="S155" s="129"/>
      <c r="T155" s="117">
        <f>SUM((BN20+BO19++BP18+BQ17+BR16+BS15+BT14+BU13+BV12+BW11+BW10+BX9+BX8+BW7+BW6+BV5+BV4)*0.132,17)</f>
        <v>16.991538461538461</v>
      </c>
      <c r="U155" s="117"/>
      <c r="V155" s="129"/>
      <c r="W155" s="114"/>
    </row>
    <row r="156" spans="2:23">
      <c r="B156" s="114">
        <v>22</v>
      </c>
      <c r="C156" s="74">
        <f t="shared" si="71"/>
        <v>21.25</v>
      </c>
      <c r="D156" s="74">
        <f t="shared" si="72"/>
        <v>20.5</v>
      </c>
      <c r="E156" s="74">
        <f t="shared" si="73"/>
        <v>19.75</v>
      </c>
      <c r="F156" s="114">
        <v>19</v>
      </c>
      <c r="G156" s="74">
        <f t="shared" si="74"/>
        <v>18.25</v>
      </c>
      <c r="H156" s="74">
        <f t="shared" si="75"/>
        <v>17.5</v>
      </c>
      <c r="I156" s="74">
        <f t="shared" si="76"/>
        <v>16.75</v>
      </c>
      <c r="J156" s="114">
        <f t="shared" si="77"/>
        <v>16</v>
      </c>
      <c r="K156" s="74">
        <f t="shared" si="78"/>
        <v>15.4375</v>
      </c>
      <c r="L156" s="74">
        <f t="shared" si="79"/>
        <v>14.875</v>
      </c>
      <c r="M156" s="74">
        <f t="shared" si="80"/>
        <v>14.3125</v>
      </c>
      <c r="N156" s="114">
        <f t="shared" si="89"/>
        <v>13.75</v>
      </c>
      <c r="O156" s="74">
        <f t="shared" si="90"/>
        <v>14.5625</v>
      </c>
      <c r="P156" s="74">
        <f t="shared" si="91"/>
        <v>15.375</v>
      </c>
      <c r="Q156" s="74">
        <f t="shared" si="92"/>
        <v>16.1875</v>
      </c>
      <c r="R156" s="114">
        <v>17</v>
      </c>
      <c r="S156" s="129"/>
      <c r="T156" s="117">
        <f>SUM((BL20+BO18+BR16+BU14+BX12+BY11+BZ10+CA9+CB8+BW5+BV4)*0.132,(BM19+BN19+BP17+BQ17+BS15+BT15+BV13+BW13+CA7+BZ7+BY6+BX6)*0.132/2,17)</f>
        <v>17.585538461538462</v>
      </c>
      <c r="U156" s="117"/>
      <c r="V156" s="129"/>
      <c r="W156" s="114"/>
    </row>
    <row r="157" spans="2:23">
      <c r="B157" s="114">
        <v>23</v>
      </c>
      <c r="C157" s="74">
        <f t="shared" si="71"/>
        <v>22</v>
      </c>
      <c r="D157" s="74">
        <f t="shared" si="72"/>
        <v>21</v>
      </c>
      <c r="E157" s="74">
        <f t="shared" si="73"/>
        <v>20</v>
      </c>
      <c r="F157" s="114">
        <v>19</v>
      </c>
      <c r="G157" s="74">
        <f t="shared" si="74"/>
        <v>18</v>
      </c>
      <c r="H157" s="74">
        <f t="shared" si="75"/>
        <v>17</v>
      </c>
      <c r="I157" s="74">
        <f t="shared" si="76"/>
        <v>16</v>
      </c>
      <c r="J157" s="114">
        <f t="shared" si="77"/>
        <v>15</v>
      </c>
      <c r="K157" s="74">
        <f t="shared" si="78"/>
        <v>14.25</v>
      </c>
      <c r="L157" s="74">
        <f t="shared" si="79"/>
        <v>13.5</v>
      </c>
      <c r="M157" s="74">
        <f t="shared" si="80"/>
        <v>12.75</v>
      </c>
      <c r="N157" s="114">
        <f t="shared" si="89"/>
        <v>12</v>
      </c>
      <c r="O157" s="74">
        <f t="shared" si="90"/>
        <v>13.25</v>
      </c>
      <c r="P157" s="74">
        <f t="shared" si="91"/>
        <v>14.5</v>
      </c>
      <c r="Q157" s="74">
        <f t="shared" si="92"/>
        <v>15.75</v>
      </c>
      <c r="R157" s="114">
        <v>17</v>
      </c>
      <c r="S157" s="129"/>
      <c r="T157" s="117">
        <f>SUM((BJ20+CC10+CF8)*0.132,(BK19+BL19+BM18+BN18+BO17+BP17+BQ16+BR16+BS15+BT15+BU14+BV14+BW13+BX13+BY12+BZ12+CA11+CB11+CD9+CE9+BY5+BX5+BW4+BV4)*0.132/2,(CE7+CD7+CC7+CB6+CA6+BZ6)*0.132/3,17)</f>
        <v>17.25553846153846</v>
      </c>
      <c r="U157" s="117"/>
      <c r="V157" s="129"/>
      <c r="W157" s="114"/>
    </row>
    <row r="158" spans="2:23">
      <c r="B158" s="114">
        <v>24</v>
      </c>
      <c r="C158" s="74">
        <f t="shared" si="71"/>
        <v>22.75</v>
      </c>
      <c r="D158" s="74">
        <f t="shared" si="72"/>
        <v>21.5</v>
      </c>
      <c r="E158" s="74">
        <f t="shared" si="73"/>
        <v>20.25</v>
      </c>
      <c r="F158" s="114">
        <v>19</v>
      </c>
      <c r="G158" s="74">
        <f t="shared" si="74"/>
        <v>17.75</v>
      </c>
      <c r="H158" s="74">
        <f t="shared" si="75"/>
        <v>16.5</v>
      </c>
      <c r="I158" s="74">
        <f t="shared" si="76"/>
        <v>15.25</v>
      </c>
      <c r="J158" s="114">
        <f t="shared" si="77"/>
        <v>14</v>
      </c>
      <c r="K158" s="74">
        <f t="shared" si="78"/>
        <v>13.0625</v>
      </c>
      <c r="L158" s="74">
        <f t="shared" si="79"/>
        <v>12.125</v>
      </c>
      <c r="M158" s="74">
        <f t="shared" si="80"/>
        <v>11.1875</v>
      </c>
      <c r="N158" s="114">
        <f t="shared" si="89"/>
        <v>10.25</v>
      </c>
      <c r="O158" s="74">
        <f t="shared" si="90"/>
        <v>11.9375</v>
      </c>
      <c r="P158" s="74">
        <f t="shared" si="91"/>
        <v>13.625</v>
      </c>
      <c r="Q158" s="74">
        <f t="shared" si="92"/>
        <v>15.3125</v>
      </c>
      <c r="R158" s="114">
        <v>17</v>
      </c>
      <c r="S158" s="129"/>
      <c r="T158" s="117">
        <f>SUM((BH20+BI20+BJ19+BK19+BO17+BP17+BQ16+BR16+BV14+BW14+CA12+CB12+CC11+CD11+CE10+CF10+CG9+CH9+CI8+CJ8)*0.132/2,(BL18+BM18+BN18+BS15+BT15+BU15+BX13+BY13+BZ13)*0.132/3,(CI7+CH7+CG7+CF7+CE6+CD6+CC6+CB6)*0.132/4,(CA5+BZ5+BY5+BX4+BW4+BV4)*0.132/3,17)</f>
        <v>17.200538461538461</v>
      </c>
      <c r="U158" s="117"/>
      <c r="V158" s="129"/>
      <c r="W158" s="114"/>
    </row>
    <row r="159" spans="2:23">
      <c r="B159" s="114">
        <v>25</v>
      </c>
      <c r="C159" s="74">
        <f t="shared" si="71"/>
        <v>23.5</v>
      </c>
      <c r="D159" s="74">
        <f t="shared" si="72"/>
        <v>22</v>
      </c>
      <c r="E159" s="74">
        <f t="shared" si="73"/>
        <v>20.5</v>
      </c>
      <c r="F159" s="114">
        <v>19</v>
      </c>
      <c r="G159" s="74">
        <f t="shared" si="74"/>
        <v>17.5</v>
      </c>
      <c r="H159" s="74">
        <f t="shared" si="75"/>
        <v>16</v>
      </c>
      <c r="I159" s="74">
        <f t="shared" si="76"/>
        <v>14.5</v>
      </c>
      <c r="J159" s="114">
        <f t="shared" si="77"/>
        <v>13</v>
      </c>
      <c r="K159" s="74">
        <f t="shared" si="78"/>
        <v>11.875</v>
      </c>
      <c r="L159" s="74">
        <f t="shared" si="79"/>
        <v>10.75</v>
      </c>
      <c r="M159" s="74">
        <f t="shared" si="80"/>
        <v>9.625</v>
      </c>
      <c r="N159" s="114">
        <f t="shared" si="89"/>
        <v>8.5</v>
      </c>
      <c r="O159" s="74">
        <f t="shared" si="90"/>
        <v>10.625</v>
      </c>
      <c r="P159" s="74">
        <f t="shared" si="91"/>
        <v>12.75</v>
      </c>
      <c r="Q159" s="74">
        <f t="shared" si="92"/>
        <v>14.875</v>
      </c>
      <c r="R159" s="114">
        <v>17</v>
      </c>
      <c r="S159" s="129"/>
      <c r="T159" s="117">
        <f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17.31053846153846</v>
      </c>
      <c r="U159" s="117"/>
      <c r="V159" s="129"/>
      <c r="W159" s="114"/>
    </row>
    <row r="160" spans="2:23">
      <c r="B160" s="114">
        <v>26</v>
      </c>
      <c r="C160" s="74">
        <f t="shared" si="71"/>
        <v>24.25</v>
      </c>
      <c r="D160" s="74">
        <f t="shared" si="72"/>
        <v>22.5</v>
      </c>
      <c r="E160" s="74">
        <f t="shared" si="73"/>
        <v>20.75</v>
      </c>
      <c r="F160" s="114">
        <v>19</v>
      </c>
      <c r="G160" s="74">
        <f t="shared" si="74"/>
        <v>17.25</v>
      </c>
      <c r="H160" s="74">
        <f t="shared" si="75"/>
        <v>15.5</v>
      </c>
      <c r="I160" s="74">
        <f t="shared" si="76"/>
        <v>13.75</v>
      </c>
      <c r="J160" s="114">
        <f t="shared" si="77"/>
        <v>12</v>
      </c>
      <c r="K160" s="74">
        <f t="shared" si="78"/>
        <v>10.6875</v>
      </c>
      <c r="L160" s="74">
        <f t="shared" si="79"/>
        <v>9.375</v>
      </c>
      <c r="M160" s="74">
        <f t="shared" si="80"/>
        <v>8.0625</v>
      </c>
      <c r="N160" s="114">
        <f t="shared" si="89"/>
        <v>6.75</v>
      </c>
      <c r="O160" s="74">
        <f t="shared" si="90"/>
        <v>9.3125</v>
      </c>
      <c r="P160" s="74">
        <f t="shared" si="91"/>
        <v>11.875</v>
      </c>
      <c r="Q160" s="74">
        <f t="shared" si="92"/>
        <v>14.4375</v>
      </c>
      <c r="R160" s="114">
        <v>17</v>
      </c>
      <c r="S160" s="129"/>
      <c r="T160" s="117">
        <f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17.138938461538462</v>
      </c>
      <c r="U160" s="117"/>
      <c r="V160" s="129"/>
      <c r="W160" s="114"/>
    </row>
    <row r="161" spans="2:23">
      <c r="B161" s="114">
        <v>27</v>
      </c>
      <c r="C161" s="74">
        <f t="shared" si="71"/>
        <v>25</v>
      </c>
      <c r="D161" s="74">
        <f t="shared" si="72"/>
        <v>23</v>
      </c>
      <c r="E161" s="74">
        <f t="shared" si="73"/>
        <v>21</v>
      </c>
      <c r="F161" s="114">
        <v>19</v>
      </c>
      <c r="G161" s="74">
        <f t="shared" si="74"/>
        <v>17</v>
      </c>
      <c r="H161" s="74">
        <f t="shared" si="75"/>
        <v>15</v>
      </c>
      <c r="I161" s="74">
        <f t="shared" si="76"/>
        <v>13</v>
      </c>
      <c r="J161" s="114">
        <f t="shared" si="77"/>
        <v>11</v>
      </c>
      <c r="K161" s="74">
        <f t="shared" si="78"/>
        <v>9.5</v>
      </c>
      <c r="L161" s="74">
        <f t="shared" si="79"/>
        <v>8</v>
      </c>
      <c r="M161" s="74">
        <f t="shared" si="80"/>
        <v>6.5</v>
      </c>
      <c r="N161" s="114">
        <f t="shared" si="89"/>
        <v>5</v>
      </c>
      <c r="O161" s="74">
        <f t="shared" si="90"/>
        <v>8</v>
      </c>
      <c r="P161" s="74">
        <f t="shared" si="91"/>
        <v>11</v>
      </c>
      <c r="Q161" s="74">
        <f t="shared" si="92"/>
        <v>14</v>
      </c>
      <c r="R161" s="114">
        <v>17</v>
      </c>
      <c r="S161" s="129"/>
      <c r="T161" s="117">
        <f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16.964824175824177</v>
      </c>
      <c r="U161" s="117"/>
      <c r="V161" s="129"/>
      <c r="W161" s="114"/>
    </row>
    <row r="162" spans="2:23">
      <c r="B162" s="114">
        <v>28</v>
      </c>
      <c r="C162" s="74">
        <f t="shared" si="71"/>
        <v>25.75</v>
      </c>
      <c r="D162" s="74">
        <f t="shared" si="72"/>
        <v>23.5</v>
      </c>
      <c r="E162" s="74">
        <f t="shared" si="73"/>
        <v>21.25</v>
      </c>
      <c r="F162" s="114">
        <v>19</v>
      </c>
      <c r="G162" s="74">
        <f t="shared" si="74"/>
        <v>16.75</v>
      </c>
      <c r="H162" s="74">
        <f t="shared" si="75"/>
        <v>14.5</v>
      </c>
      <c r="I162" s="74">
        <f t="shared" si="76"/>
        <v>12.25</v>
      </c>
      <c r="J162" s="114">
        <f t="shared" si="77"/>
        <v>10</v>
      </c>
      <c r="K162" s="74">
        <f t="shared" si="78"/>
        <v>8.3125</v>
      </c>
      <c r="L162" s="74">
        <f t="shared" si="79"/>
        <v>6.625</v>
      </c>
      <c r="M162" s="74">
        <f t="shared" si="80"/>
        <v>4.9375</v>
      </c>
      <c r="N162" s="114">
        <f t="shared" si="89"/>
        <v>3.25</v>
      </c>
      <c r="O162" s="74">
        <f t="shared" si="90"/>
        <v>6.6875</v>
      </c>
      <c r="P162" s="74">
        <f t="shared" si="91"/>
        <v>10.125</v>
      </c>
      <c r="Q162" s="74">
        <f t="shared" si="92"/>
        <v>13.5625</v>
      </c>
      <c r="R162" s="114">
        <v>17</v>
      </c>
      <c r="S162" s="129"/>
      <c r="T162" s="117">
        <f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16.782695604395606</v>
      </c>
      <c r="U162" s="117"/>
      <c r="V162" s="129"/>
      <c r="W162" s="114"/>
    </row>
    <row r="163" spans="2:23">
      <c r="B163" s="114">
        <v>29</v>
      </c>
      <c r="C163" s="74">
        <f t="shared" si="71"/>
        <v>26.5</v>
      </c>
      <c r="D163" s="74">
        <f t="shared" si="72"/>
        <v>24</v>
      </c>
      <c r="E163" s="74">
        <f t="shared" si="73"/>
        <v>21.5</v>
      </c>
      <c r="F163" s="114">
        <v>19</v>
      </c>
      <c r="G163" s="74">
        <f t="shared" si="74"/>
        <v>16.5</v>
      </c>
      <c r="H163" s="74">
        <f t="shared" si="75"/>
        <v>14</v>
      </c>
      <c r="I163" s="74">
        <f t="shared" si="76"/>
        <v>11.5</v>
      </c>
      <c r="J163" s="114">
        <f t="shared" si="77"/>
        <v>9</v>
      </c>
      <c r="K163" s="74">
        <f t="shared" si="78"/>
        <v>7.125</v>
      </c>
      <c r="L163" s="74">
        <f t="shared" si="79"/>
        <v>5.25</v>
      </c>
      <c r="M163" s="74">
        <f t="shared" si="80"/>
        <v>3.375</v>
      </c>
      <c r="N163" s="114">
        <f t="shared" si="89"/>
        <v>1.5</v>
      </c>
      <c r="O163" s="74">
        <f t="shared" si="90"/>
        <v>5.375</v>
      </c>
      <c r="P163" s="74">
        <f t="shared" si="91"/>
        <v>9.25</v>
      </c>
      <c r="Q163" s="74">
        <f t="shared" si="92"/>
        <v>13.125</v>
      </c>
      <c r="R163" s="114">
        <v>17</v>
      </c>
      <c r="S163" s="129"/>
      <c r="T163" s="126">
        <f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16.883424175824178</v>
      </c>
      <c r="U163" s="126"/>
      <c r="V163" s="129"/>
      <c r="W163" s="114"/>
    </row>
    <row r="164" spans="2:23">
      <c r="B164" s="114"/>
      <c r="C164" s="74"/>
      <c r="D164" s="74"/>
      <c r="E164" s="74"/>
      <c r="F164" s="114"/>
      <c r="G164" s="74"/>
      <c r="H164" s="74"/>
      <c r="I164" s="74"/>
      <c r="J164" s="114"/>
      <c r="K164" s="74"/>
      <c r="L164" s="74"/>
      <c r="M164" s="74"/>
      <c r="N164" s="114"/>
      <c r="O164" s="74"/>
      <c r="P164" s="74"/>
      <c r="Q164" s="74"/>
      <c r="R164" s="114"/>
      <c r="S164" s="129"/>
      <c r="T164" s="117"/>
      <c r="U164" s="117"/>
      <c r="V164" s="129"/>
      <c r="W164" s="114"/>
    </row>
    <row r="165" spans="2:23">
      <c r="B165" s="114">
        <v>21</v>
      </c>
      <c r="C165" s="74">
        <f t="shared" si="71"/>
        <v>20.75</v>
      </c>
      <c r="D165" s="74">
        <f t="shared" si="72"/>
        <v>20.5</v>
      </c>
      <c r="E165" s="74">
        <f t="shared" si="73"/>
        <v>20.25</v>
      </c>
      <c r="F165" s="114">
        <v>20</v>
      </c>
      <c r="G165" s="74">
        <f t="shared" si="74"/>
        <v>19.75</v>
      </c>
      <c r="H165" s="74">
        <f t="shared" si="75"/>
        <v>19.5</v>
      </c>
      <c r="I165" s="74">
        <f t="shared" si="76"/>
        <v>19.25</v>
      </c>
      <c r="J165" s="114">
        <f t="shared" si="77"/>
        <v>19</v>
      </c>
      <c r="K165" s="74">
        <f t="shared" si="78"/>
        <v>18.75</v>
      </c>
      <c r="L165" s="74">
        <f t="shared" si="79"/>
        <v>18.5</v>
      </c>
      <c r="M165" s="74">
        <f t="shared" si="80"/>
        <v>18.25</v>
      </c>
      <c r="N165" s="114">
        <f>SUM(J165,J165,-F165)</f>
        <v>18</v>
      </c>
      <c r="O165" s="74">
        <f t="shared" ref="O165:O174" si="93">SUM(0.25*(R165-N165),N165)</f>
        <v>17.75</v>
      </c>
      <c r="P165" s="74">
        <f t="shared" ref="P165:P174" si="94">SUM(0.5*(R165-N165),N165)</f>
        <v>17.5</v>
      </c>
      <c r="Q165" s="74">
        <f t="shared" ref="Q165:Q174" si="95">SUM(0.75*(R165-N165),N165)</f>
        <v>17.25</v>
      </c>
      <c r="R165" s="114">
        <v>17</v>
      </c>
      <c r="S165" s="129"/>
      <c r="T165" s="117">
        <f>SUM((BP20+BQ19+BQ18+BR17+BR16+BS15+BS14+BT13+BT12+BU11+BU10+BU9+BV8+BV7+BV6+BV5+BV4)*0.132,17)</f>
        <v>17.25553846153846</v>
      </c>
      <c r="U165" s="117"/>
      <c r="V165" s="129"/>
      <c r="W165" s="114"/>
    </row>
    <row r="166" spans="2:23">
      <c r="B166" s="114">
        <v>22</v>
      </c>
      <c r="C166" s="74">
        <f t="shared" si="71"/>
        <v>21.5</v>
      </c>
      <c r="D166" s="74">
        <f t="shared" si="72"/>
        <v>21</v>
      </c>
      <c r="E166" s="74">
        <f t="shared" si="73"/>
        <v>20.5</v>
      </c>
      <c r="F166" s="114">
        <v>20</v>
      </c>
      <c r="G166" s="74">
        <f t="shared" si="74"/>
        <v>19.5</v>
      </c>
      <c r="H166" s="74">
        <f t="shared" si="75"/>
        <v>19</v>
      </c>
      <c r="I166" s="74">
        <f t="shared" si="76"/>
        <v>18.5</v>
      </c>
      <c r="J166" s="114">
        <f t="shared" si="77"/>
        <v>18</v>
      </c>
      <c r="K166" s="74">
        <f t="shared" si="78"/>
        <v>17.625</v>
      </c>
      <c r="L166" s="74">
        <f t="shared" si="79"/>
        <v>17.25</v>
      </c>
      <c r="M166" s="74">
        <f t="shared" si="80"/>
        <v>16.875</v>
      </c>
      <c r="N166" s="114">
        <f t="shared" ref="N166:N174" si="96">SUM(F166,-B166,J166,0.25*ABS(J166-F166))</f>
        <v>16.5</v>
      </c>
      <c r="O166" s="74">
        <f t="shared" si="93"/>
        <v>16.625</v>
      </c>
      <c r="P166" s="74">
        <f t="shared" si="94"/>
        <v>16.75</v>
      </c>
      <c r="Q166" s="74">
        <f t="shared" si="95"/>
        <v>16.875</v>
      </c>
      <c r="R166" s="114">
        <v>17</v>
      </c>
      <c r="S166" s="129"/>
      <c r="T166" s="117">
        <f>SUM((BL20+BM19+BN18+BO17+BP16+BQ15+BR14+BS13+BT12+BU11+BU10+BU9+BV8+BV7+BV6+BV5+BV4)*0.132,17)</f>
        <v>17.387538461538462</v>
      </c>
      <c r="U166" s="117"/>
      <c r="V166" s="129"/>
      <c r="W166" s="114"/>
    </row>
    <row r="167" spans="2:23">
      <c r="B167" s="114">
        <v>23</v>
      </c>
      <c r="C167" s="74">
        <f t="shared" si="71"/>
        <v>22.25</v>
      </c>
      <c r="D167" s="74">
        <f t="shared" si="72"/>
        <v>21.5</v>
      </c>
      <c r="E167" s="74">
        <f t="shared" si="73"/>
        <v>20.75</v>
      </c>
      <c r="F167" s="114">
        <v>20</v>
      </c>
      <c r="G167" s="74">
        <f t="shared" si="74"/>
        <v>19.25</v>
      </c>
      <c r="H167" s="74">
        <f t="shared" si="75"/>
        <v>18.5</v>
      </c>
      <c r="I167" s="74">
        <f t="shared" si="76"/>
        <v>17.75</v>
      </c>
      <c r="J167" s="114">
        <f t="shared" si="77"/>
        <v>17</v>
      </c>
      <c r="K167" s="74">
        <f t="shared" si="78"/>
        <v>16.4375</v>
      </c>
      <c r="L167" s="74">
        <f t="shared" si="79"/>
        <v>15.875</v>
      </c>
      <c r="M167" s="74">
        <f t="shared" si="80"/>
        <v>15.3125</v>
      </c>
      <c r="N167" s="114">
        <f t="shared" si="96"/>
        <v>14.75</v>
      </c>
      <c r="O167" s="74">
        <f t="shared" si="93"/>
        <v>15.3125</v>
      </c>
      <c r="P167" s="74">
        <f t="shared" si="94"/>
        <v>15.875</v>
      </c>
      <c r="Q167" s="74">
        <f t="shared" si="95"/>
        <v>16.4375</v>
      </c>
      <c r="R167" s="114">
        <v>17</v>
      </c>
      <c r="S167" s="129"/>
      <c r="T167" s="117">
        <f>SUM((BJ20+BM18+BP16+BS14+BV12+BW11+BX10+BY9+BZ8+BY7+BX6+BW5+BV4)*0.132,(BK19+BL19+BN17+BO17+BQ15+BR15+BT13+BU13)*0.132/2,17)</f>
        <v>16.991538461538461</v>
      </c>
      <c r="U167" s="117"/>
      <c r="V167" s="129"/>
      <c r="W167" s="114"/>
    </row>
    <row r="168" spans="2:23">
      <c r="B168" s="114">
        <v>24</v>
      </c>
      <c r="C168" s="74">
        <f t="shared" si="71"/>
        <v>23</v>
      </c>
      <c r="D168" s="74">
        <f t="shared" si="72"/>
        <v>22</v>
      </c>
      <c r="E168" s="74">
        <f t="shared" si="73"/>
        <v>21</v>
      </c>
      <c r="F168" s="114">
        <v>20</v>
      </c>
      <c r="G168" s="74">
        <f t="shared" si="74"/>
        <v>19</v>
      </c>
      <c r="H168" s="74">
        <f t="shared" si="75"/>
        <v>18</v>
      </c>
      <c r="I168" s="74">
        <f t="shared" si="76"/>
        <v>17</v>
      </c>
      <c r="J168" s="114">
        <f t="shared" si="77"/>
        <v>16</v>
      </c>
      <c r="K168" s="74">
        <f t="shared" si="78"/>
        <v>15.25</v>
      </c>
      <c r="L168" s="74">
        <f t="shared" si="79"/>
        <v>14.5</v>
      </c>
      <c r="M168" s="74">
        <f t="shared" si="80"/>
        <v>13.75</v>
      </c>
      <c r="N168" s="114">
        <f t="shared" si="96"/>
        <v>13</v>
      </c>
      <c r="O168" s="74">
        <f t="shared" si="93"/>
        <v>14</v>
      </c>
      <c r="P168" s="74">
        <f t="shared" si="94"/>
        <v>15</v>
      </c>
      <c r="Q168" s="74">
        <f t="shared" si="95"/>
        <v>16</v>
      </c>
      <c r="R168" s="114">
        <v>17</v>
      </c>
      <c r="S168" s="129"/>
      <c r="T168" s="117">
        <f>SUM(BH20*0.132,(BJ19+BI19+BK18+BL18+BM17+BN17+BP16+BO16+BT14+BU14+BY12+BZ12+CA11+CB11+CC10+CD10+CE9+CF9+CG8+CH8)*0.132/2,(BQ15+BR15+BS15+BV13+BW13+BX13+CG7+CF7+CE7+CD6+CC6+CB6+CA5+BZ5+BY5+BX4+BW4+BV4)*0.132/3,17)</f>
        <v>17.233538461538462</v>
      </c>
      <c r="U168" s="117"/>
      <c r="V168" s="129"/>
      <c r="W168" s="114"/>
    </row>
    <row r="169" spans="2:23">
      <c r="B169" s="114">
        <v>25</v>
      </c>
      <c r="C169" s="74">
        <f t="shared" si="71"/>
        <v>23.75</v>
      </c>
      <c r="D169" s="74">
        <f t="shared" si="72"/>
        <v>22.5</v>
      </c>
      <c r="E169" s="74">
        <f t="shared" si="73"/>
        <v>21.25</v>
      </c>
      <c r="F169" s="114">
        <v>20</v>
      </c>
      <c r="G169" s="74">
        <f t="shared" si="74"/>
        <v>18.75</v>
      </c>
      <c r="H169" s="74">
        <f t="shared" si="75"/>
        <v>17.5</v>
      </c>
      <c r="I169" s="74">
        <f t="shared" si="76"/>
        <v>16.25</v>
      </c>
      <c r="J169" s="114">
        <f t="shared" si="77"/>
        <v>15</v>
      </c>
      <c r="K169" s="74">
        <f t="shared" si="78"/>
        <v>14.0625</v>
      </c>
      <c r="L169" s="74">
        <f t="shared" si="79"/>
        <v>13.125</v>
      </c>
      <c r="M169" s="74">
        <f t="shared" si="80"/>
        <v>12.1875</v>
      </c>
      <c r="N169" s="114">
        <f t="shared" si="96"/>
        <v>11.25</v>
      </c>
      <c r="O169" s="74">
        <f t="shared" si="93"/>
        <v>12.6875</v>
      </c>
      <c r="P169" s="74">
        <f t="shared" si="94"/>
        <v>14.125</v>
      </c>
      <c r="Q169" s="74">
        <f t="shared" si="95"/>
        <v>15.5625</v>
      </c>
      <c r="R169" s="114">
        <v>17</v>
      </c>
      <c r="S169" s="129"/>
      <c r="T169" s="117">
        <f>SUM((BF20+BG20+BH19+BI19+BM17+BN17+BO16+BP16+BT14+BU14+BY12+BZ12+CA11+CB11+CC10+CD10+CE9+CF9+CG8+CH8)*0.132/2,(BJ18+BK18+BL18+BQ15+BR15+BS15+BV13+BW13+BX13)*0.132/3,(CG7+CF7+CE7+CD6+CC6+CB6+CA5+BZ5+BY5+BX4+BW4+BV4)*0.132/3,17)</f>
        <v>17.233538461538462</v>
      </c>
      <c r="U169" s="117"/>
      <c r="V169" s="129"/>
      <c r="W169" s="114"/>
    </row>
    <row r="170" spans="2:23">
      <c r="B170" s="114">
        <v>26</v>
      </c>
      <c r="C170" s="74">
        <f t="shared" si="71"/>
        <v>24.5</v>
      </c>
      <c r="D170" s="74">
        <f t="shared" si="72"/>
        <v>23</v>
      </c>
      <c r="E170" s="74">
        <f t="shared" si="73"/>
        <v>21.5</v>
      </c>
      <c r="F170" s="114">
        <v>20</v>
      </c>
      <c r="G170" s="74">
        <f t="shared" si="74"/>
        <v>18.5</v>
      </c>
      <c r="H170" s="74">
        <f t="shared" si="75"/>
        <v>17</v>
      </c>
      <c r="I170" s="74">
        <f t="shared" si="76"/>
        <v>15.5</v>
      </c>
      <c r="J170" s="114">
        <f t="shared" si="77"/>
        <v>14</v>
      </c>
      <c r="K170" s="74">
        <f t="shared" si="78"/>
        <v>12.875</v>
      </c>
      <c r="L170" s="74">
        <f t="shared" si="79"/>
        <v>11.75</v>
      </c>
      <c r="M170" s="74">
        <f t="shared" si="80"/>
        <v>10.625</v>
      </c>
      <c r="N170" s="114">
        <f t="shared" si="96"/>
        <v>9.5</v>
      </c>
      <c r="O170" s="74">
        <f t="shared" si="93"/>
        <v>11.375</v>
      </c>
      <c r="P170" s="74">
        <f t="shared" si="94"/>
        <v>13.25</v>
      </c>
      <c r="Q170" s="74">
        <f t="shared" si="95"/>
        <v>15.125</v>
      </c>
      <c r="R170" s="114">
        <v>17</v>
      </c>
      <c r="S170" s="129"/>
      <c r="T170" s="117">
        <f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17.134538461538462</v>
      </c>
      <c r="U170" s="117"/>
      <c r="V170" s="129"/>
      <c r="W170" s="114"/>
    </row>
    <row r="171" spans="2:23">
      <c r="B171" s="114">
        <v>27</v>
      </c>
      <c r="C171" s="74">
        <f t="shared" si="71"/>
        <v>25.25</v>
      </c>
      <c r="D171" s="74">
        <f t="shared" si="72"/>
        <v>23.5</v>
      </c>
      <c r="E171" s="74">
        <f t="shared" si="73"/>
        <v>21.75</v>
      </c>
      <c r="F171" s="114">
        <v>20</v>
      </c>
      <c r="G171" s="74">
        <f t="shared" si="74"/>
        <v>18.25</v>
      </c>
      <c r="H171" s="74">
        <f t="shared" si="75"/>
        <v>16.5</v>
      </c>
      <c r="I171" s="74">
        <f t="shared" si="76"/>
        <v>14.75</v>
      </c>
      <c r="J171" s="114">
        <f t="shared" si="77"/>
        <v>13</v>
      </c>
      <c r="K171" s="74">
        <f t="shared" si="78"/>
        <v>11.6875</v>
      </c>
      <c r="L171" s="74">
        <f t="shared" si="79"/>
        <v>10.375</v>
      </c>
      <c r="M171" s="74">
        <f t="shared" si="80"/>
        <v>9.0625</v>
      </c>
      <c r="N171" s="114">
        <f t="shared" si="96"/>
        <v>7.75</v>
      </c>
      <c r="O171" s="74">
        <f t="shared" si="93"/>
        <v>10.0625</v>
      </c>
      <c r="P171" s="74">
        <f t="shared" si="94"/>
        <v>12.375</v>
      </c>
      <c r="Q171" s="74">
        <f t="shared" si="95"/>
        <v>14.6875</v>
      </c>
      <c r="R171" s="114">
        <v>17</v>
      </c>
      <c r="S171" s="129"/>
      <c r="T171" s="117">
        <f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17.09713846153846</v>
      </c>
      <c r="U171" s="117"/>
      <c r="V171" s="129"/>
      <c r="W171" s="114"/>
    </row>
    <row r="172" spans="2:23">
      <c r="B172" s="114">
        <v>28</v>
      </c>
      <c r="C172" s="74">
        <f t="shared" si="71"/>
        <v>26</v>
      </c>
      <c r="D172" s="74">
        <f t="shared" si="72"/>
        <v>24</v>
      </c>
      <c r="E172" s="74">
        <f t="shared" si="73"/>
        <v>22</v>
      </c>
      <c r="F172" s="114">
        <v>20</v>
      </c>
      <c r="G172" s="74">
        <f t="shared" si="74"/>
        <v>18</v>
      </c>
      <c r="H172" s="74">
        <f t="shared" si="75"/>
        <v>16</v>
      </c>
      <c r="I172" s="74">
        <f t="shared" si="76"/>
        <v>14</v>
      </c>
      <c r="J172" s="114">
        <f t="shared" si="77"/>
        <v>12</v>
      </c>
      <c r="K172" s="74">
        <f t="shared" si="78"/>
        <v>10.5</v>
      </c>
      <c r="L172" s="74">
        <f t="shared" si="79"/>
        <v>9</v>
      </c>
      <c r="M172" s="74">
        <f t="shared" si="80"/>
        <v>7.5</v>
      </c>
      <c r="N172" s="114">
        <f t="shared" si="96"/>
        <v>6</v>
      </c>
      <c r="O172" s="74">
        <f t="shared" si="93"/>
        <v>8.75</v>
      </c>
      <c r="P172" s="74">
        <f t="shared" si="94"/>
        <v>11.5</v>
      </c>
      <c r="Q172" s="74">
        <f t="shared" si="95"/>
        <v>14.25</v>
      </c>
      <c r="R172" s="114">
        <v>17</v>
      </c>
      <c r="S172" s="129"/>
      <c r="T172" s="117">
        <f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16.859538461538463</v>
      </c>
      <c r="U172" s="117"/>
      <c r="V172" s="129"/>
      <c r="W172" s="114"/>
    </row>
    <row r="173" spans="2:23">
      <c r="B173" s="114">
        <v>29</v>
      </c>
      <c r="C173" s="74">
        <f t="shared" si="71"/>
        <v>26.75</v>
      </c>
      <c r="D173" s="74">
        <f t="shared" si="72"/>
        <v>24.5</v>
      </c>
      <c r="E173" s="74">
        <f t="shared" si="73"/>
        <v>22.25</v>
      </c>
      <c r="F173" s="114">
        <v>20</v>
      </c>
      <c r="G173" s="74">
        <f t="shared" si="74"/>
        <v>17.75</v>
      </c>
      <c r="H173" s="74">
        <f t="shared" si="75"/>
        <v>15.5</v>
      </c>
      <c r="I173" s="74">
        <f t="shared" si="76"/>
        <v>13.25</v>
      </c>
      <c r="J173" s="114">
        <f t="shared" si="77"/>
        <v>11</v>
      </c>
      <c r="K173" s="74">
        <f t="shared" si="78"/>
        <v>9.3125</v>
      </c>
      <c r="L173" s="74">
        <f t="shared" si="79"/>
        <v>7.625</v>
      </c>
      <c r="M173" s="74">
        <f t="shared" si="80"/>
        <v>5.9375</v>
      </c>
      <c r="N173" s="114">
        <f t="shared" si="96"/>
        <v>4.25</v>
      </c>
      <c r="O173" s="74">
        <f t="shared" si="93"/>
        <v>7.4375</v>
      </c>
      <c r="P173" s="74">
        <f t="shared" si="94"/>
        <v>10.625</v>
      </c>
      <c r="Q173" s="74">
        <f t="shared" si="95"/>
        <v>13.8125</v>
      </c>
      <c r="R173" s="114">
        <v>17</v>
      </c>
      <c r="S173" s="129"/>
      <c r="T173" s="117">
        <f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16.873681318681321</v>
      </c>
      <c r="U173" s="117"/>
      <c r="V173" s="129"/>
      <c r="W173" s="114"/>
    </row>
    <row r="174" spans="2:23">
      <c r="B174" s="114">
        <v>30</v>
      </c>
      <c r="C174" s="74">
        <f t="shared" si="71"/>
        <v>27.5</v>
      </c>
      <c r="D174" s="74">
        <f t="shared" si="72"/>
        <v>25</v>
      </c>
      <c r="E174" s="74">
        <f t="shared" si="73"/>
        <v>22.5</v>
      </c>
      <c r="F174" s="114">
        <v>20</v>
      </c>
      <c r="G174" s="74">
        <f t="shared" si="74"/>
        <v>17.5</v>
      </c>
      <c r="H174" s="74">
        <f t="shared" si="75"/>
        <v>15</v>
      </c>
      <c r="I174" s="74">
        <f t="shared" si="76"/>
        <v>12.5</v>
      </c>
      <c r="J174" s="114">
        <f t="shared" si="77"/>
        <v>10</v>
      </c>
      <c r="K174" s="74">
        <f t="shared" si="78"/>
        <v>8.125</v>
      </c>
      <c r="L174" s="74">
        <f t="shared" si="79"/>
        <v>6.25</v>
      </c>
      <c r="M174" s="74">
        <f t="shared" si="80"/>
        <v>4.375</v>
      </c>
      <c r="N174" s="114">
        <f t="shared" si="96"/>
        <v>2.5</v>
      </c>
      <c r="O174" s="74">
        <f t="shared" si="93"/>
        <v>6.125</v>
      </c>
      <c r="P174" s="74">
        <f t="shared" si="94"/>
        <v>9.75</v>
      </c>
      <c r="Q174" s="74">
        <f t="shared" si="95"/>
        <v>13.375</v>
      </c>
      <c r="R174" s="114">
        <v>17</v>
      </c>
      <c r="S174" s="129"/>
      <c r="T174" s="117">
        <f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16.813338461538461</v>
      </c>
      <c r="U174" s="117"/>
      <c r="V174" s="129"/>
      <c r="W174" s="114"/>
    </row>
    <row r="175" spans="2:23">
      <c r="B175" s="114"/>
      <c r="C175" s="74"/>
      <c r="D175" s="74"/>
      <c r="E175" s="74"/>
      <c r="F175" s="114"/>
      <c r="G175" s="74"/>
      <c r="H175" s="74"/>
      <c r="I175" s="74"/>
      <c r="J175" s="114"/>
      <c r="K175" s="74"/>
      <c r="L175" s="74"/>
      <c r="M175" s="74"/>
      <c r="N175" s="114"/>
      <c r="O175" s="74"/>
      <c r="P175" s="74"/>
      <c r="Q175" s="74"/>
      <c r="R175" s="114"/>
      <c r="S175" s="129"/>
      <c r="T175" s="117"/>
      <c r="U175" s="117"/>
      <c r="V175" s="129"/>
      <c r="W175" s="114"/>
    </row>
    <row r="176" spans="2:23">
      <c r="B176" s="114">
        <v>23</v>
      </c>
      <c r="C176" s="74">
        <f t="shared" si="71"/>
        <v>22.5</v>
      </c>
      <c r="D176" s="74">
        <f t="shared" si="72"/>
        <v>22</v>
      </c>
      <c r="E176" s="74">
        <f t="shared" si="73"/>
        <v>21.5</v>
      </c>
      <c r="F176" s="114">
        <v>21</v>
      </c>
      <c r="G176" s="74">
        <f t="shared" si="74"/>
        <v>20.5</v>
      </c>
      <c r="H176" s="74">
        <f t="shared" si="75"/>
        <v>20</v>
      </c>
      <c r="I176" s="74">
        <f t="shared" si="76"/>
        <v>19.5</v>
      </c>
      <c r="J176" s="114">
        <f t="shared" si="77"/>
        <v>19</v>
      </c>
      <c r="K176" s="74">
        <f t="shared" si="78"/>
        <v>18.625</v>
      </c>
      <c r="L176" s="74">
        <f t="shared" si="79"/>
        <v>18.25</v>
      </c>
      <c r="M176" s="74">
        <f t="shared" si="80"/>
        <v>17.875</v>
      </c>
      <c r="N176" s="114">
        <f t="shared" ref="N176:N197" si="97">SUM(F176,-B176,J176,0.25*ABS(J176-F176))</f>
        <v>17.5</v>
      </c>
      <c r="O176" s="74">
        <f t="shared" ref="O176:O185" si="98">SUM(0.25*(R176-N176),N176)</f>
        <v>17.375</v>
      </c>
      <c r="P176" s="74">
        <f t="shared" ref="P176:P185" si="99">SUM(0.5*(R176-N176),N176)</f>
        <v>17.25</v>
      </c>
      <c r="Q176" s="74">
        <f t="shared" ref="Q176:Q185" si="100">SUM(0.75*(R176-N176),N176)</f>
        <v>17.125</v>
      </c>
      <c r="R176" s="114">
        <v>17</v>
      </c>
      <c r="S176" s="129"/>
      <c r="T176" s="117">
        <f>SUM((BJ20+BK19+BL18+BM17+BN16+BO15+BP14+BQ13+BR12+BS11+BT10+BU9+BV8+BW7+BW6+BV5+BV4)*0.132,17)</f>
        <v>16.59553846153846</v>
      </c>
      <c r="U176" s="117"/>
      <c r="V176" s="129"/>
      <c r="W176" s="114"/>
    </row>
    <row r="177" spans="2:23">
      <c r="B177" s="114">
        <v>24</v>
      </c>
      <c r="C177" s="74">
        <f t="shared" si="71"/>
        <v>23.25</v>
      </c>
      <c r="D177" s="74">
        <f t="shared" si="72"/>
        <v>22.5</v>
      </c>
      <c r="E177" s="74">
        <f t="shared" si="73"/>
        <v>21.75</v>
      </c>
      <c r="F177" s="114">
        <v>21</v>
      </c>
      <c r="G177" s="74">
        <f t="shared" si="74"/>
        <v>20.25</v>
      </c>
      <c r="H177" s="74">
        <f t="shared" si="75"/>
        <v>19.5</v>
      </c>
      <c r="I177" s="74">
        <f t="shared" si="76"/>
        <v>18.75</v>
      </c>
      <c r="J177" s="114">
        <f t="shared" si="77"/>
        <v>18</v>
      </c>
      <c r="K177" s="74">
        <f t="shared" si="78"/>
        <v>17.4375</v>
      </c>
      <c r="L177" s="74">
        <f t="shared" si="79"/>
        <v>16.875</v>
      </c>
      <c r="M177" s="74">
        <f t="shared" si="80"/>
        <v>16.3125</v>
      </c>
      <c r="N177" s="114">
        <f t="shared" si="97"/>
        <v>15.75</v>
      </c>
      <c r="O177" s="74">
        <f t="shared" si="98"/>
        <v>16.0625</v>
      </c>
      <c r="P177" s="74">
        <f t="shared" si="99"/>
        <v>16.375</v>
      </c>
      <c r="Q177" s="74">
        <f t="shared" si="100"/>
        <v>16.6875</v>
      </c>
      <c r="R177" s="114">
        <v>17</v>
      </c>
      <c r="S177" s="129"/>
      <c r="T177" s="117">
        <f>SUM((BH20+BK18+BN16+BQ14+BT12+BU11+BV10+BW9+BX8+BW7+BW6+BV5+BV4)*0.132,(BI19+BJ19+BL17+BM17+BO15+BP15+BR13+BS13)*0.132/2,17)</f>
        <v>16.59553846153846</v>
      </c>
      <c r="U177" s="117"/>
      <c r="V177" s="129"/>
      <c r="W177" s="114"/>
    </row>
    <row r="178" spans="2:23">
      <c r="B178" s="114">
        <v>25</v>
      </c>
      <c r="C178" s="74">
        <f t="shared" si="71"/>
        <v>24</v>
      </c>
      <c r="D178" s="74">
        <f t="shared" si="72"/>
        <v>23</v>
      </c>
      <c r="E178" s="74">
        <f t="shared" si="73"/>
        <v>22</v>
      </c>
      <c r="F178" s="114">
        <v>21</v>
      </c>
      <c r="G178" s="74">
        <f t="shared" si="74"/>
        <v>20</v>
      </c>
      <c r="H178" s="74">
        <f t="shared" si="75"/>
        <v>19</v>
      </c>
      <c r="I178" s="74">
        <f t="shared" si="76"/>
        <v>18</v>
      </c>
      <c r="J178" s="114">
        <f t="shared" si="77"/>
        <v>17</v>
      </c>
      <c r="K178" s="74">
        <f t="shared" si="78"/>
        <v>16.25</v>
      </c>
      <c r="L178" s="74">
        <f t="shared" si="79"/>
        <v>15.5</v>
      </c>
      <c r="M178" s="74">
        <f t="shared" si="80"/>
        <v>14.75</v>
      </c>
      <c r="N178" s="114">
        <f t="shared" si="97"/>
        <v>14</v>
      </c>
      <c r="O178" s="74">
        <f t="shared" si="98"/>
        <v>14.75</v>
      </c>
      <c r="P178" s="74">
        <f t="shared" si="99"/>
        <v>15.5</v>
      </c>
      <c r="Q178" s="74">
        <f t="shared" si="100"/>
        <v>16.25</v>
      </c>
      <c r="R178" s="114">
        <v>17</v>
      </c>
      <c r="S178" s="129"/>
      <c r="T178" s="117">
        <f>SUM((BG19+BH19+BI18+BJ18+BK17+BL17+BM16+BN16+BO15+BP15+BQ14+BR14+BS13+BT13+BU12+BV12+BW11+BX11+BZ9+CA9+CA7+BZ7+BY6+BX6)*0.132/2,(BF20+BY10+CB8+BW5+BV4)*0.132,17)</f>
        <v>17.123538461538462</v>
      </c>
      <c r="U178" s="117"/>
      <c r="V178" s="129"/>
      <c r="W178" s="114"/>
    </row>
    <row r="179" spans="2:23">
      <c r="B179" s="114">
        <v>26</v>
      </c>
      <c r="C179" s="74">
        <f t="shared" si="71"/>
        <v>24.75</v>
      </c>
      <c r="D179" s="74">
        <f t="shared" si="72"/>
        <v>23.5</v>
      </c>
      <c r="E179" s="74">
        <f t="shared" si="73"/>
        <v>22.25</v>
      </c>
      <c r="F179" s="114">
        <v>21</v>
      </c>
      <c r="G179" s="74">
        <f t="shared" si="74"/>
        <v>19.75</v>
      </c>
      <c r="H179" s="74">
        <f t="shared" si="75"/>
        <v>18.5</v>
      </c>
      <c r="I179" s="74">
        <f t="shared" si="76"/>
        <v>17.25</v>
      </c>
      <c r="J179" s="114">
        <f t="shared" si="77"/>
        <v>16</v>
      </c>
      <c r="K179" s="74">
        <f t="shared" si="78"/>
        <v>15.0625</v>
      </c>
      <c r="L179" s="74">
        <f t="shared" si="79"/>
        <v>14.125</v>
      </c>
      <c r="M179" s="74">
        <f t="shared" si="80"/>
        <v>13.1875</v>
      </c>
      <c r="N179" s="114">
        <f t="shared" si="97"/>
        <v>12.25</v>
      </c>
      <c r="O179" s="74">
        <f t="shared" si="98"/>
        <v>13.4375</v>
      </c>
      <c r="P179" s="74">
        <f t="shared" si="99"/>
        <v>14.625</v>
      </c>
      <c r="Q179" s="74">
        <f t="shared" si="100"/>
        <v>15.8125</v>
      </c>
      <c r="R179" s="114">
        <v>17</v>
      </c>
      <c r="S179" s="129"/>
      <c r="T179" s="117">
        <f>SUM((BD20+BE20+BF19+BG19+BK17+BL17+BM16+BN16+BR14+BS14+BW12+BX12+BY11+BZ11+CA10+CB10+CC9+CD9+CE8+CF8+BY5+BX5+BW4+BV4)*0.132/2,(BH18+BI18+BJ18+BO15+BP15+BQ15+BT13+BU13+BV13+CE7+CD7+CC7+CB6+CA6+BZ6)*0.132/3,17)</f>
        <v>17.05753846153846</v>
      </c>
      <c r="U179" s="117"/>
      <c r="V179" s="129"/>
      <c r="W179" s="114"/>
    </row>
    <row r="180" spans="2:23">
      <c r="B180" s="114">
        <v>27</v>
      </c>
      <c r="C180" s="74">
        <f t="shared" si="71"/>
        <v>25.5</v>
      </c>
      <c r="D180" s="74">
        <f t="shared" si="72"/>
        <v>24</v>
      </c>
      <c r="E180" s="74">
        <f t="shared" si="73"/>
        <v>22.5</v>
      </c>
      <c r="F180" s="114">
        <v>21</v>
      </c>
      <c r="G180" s="74">
        <f t="shared" si="74"/>
        <v>19.5</v>
      </c>
      <c r="H180" s="74">
        <f t="shared" si="75"/>
        <v>18</v>
      </c>
      <c r="I180" s="74">
        <f t="shared" si="76"/>
        <v>16.5</v>
      </c>
      <c r="J180" s="114">
        <f t="shared" si="77"/>
        <v>15</v>
      </c>
      <c r="K180" s="74">
        <f t="shared" si="78"/>
        <v>13.875</v>
      </c>
      <c r="L180" s="74">
        <f t="shared" si="79"/>
        <v>12.75</v>
      </c>
      <c r="M180" s="74">
        <f t="shared" si="80"/>
        <v>11.625</v>
      </c>
      <c r="N180" s="114">
        <f t="shared" si="97"/>
        <v>10.5</v>
      </c>
      <c r="O180" s="74">
        <f t="shared" si="98"/>
        <v>12.125</v>
      </c>
      <c r="P180" s="74">
        <f t="shared" si="99"/>
        <v>13.75</v>
      </c>
      <c r="Q180" s="74">
        <f t="shared" si="100"/>
        <v>15.375</v>
      </c>
      <c r="R180" s="114">
        <v>17</v>
      </c>
      <c r="S180" s="129"/>
      <c r="T180" s="117">
        <f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17.046538461538461</v>
      </c>
      <c r="U180" s="117"/>
      <c r="V180" s="129"/>
      <c r="W180" s="114"/>
    </row>
    <row r="181" spans="2:23">
      <c r="B181" s="114">
        <v>28</v>
      </c>
      <c r="C181" s="74">
        <f t="shared" si="71"/>
        <v>26.25</v>
      </c>
      <c r="D181" s="74">
        <f t="shared" si="72"/>
        <v>24.5</v>
      </c>
      <c r="E181" s="74">
        <f t="shared" si="73"/>
        <v>22.75</v>
      </c>
      <c r="F181" s="114">
        <v>21</v>
      </c>
      <c r="G181" s="74">
        <f t="shared" si="74"/>
        <v>19.25</v>
      </c>
      <c r="H181" s="74">
        <f t="shared" si="75"/>
        <v>17.5</v>
      </c>
      <c r="I181" s="74">
        <f t="shared" si="76"/>
        <v>15.75</v>
      </c>
      <c r="J181" s="114">
        <f t="shared" si="77"/>
        <v>14</v>
      </c>
      <c r="K181" s="74">
        <f t="shared" si="78"/>
        <v>12.6875</v>
      </c>
      <c r="L181" s="74">
        <f t="shared" si="79"/>
        <v>11.375</v>
      </c>
      <c r="M181" s="74">
        <f t="shared" si="80"/>
        <v>10.0625</v>
      </c>
      <c r="N181" s="114">
        <f t="shared" si="97"/>
        <v>8.75</v>
      </c>
      <c r="O181" s="74">
        <f t="shared" si="98"/>
        <v>10.8125</v>
      </c>
      <c r="P181" s="74">
        <f t="shared" si="99"/>
        <v>12.875</v>
      </c>
      <c r="Q181" s="74">
        <f t="shared" si="100"/>
        <v>14.9375</v>
      </c>
      <c r="R181" s="114">
        <v>17</v>
      </c>
      <c r="S181" s="129"/>
      <c r="T181" s="117">
        <f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17.189538461538461</v>
      </c>
      <c r="U181" s="117"/>
      <c r="V181" s="129"/>
      <c r="W181" s="114"/>
    </row>
    <row r="182" spans="2:23">
      <c r="B182" s="114">
        <v>29</v>
      </c>
      <c r="C182" s="74">
        <f t="shared" si="71"/>
        <v>27</v>
      </c>
      <c r="D182" s="74">
        <f t="shared" si="72"/>
        <v>25</v>
      </c>
      <c r="E182" s="74">
        <f t="shared" si="73"/>
        <v>23</v>
      </c>
      <c r="F182" s="114">
        <v>21</v>
      </c>
      <c r="G182" s="74">
        <f t="shared" si="74"/>
        <v>19</v>
      </c>
      <c r="H182" s="74">
        <f t="shared" si="75"/>
        <v>17</v>
      </c>
      <c r="I182" s="74">
        <f t="shared" si="76"/>
        <v>15</v>
      </c>
      <c r="J182" s="114">
        <f t="shared" si="77"/>
        <v>13</v>
      </c>
      <c r="K182" s="74">
        <f t="shared" si="78"/>
        <v>11.5</v>
      </c>
      <c r="L182" s="74">
        <f t="shared" si="79"/>
        <v>10</v>
      </c>
      <c r="M182" s="74">
        <f t="shared" si="80"/>
        <v>8.5</v>
      </c>
      <c r="N182" s="114">
        <f t="shared" si="97"/>
        <v>7</v>
      </c>
      <c r="O182" s="74">
        <f t="shared" si="98"/>
        <v>9.5</v>
      </c>
      <c r="P182" s="74">
        <f t="shared" si="99"/>
        <v>12</v>
      </c>
      <c r="Q182" s="74">
        <f t="shared" si="100"/>
        <v>14.5</v>
      </c>
      <c r="R182" s="114">
        <v>17</v>
      </c>
      <c r="S182" s="129"/>
      <c r="T182" s="117">
        <f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17.138938461538462</v>
      </c>
      <c r="U182" s="117"/>
      <c r="V182" s="129"/>
      <c r="W182" s="114"/>
    </row>
    <row r="183" spans="2:23">
      <c r="B183" s="114">
        <v>30</v>
      </c>
      <c r="C183" s="74">
        <f t="shared" si="71"/>
        <v>27.75</v>
      </c>
      <c r="D183" s="74">
        <f t="shared" si="72"/>
        <v>25.5</v>
      </c>
      <c r="E183" s="74">
        <f t="shared" si="73"/>
        <v>23.25</v>
      </c>
      <c r="F183" s="114">
        <v>21</v>
      </c>
      <c r="G183" s="74">
        <f t="shared" si="74"/>
        <v>18.75</v>
      </c>
      <c r="H183" s="74">
        <f t="shared" si="75"/>
        <v>16.5</v>
      </c>
      <c r="I183" s="74">
        <f t="shared" si="76"/>
        <v>14.25</v>
      </c>
      <c r="J183" s="114">
        <f t="shared" si="77"/>
        <v>12</v>
      </c>
      <c r="K183" s="74">
        <f t="shared" si="78"/>
        <v>10.3125</v>
      </c>
      <c r="L183" s="74">
        <f t="shared" si="79"/>
        <v>8.625</v>
      </c>
      <c r="M183" s="74">
        <f t="shared" si="80"/>
        <v>6.9375</v>
      </c>
      <c r="N183" s="114">
        <f t="shared" si="97"/>
        <v>5.25</v>
      </c>
      <c r="O183" s="74">
        <f t="shared" si="98"/>
        <v>8.1875</v>
      </c>
      <c r="P183" s="74">
        <f t="shared" si="99"/>
        <v>11.125</v>
      </c>
      <c r="Q183" s="74">
        <f t="shared" si="100"/>
        <v>14.0625</v>
      </c>
      <c r="R183" s="114">
        <v>17</v>
      </c>
      <c r="S183" s="129"/>
      <c r="T183" s="117">
        <f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16.929624175824177</v>
      </c>
      <c r="U183" s="117"/>
      <c r="V183" s="129"/>
      <c r="W183" s="114"/>
    </row>
    <row r="184" spans="2:23">
      <c r="B184" s="114">
        <v>31</v>
      </c>
      <c r="C184" s="74">
        <f t="shared" si="71"/>
        <v>28.5</v>
      </c>
      <c r="D184" s="74">
        <f t="shared" si="72"/>
        <v>26</v>
      </c>
      <c r="E184" s="74">
        <f t="shared" si="73"/>
        <v>23.5</v>
      </c>
      <c r="F184" s="114">
        <v>21</v>
      </c>
      <c r="G184" s="74">
        <f t="shared" si="74"/>
        <v>18.5</v>
      </c>
      <c r="H184" s="74">
        <f t="shared" si="75"/>
        <v>16</v>
      </c>
      <c r="I184" s="74">
        <f t="shared" si="76"/>
        <v>13.5</v>
      </c>
      <c r="J184" s="114">
        <f t="shared" si="77"/>
        <v>11</v>
      </c>
      <c r="K184" s="74">
        <f t="shared" si="78"/>
        <v>9.125</v>
      </c>
      <c r="L184" s="74">
        <f t="shared" si="79"/>
        <v>7.25</v>
      </c>
      <c r="M184" s="74">
        <f t="shared" si="80"/>
        <v>5.375</v>
      </c>
      <c r="N184" s="114">
        <f t="shared" si="97"/>
        <v>3.5</v>
      </c>
      <c r="O184" s="74">
        <f t="shared" si="98"/>
        <v>6.875</v>
      </c>
      <c r="P184" s="74">
        <f t="shared" si="99"/>
        <v>10.25</v>
      </c>
      <c r="Q184" s="74">
        <f t="shared" si="100"/>
        <v>13.625</v>
      </c>
      <c r="R184" s="114">
        <v>17</v>
      </c>
      <c r="S184" s="129"/>
      <c r="T184" s="117">
        <f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16.835495604395604</v>
      </c>
      <c r="U184" s="117"/>
      <c r="V184" s="129"/>
      <c r="W184" s="114"/>
    </row>
    <row r="185" spans="2:23">
      <c r="B185" s="114">
        <v>32</v>
      </c>
      <c r="C185" s="74">
        <f t="shared" si="71"/>
        <v>29.25</v>
      </c>
      <c r="D185" s="74">
        <f t="shared" si="72"/>
        <v>26.5</v>
      </c>
      <c r="E185" s="74">
        <f t="shared" si="73"/>
        <v>23.75</v>
      </c>
      <c r="F185" s="114">
        <v>21</v>
      </c>
      <c r="G185" s="74">
        <f t="shared" si="74"/>
        <v>18.25</v>
      </c>
      <c r="H185" s="74">
        <f t="shared" si="75"/>
        <v>15.5</v>
      </c>
      <c r="I185" s="74">
        <f t="shared" si="76"/>
        <v>12.75</v>
      </c>
      <c r="J185" s="114">
        <f t="shared" si="77"/>
        <v>10</v>
      </c>
      <c r="K185" s="74">
        <f t="shared" si="78"/>
        <v>7.9375</v>
      </c>
      <c r="L185" s="74">
        <f t="shared" si="79"/>
        <v>5.875</v>
      </c>
      <c r="M185" s="74">
        <f t="shared" si="80"/>
        <v>3.8125</v>
      </c>
      <c r="N185" s="114">
        <f t="shared" si="97"/>
        <v>1.75</v>
      </c>
      <c r="O185" s="74">
        <f t="shared" si="98"/>
        <v>5.5625</v>
      </c>
      <c r="P185" s="74">
        <f t="shared" si="99"/>
        <v>9.375</v>
      </c>
      <c r="Q185" s="74">
        <f t="shared" si="100"/>
        <v>13.1875</v>
      </c>
      <c r="R185" s="114">
        <v>17</v>
      </c>
      <c r="S185" s="129"/>
      <c r="T185" s="126">
        <f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16.736495604395607</v>
      </c>
      <c r="U185" s="126"/>
      <c r="V185" s="129"/>
      <c r="W185" s="114"/>
    </row>
    <row r="186" spans="2:23">
      <c r="B186" s="114"/>
      <c r="C186" s="74"/>
      <c r="D186" s="74"/>
      <c r="E186" s="74"/>
      <c r="F186" s="114"/>
      <c r="G186" s="74"/>
      <c r="H186" s="74"/>
      <c r="I186" s="74"/>
      <c r="J186" s="114"/>
      <c r="K186" s="74"/>
      <c r="L186" s="74"/>
      <c r="M186" s="74"/>
      <c r="N186" s="114"/>
      <c r="O186" s="74"/>
      <c r="P186" s="74"/>
      <c r="Q186" s="74"/>
      <c r="R186" s="114"/>
      <c r="S186" s="129"/>
      <c r="T186" s="117"/>
      <c r="U186" s="117"/>
      <c r="V186" s="129"/>
      <c r="W186" s="114"/>
    </row>
    <row r="187" spans="2:23">
      <c r="B187" s="114">
        <v>24</v>
      </c>
      <c r="C187" s="74">
        <f t="shared" si="71"/>
        <v>23.5</v>
      </c>
      <c r="D187" s="74">
        <f t="shared" si="72"/>
        <v>23</v>
      </c>
      <c r="E187" s="74">
        <f t="shared" si="73"/>
        <v>22.5</v>
      </c>
      <c r="F187" s="114">
        <v>22</v>
      </c>
      <c r="G187" s="74">
        <f t="shared" si="74"/>
        <v>21.5</v>
      </c>
      <c r="H187" s="74">
        <f t="shared" si="75"/>
        <v>21</v>
      </c>
      <c r="I187" s="74">
        <f t="shared" si="76"/>
        <v>20.5</v>
      </c>
      <c r="J187" s="114">
        <f t="shared" si="77"/>
        <v>20</v>
      </c>
      <c r="K187" s="74">
        <f t="shared" si="78"/>
        <v>19.625</v>
      </c>
      <c r="L187" s="74">
        <f t="shared" si="79"/>
        <v>19.25</v>
      </c>
      <c r="M187" s="74">
        <f t="shared" si="80"/>
        <v>18.875</v>
      </c>
      <c r="N187" s="114">
        <f t="shared" si="97"/>
        <v>18.5</v>
      </c>
      <c r="O187" s="74">
        <f t="shared" ref="O187:O197" si="101">SUM(0.25*(R187-N187),N187)</f>
        <v>18.125</v>
      </c>
      <c r="P187" s="74">
        <f t="shared" ref="P187:P197" si="102">SUM(0.5*(R187-N187),N187)</f>
        <v>17.75</v>
      </c>
      <c r="Q187" s="74">
        <f t="shared" ref="Q187:Q197" si="103">SUM(0.75*(R187-N187),N187)</f>
        <v>17.375</v>
      </c>
      <c r="R187" s="114">
        <v>17</v>
      </c>
      <c r="S187" s="129"/>
      <c r="T187" s="117">
        <f>SUM((BH20+BI19+BJ18+BK17+BL16+BM15+BN14+BO13+BP12+BQ11+BR10+BS9+BT8+BU7+BU6+BV5+BV4)*0.132,17)</f>
        <v>16.991538461538461</v>
      </c>
      <c r="U187" s="117"/>
      <c r="V187" s="129"/>
      <c r="W187" s="114"/>
    </row>
    <row r="188" spans="2:23">
      <c r="B188" s="114">
        <v>25</v>
      </c>
      <c r="C188" s="74">
        <f t="shared" si="71"/>
        <v>24.25</v>
      </c>
      <c r="D188" s="74">
        <f t="shared" si="72"/>
        <v>23.5</v>
      </c>
      <c r="E188" s="74">
        <f t="shared" si="73"/>
        <v>22.75</v>
      </c>
      <c r="F188" s="114">
        <v>22</v>
      </c>
      <c r="G188" s="74">
        <f t="shared" si="74"/>
        <v>21.25</v>
      </c>
      <c r="H188" s="74">
        <f t="shared" si="75"/>
        <v>20.5</v>
      </c>
      <c r="I188" s="74">
        <f t="shared" si="76"/>
        <v>19.75</v>
      </c>
      <c r="J188" s="114">
        <f t="shared" si="77"/>
        <v>19</v>
      </c>
      <c r="K188" s="74">
        <f t="shared" si="78"/>
        <v>18.4375</v>
      </c>
      <c r="L188" s="74">
        <f t="shared" si="79"/>
        <v>17.875</v>
      </c>
      <c r="M188" s="74">
        <f t="shared" si="80"/>
        <v>17.3125</v>
      </c>
      <c r="N188" s="114">
        <f t="shared" si="97"/>
        <v>16.75</v>
      </c>
      <c r="O188" s="74">
        <f t="shared" si="101"/>
        <v>16.8125</v>
      </c>
      <c r="P188" s="74">
        <f t="shared" si="102"/>
        <v>16.875</v>
      </c>
      <c r="Q188" s="74">
        <f t="shared" si="103"/>
        <v>16.9375</v>
      </c>
      <c r="R188" s="114">
        <v>17</v>
      </c>
      <c r="S188" s="129"/>
      <c r="T188" s="117">
        <f>SUM((BF20+BI18+BL16+BO14+BR12+BS11+BU9+BT10+BV8+BW7+BV6+BV5+BV4)*0.132,(BG19+BH19+BJ17+BK17+BM15+BN15+BP13+BQ13)*0.132/2,17)</f>
        <v>16.661538461538463</v>
      </c>
      <c r="U188" s="117"/>
      <c r="V188" s="129"/>
      <c r="W188" s="114"/>
    </row>
    <row r="189" spans="2:23">
      <c r="B189" s="114">
        <v>26</v>
      </c>
      <c r="C189" s="74">
        <f t="shared" si="71"/>
        <v>25</v>
      </c>
      <c r="D189" s="74">
        <f t="shared" si="72"/>
        <v>24</v>
      </c>
      <c r="E189" s="74">
        <f t="shared" si="73"/>
        <v>23</v>
      </c>
      <c r="F189" s="114">
        <v>22</v>
      </c>
      <c r="G189" s="74">
        <f t="shared" si="74"/>
        <v>21</v>
      </c>
      <c r="H189" s="74">
        <f t="shared" si="75"/>
        <v>20</v>
      </c>
      <c r="I189" s="74">
        <f t="shared" si="76"/>
        <v>19</v>
      </c>
      <c r="J189" s="114">
        <f t="shared" si="77"/>
        <v>18</v>
      </c>
      <c r="K189" s="74">
        <f t="shared" si="78"/>
        <v>17.25</v>
      </c>
      <c r="L189" s="74">
        <f t="shared" si="79"/>
        <v>16.5</v>
      </c>
      <c r="M189" s="74">
        <f t="shared" si="80"/>
        <v>15.75</v>
      </c>
      <c r="N189" s="114">
        <f t="shared" si="97"/>
        <v>15</v>
      </c>
      <c r="O189" s="74">
        <f t="shared" si="101"/>
        <v>15.5</v>
      </c>
      <c r="P189" s="74">
        <f t="shared" si="102"/>
        <v>16</v>
      </c>
      <c r="Q189" s="74">
        <f t="shared" si="103"/>
        <v>16.5</v>
      </c>
      <c r="R189" s="114">
        <v>17</v>
      </c>
      <c r="S189" s="129"/>
      <c r="T189" s="117">
        <f>SUM((BE19+BF19+BG18+BH18+BI17+BJ17+BK16+BL16+BM15+BN15+BO14+BP14+BQ13+BR13+BS12+BT12+BU11+BV11+BX9+BY9)*0.132/2,(BD10+BW10+BZ8+BY7+BX6+BW5+BV4)*0.132,17)</f>
        <v>16.790153846153846</v>
      </c>
      <c r="U189" s="117"/>
      <c r="V189" s="129"/>
      <c r="W189" s="114"/>
    </row>
    <row r="190" spans="2:23">
      <c r="B190" s="114">
        <v>27</v>
      </c>
      <c r="C190" s="74">
        <f t="shared" si="71"/>
        <v>25.75</v>
      </c>
      <c r="D190" s="74">
        <f t="shared" si="72"/>
        <v>24.5</v>
      </c>
      <c r="E190" s="74">
        <f t="shared" si="73"/>
        <v>23.25</v>
      </c>
      <c r="F190" s="114">
        <v>22</v>
      </c>
      <c r="G190" s="74">
        <f t="shared" si="74"/>
        <v>20.75</v>
      </c>
      <c r="H190" s="74">
        <f t="shared" si="75"/>
        <v>19.5</v>
      </c>
      <c r="I190" s="74">
        <f t="shared" si="76"/>
        <v>18.25</v>
      </c>
      <c r="J190" s="114">
        <f t="shared" si="77"/>
        <v>17</v>
      </c>
      <c r="K190" s="74">
        <f t="shared" si="78"/>
        <v>16.0625</v>
      </c>
      <c r="L190" s="74">
        <f t="shared" si="79"/>
        <v>15.125</v>
      </c>
      <c r="M190" s="74">
        <f t="shared" si="80"/>
        <v>14.1875</v>
      </c>
      <c r="N190" s="114">
        <f t="shared" si="97"/>
        <v>13.25</v>
      </c>
      <c r="O190" s="74">
        <f t="shared" si="101"/>
        <v>14.1875</v>
      </c>
      <c r="P190" s="74">
        <f t="shared" si="102"/>
        <v>15.125</v>
      </c>
      <c r="Q190" s="74">
        <f t="shared" si="103"/>
        <v>16.0625</v>
      </c>
      <c r="R190" s="114">
        <v>17</v>
      </c>
      <c r="S190" s="129"/>
      <c r="T190" s="117">
        <f>SUM((BB20+BC20+BD19+BE19+BI17+BJ17+BK16+BL16+BP14+BQ14+BU12+BV12+BW11+BX11+BY10+BZ10+CA9+CB9+CC8+CD8+CC7+CB7+CA6+BZ6+BY5+BX5+BW4+BV4)*0.132/2,(BF18+BG18+BH18+BM15+BN15+BO15+BR13+BS13+BT13)*0.132/3,17)</f>
        <v>16.74953846153846</v>
      </c>
      <c r="U190" s="117"/>
      <c r="V190" s="129"/>
      <c r="W190" s="114"/>
    </row>
    <row r="191" spans="2:23">
      <c r="B191" s="114">
        <v>28</v>
      </c>
      <c r="C191" s="74">
        <f t="shared" si="71"/>
        <v>26.5</v>
      </c>
      <c r="D191" s="74">
        <f t="shared" si="72"/>
        <v>25</v>
      </c>
      <c r="E191" s="74">
        <f t="shared" si="73"/>
        <v>23.5</v>
      </c>
      <c r="F191" s="114">
        <v>22</v>
      </c>
      <c r="G191" s="74">
        <f t="shared" si="74"/>
        <v>20.5</v>
      </c>
      <c r="H191" s="74">
        <f t="shared" si="75"/>
        <v>19</v>
      </c>
      <c r="I191" s="74">
        <f t="shared" si="76"/>
        <v>17.5</v>
      </c>
      <c r="J191" s="114">
        <f t="shared" si="77"/>
        <v>16</v>
      </c>
      <c r="K191" s="74">
        <f t="shared" si="78"/>
        <v>14.875</v>
      </c>
      <c r="L191" s="74">
        <f t="shared" si="79"/>
        <v>13.75</v>
      </c>
      <c r="M191" s="74">
        <f t="shared" si="80"/>
        <v>12.625</v>
      </c>
      <c r="N191" s="114">
        <f t="shared" si="97"/>
        <v>11.5</v>
      </c>
      <c r="O191" s="74">
        <f t="shared" si="101"/>
        <v>12.875</v>
      </c>
      <c r="P191" s="74">
        <f t="shared" si="102"/>
        <v>14.25</v>
      </c>
      <c r="Q191" s="74">
        <f t="shared" si="103"/>
        <v>15.625</v>
      </c>
      <c r="R191" s="114">
        <v>17</v>
      </c>
      <c r="S191" s="129"/>
      <c r="T191" s="117">
        <f>SUM((AZ20+BA20++BE18+BF18+CB10+CC10+CG8+CH8)*0.132/2,(BB19+BC19+BD19+BG17+BH17+BI17+BJ16+BK16+BL16+BM15+BN15+BO15+BP14+BQ14+BR14+BS13+BT13+BU13+BV12+BW12+BX12+BY11+BZ11+CA11+CD9+CE9+CF9+CG7+CF7+CE7+CD6+CC6+CB6+CA5+BZ5+BY5+BX4+BW4+BV4)*0.132/3,17)</f>
        <v>17.189538461538461</v>
      </c>
      <c r="U191" s="117"/>
      <c r="V191" s="129"/>
      <c r="W191" s="114"/>
    </row>
    <row r="192" spans="2:23">
      <c r="B192" s="114">
        <v>29</v>
      </c>
      <c r="C192" s="74">
        <f t="shared" si="71"/>
        <v>27.25</v>
      </c>
      <c r="D192" s="74">
        <f t="shared" si="72"/>
        <v>25.5</v>
      </c>
      <c r="E192" s="74">
        <f t="shared" si="73"/>
        <v>23.75</v>
      </c>
      <c r="F192" s="114">
        <v>22</v>
      </c>
      <c r="G192" s="74">
        <f t="shared" si="74"/>
        <v>20.25</v>
      </c>
      <c r="H192" s="74">
        <f t="shared" si="75"/>
        <v>18.5</v>
      </c>
      <c r="I192" s="74">
        <f t="shared" si="76"/>
        <v>16.75</v>
      </c>
      <c r="J192" s="114">
        <f t="shared" si="77"/>
        <v>15</v>
      </c>
      <c r="K192" s="74">
        <f t="shared" si="78"/>
        <v>13.6875</v>
      </c>
      <c r="L192" s="74">
        <f t="shared" si="79"/>
        <v>12.375</v>
      </c>
      <c r="M192" s="74">
        <f t="shared" si="80"/>
        <v>11.0625</v>
      </c>
      <c r="N192" s="114">
        <f t="shared" si="97"/>
        <v>9.75</v>
      </c>
      <c r="O192" s="74">
        <f t="shared" si="101"/>
        <v>11.5625</v>
      </c>
      <c r="P192" s="74">
        <f t="shared" si="102"/>
        <v>13.375</v>
      </c>
      <c r="Q192" s="74">
        <f t="shared" si="103"/>
        <v>15.1875</v>
      </c>
      <c r="R192" s="114">
        <v>17</v>
      </c>
      <c r="S192" s="129"/>
      <c r="T192" s="117">
        <f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17.134538461538462</v>
      </c>
      <c r="U192" s="117"/>
      <c r="V192" s="129"/>
      <c r="W192" s="114"/>
    </row>
    <row r="193" spans="2:23">
      <c r="B193" s="114">
        <v>30</v>
      </c>
      <c r="C193" s="74">
        <f t="shared" si="71"/>
        <v>28</v>
      </c>
      <c r="D193" s="74">
        <f t="shared" si="72"/>
        <v>26</v>
      </c>
      <c r="E193" s="74">
        <f t="shared" si="73"/>
        <v>24</v>
      </c>
      <c r="F193" s="114">
        <v>22</v>
      </c>
      <c r="G193" s="74">
        <f t="shared" si="74"/>
        <v>20</v>
      </c>
      <c r="H193" s="74">
        <f t="shared" si="75"/>
        <v>18</v>
      </c>
      <c r="I193" s="74">
        <f t="shared" si="76"/>
        <v>16</v>
      </c>
      <c r="J193" s="114">
        <f t="shared" si="77"/>
        <v>14</v>
      </c>
      <c r="K193" s="74">
        <f t="shared" si="78"/>
        <v>12.5</v>
      </c>
      <c r="L193" s="74">
        <f t="shared" si="79"/>
        <v>11</v>
      </c>
      <c r="M193" s="74">
        <f t="shared" si="80"/>
        <v>9.5</v>
      </c>
      <c r="N193" s="114">
        <f t="shared" si="97"/>
        <v>8</v>
      </c>
      <c r="O193" s="74">
        <f t="shared" si="101"/>
        <v>10.25</v>
      </c>
      <c r="P193" s="74">
        <f t="shared" si="102"/>
        <v>12.5</v>
      </c>
      <c r="Q193" s="74">
        <f t="shared" si="103"/>
        <v>14.75</v>
      </c>
      <c r="R193" s="114">
        <v>17</v>
      </c>
      <c r="S193" s="129"/>
      <c r="T193" s="117">
        <f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17.207138461538463</v>
      </c>
      <c r="U193" s="117"/>
      <c r="V193" s="129"/>
      <c r="W193" s="114"/>
    </row>
    <row r="194" spans="2:23">
      <c r="B194" s="114">
        <v>31</v>
      </c>
      <c r="C194" s="74">
        <f t="shared" si="71"/>
        <v>28.75</v>
      </c>
      <c r="D194" s="74">
        <f t="shared" si="72"/>
        <v>26.5</v>
      </c>
      <c r="E194" s="74">
        <f t="shared" si="73"/>
        <v>24.25</v>
      </c>
      <c r="F194" s="114">
        <v>22</v>
      </c>
      <c r="G194" s="74">
        <f t="shared" si="74"/>
        <v>19.75</v>
      </c>
      <c r="H194" s="74">
        <f t="shared" si="75"/>
        <v>17.5</v>
      </c>
      <c r="I194" s="74">
        <f t="shared" si="76"/>
        <v>15.25</v>
      </c>
      <c r="J194" s="114">
        <f t="shared" si="77"/>
        <v>13</v>
      </c>
      <c r="K194" s="74">
        <f t="shared" si="78"/>
        <v>11.3125</v>
      </c>
      <c r="L194" s="74">
        <f t="shared" si="79"/>
        <v>9.625</v>
      </c>
      <c r="M194" s="74">
        <f t="shared" si="80"/>
        <v>7.9375</v>
      </c>
      <c r="N194" s="114">
        <f t="shared" si="97"/>
        <v>6.25</v>
      </c>
      <c r="O194" s="74">
        <f t="shared" si="101"/>
        <v>8.9375</v>
      </c>
      <c r="P194" s="74">
        <f t="shared" si="102"/>
        <v>11.625</v>
      </c>
      <c r="Q194" s="74">
        <f t="shared" si="103"/>
        <v>14.3125</v>
      </c>
      <c r="R194" s="114">
        <v>17</v>
      </c>
      <c r="S194" s="129"/>
      <c r="T194" s="117">
        <f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16.958538461538463</v>
      </c>
      <c r="U194" s="117"/>
      <c r="V194" s="129"/>
      <c r="W194" s="114"/>
    </row>
    <row r="195" spans="2:23">
      <c r="B195" s="114">
        <v>32</v>
      </c>
      <c r="C195" s="74">
        <f t="shared" si="71"/>
        <v>29.5</v>
      </c>
      <c r="D195" s="74">
        <f t="shared" si="72"/>
        <v>27</v>
      </c>
      <c r="E195" s="74">
        <f t="shared" si="73"/>
        <v>24.5</v>
      </c>
      <c r="F195" s="114">
        <v>22</v>
      </c>
      <c r="G195" s="74">
        <f t="shared" si="74"/>
        <v>19.5</v>
      </c>
      <c r="H195" s="74">
        <f t="shared" si="75"/>
        <v>17</v>
      </c>
      <c r="I195" s="74">
        <f t="shared" si="76"/>
        <v>14.5</v>
      </c>
      <c r="J195" s="114">
        <f t="shared" si="77"/>
        <v>12</v>
      </c>
      <c r="K195" s="74">
        <f t="shared" si="78"/>
        <v>10.125</v>
      </c>
      <c r="L195" s="74">
        <f t="shared" si="79"/>
        <v>8.25</v>
      </c>
      <c r="M195" s="74">
        <f t="shared" si="80"/>
        <v>6.375</v>
      </c>
      <c r="N195" s="114">
        <f t="shared" si="97"/>
        <v>4.5</v>
      </c>
      <c r="O195" s="74">
        <f t="shared" si="101"/>
        <v>7.625</v>
      </c>
      <c r="P195" s="74">
        <f t="shared" si="102"/>
        <v>10.75</v>
      </c>
      <c r="Q195" s="74">
        <f t="shared" si="103"/>
        <v>13.875</v>
      </c>
      <c r="R195" s="114">
        <v>17</v>
      </c>
      <c r="S195" s="129"/>
      <c r="T195" s="117">
        <f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16.65588131868132</v>
      </c>
      <c r="U195" s="117"/>
      <c r="V195" s="129"/>
      <c r="W195" s="114"/>
    </row>
    <row r="196" spans="2:23">
      <c r="B196" s="114">
        <v>33</v>
      </c>
      <c r="C196" s="74">
        <f t="shared" si="71"/>
        <v>30.25</v>
      </c>
      <c r="D196" s="74">
        <f t="shared" si="72"/>
        <v>27.5</v>
      </c>
      <c r="E196" s="74">
        <f t="shared" si="73"/>
        <v>24.75</v>
      </c>
      <c r="F196" s="114">
        <v>22</v>
      </c>
      <c r="G196" s="74">
        <f t="shared" si="74"/>
        <v>19.25</v>
      </c>
      <c r="H196" s="74">
        <f t="shared" si="75"/>
        <v>16.5</v>
      </c>
      <c r="I196" s="74">
        <f t="shared" si="76"/>
        <v>13.75</v>
      </c>
      <c r="J196" s="114">
        <f t="shared" si="77"/>
        <v>11</v>
      </c>
      <c r="K196" s="74">
        <f t="shared" si="78"/>
        <v>8.9375</v>
      </c>
      <c r="L196" s="74">
        <f t="shared" si="79"/>
        <v>6.875</v>
      </c>
      <c r="M196" s="74">
        <f t="shared" si="80"/>
        <v>4.8125</v>
      </c>
      <c r="N196" s="114">
        <f t="shared" si="97"/>
        <v>2.75</v>
      </c>
      <c r="O196" s="74">
        <f t="shared" si="101"/>
        <v>6.3125</v>
      </c>
      <c r="P196" s="74">
        <f t="shared" si="102"/>
        <v>9.875</v>
      </c>
      <c r="Q196" s="74">
        <f t="shared" si="103"/>
        <v>13.4375</v>
      </c>
      <c r="R196" s="114">
        <v>17</v>
      </c>
      <c r="S196" s="129"/>
      <c r="T196" s="117">
        <f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16.650538461538464</v>
      </c>
      <c r="U196" s="117"/>
      <c r="V196" s="129"/>
      <c r="W196" s="114"/>
    </row>
    <row r="197" spans="2:23">
      <c r="B197" s="114">
        <v>34</v>
      </c>
      <c r="C197" s="74">
        <f t="shared" si="71"/>
        <v>31</v>
      </c>
      <c r="D197" s="74">
        <f t="shared" si="72"/>
        <v>28</v>
      </c>
      <c r="E197" s="74">
        <f t="shared" si="73"/>
        <v>25</v>
      </c>
      <c r="F197" s="114">
        <v>22</v>
      </c>
      <c r="G197" s="74">
        <f t="shared" si="74"/>
        <v>19</v>
      </c>
      <c r="H197" s="74">
        <f t="shared" si="75"/>
        <v>16</v>
      </c>
      <c r="I197" s="74">
        <f t="shared" si="76"/>
        <v>13</v>
      </c>
      <c r="J197" s="114">
        <f t="shared" si="77"/>
        <v>10</v>
      </c>
      <c r="K197" s="74">
        <f t="shared" si="78"/>
        <v>7.75</v>
      </c>
      <c r="L197" s="74">
        <f t="shared" si="79"/>
        <v>5.5</v>
      </c>
      <c r="M197" s="74">
        <f t="shared" si="80"/>
        <v>3.25</v>
      </c>
      <c r="N197" s="114">
        <f t="shared" si="97"/>
        <v>1</v>
      </c>
      <c r="O197" s="74">
        <f t="shared" si="101"/>
        <v>5</v>
      </c>
      <c r="P197" s="74">
        <f t="shared" si="102"/>
        <v>9</v>
      </c>
      <c r="Q197" s="74">
        <f t="shared" si="103"/>
        <v>13</v>
      </c>
      <c r="R197" s="114">
        <v>17</v>
      </c>
      <c r="S197" s="129"/>
      <c r="T197" s="126">
        <f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16.527338461538463</v>
      </c>
      <c r="U197" s="126"/>
      <c r="V197" s="129"/>
      <c r="W197" s="114"/>
    </row>
    <row r="198" spans="2:23">
      <c r="B198" s="114"/>
      <c r="C198" s="74"/>
      <c r="D198" s="74"/>
      <c r="E198" s="74"/>
      <c r="F198" s="114"/>
      <c r="G198" s="74"/>
      <c r="H198" s="74"/>
      <c r="I198" s="74"/>
      <c r="J198" s="114"/>
      <c r="K198" s="74"/>
      <c r="L198" s="74"/>
      <c r="M198" s="74"/>
      <c r="N198" s="114"/>
      <c r="O198" s="74"/>
      <c r="P198" s="74"/>
      <c r="Q198" s="74"/>
      <c r="R198" s="114"/>
      <c r="S198" s="129"/>
      <c r="T198" s="117"/>
      <c r="U198" s="117"/>
      <c r="V198" s="129"/>
      <c r="W198" s="114"/>
    </row>
    <row r="199" spans="2:23">
      <c r="B199" s="114">
        <v>25</v>
      </c>
      <c r="C199" s="74">
        <f t="shared" si="71"/>
        <v>24.5</v>
      </c>
      <c r="D199" s="74">
        <f t="shared" si="72"/>
        <v>24</v>
      </c>
      <c r="E199" s="74">
        <f t="shared" si="73"/>
        <v>23.5</v>
      </c>
      <c r="F199" s="114">
        <v>23</v>
      </c>
      <c r="G199" s="74">
        <f t="shared" si="74"/>
        <v>22.5</v>
      </c>
      <c r="H199" s="74">
        <f t="shared" si="75"/>
        <v>22</v>
      </c>
      <c r="I199" s="74">
        <f t="shared" si="76"/>
        <v>21.5</v>
      </c>
      <c r="J199" s="114">
        <f t="shared" si="77"/>
        <v>21</v>
      </c>
      <c r="K199" s="74">
        <f t="shared" si="78"/>
        <v>20.5</v>
      </c>
      <c r="L199" s="74">
        <f t="shared" si="79"/>
        <v>20</v>
      </c>
      <c r="M199" s="74">
        <f t="shared" si="80"/>
        <v>19.5</v>
      </c>
      <c r="N199" s="114">
        <f>SUM(J199,J199,-F199)</f>
        <v>19</v>
      </c>
      <c r="O199" s="74">
        <f t="shared" ref="O199:O209" si="104">SUM(0.25*(R199-N199),N199)</f>
        <v>18.5</v>
      </c>
      <c r="P199" s="74">
        <f t="shared" ref="P199:P209" si="105">SUM(0.5*(R199-N199),N199)</f>
        <v>18</v>
      </c>
      <c r="Q199" s="74">
        <f t="shared" ref="Q199:Q209" si="106">SUM(0.75*(R199-N199),N199)</f>
        <v>17.5</v>
      </c>
      <c r="R199" s="114">
        <v>17</v>
      </c>
      <c r="S199" s="129"/>
      <c r="T199" s="117">
        <f>SUM((BF20+BG19+BH18+BI17+BJ16+BK15+BL14+BM13+BN12+BO11+BP10+BQ9+BR8+BS7+BT6+BU5+BV4)*0.132,17)</f>
        <v>16.727538461538462</v>
      </c>
      <c r="U199" s="117"/>
      <c r="V199" s="129"/>
      <c r="W199" s="114"/>
    </row>
    <row r="200" spans="2:23">
      <c r="B200" s="114">
        <v>26</v>
      </c>
      <c r="C200" s="74">
        <f t="shared" si="71"/>
        <v>25.25</v>
      </c>
      <c r="D200" s="74">
        <f t="shared" si="72"/>
        <v>24.5</v>
      </c>
      <c r="E200" s="74">
        <f t="shared" si="73"/>
        <v>23.75</v>
      </c>
      <c r="F200" s="114">
        <v>23</v>
      </c>
      <c r="G200" s="74">
        <f t="shared" si="74"/>
        <v>22.25</v>
      </c>
      <c r="H200" s="74">
        <f t="shared" si="75"/>
        <v>21.5</v>
      </c>
      <c r="I200" s="74">
        <f t="shared" si="76"/>
        <v>20.75</v>
      </c>
      <c r="J200" s="114">
        <f t="shared" si="77"/>
        <v>20</v>
      </c>
      <c r="K200" s="74">
        <f t="shared" si="78"/>
        <v>19.4375</v>
      </c>
      <c r="L200" s="74">
        <f t="shared" si="79"/>
        <v>18.875</v>
      </c>
      <c r="M200" s="74">
        <f t="shared" si="80"/>
        <v>18.3125</v>
      </c>
      <c r="N200" s="114">
        <f t="shared" ref="N200:N221" si="107">SUM(F200,-B200,J200,0.25*ABS(J200-F200))</f>
        <v>17.75</v>
      </c>
      <c r="O200" s="74">
        <f t="shared" si="104"/>
        <v>17.5625</v>
      </c>
      <c r="P200" s="74">
        <f t="shared" si="105"/>
        <v>17.375</v>
      </c>
      <c r="Q200" s="74">
        <f t="shared" si="106"/>
        <v>17.1875</v>
      </c>
      <c r="R200" s="114">
        <v>17</v>
      </c>
      <c r="S200" s="129"/>
      <c r="T200" s="117">
        <f>SUM((BD20+BG18+BJ16+BM14+BP12+BQ11+BR10+BS9+BT8+BU7+BU6+BV5+BV4)*0.132,(BE19+BF19+BH17+BI17+BK15+BL15+BN13+BO13)*0.132/2,17)</f>
        <v>16.727538461538462</v>
      </c>
      <c r="U200" s="117"/>
      <c r="V200" s="129"/>
      <c r="W200" s="114"/>
    </row>
    <row r="201" spans="2:23">
      <c r="B201" s="114">
        <v>27</v>
      </c>
      <c r="C201" s="74">
        <f t="shared" si="71"/>
        <v>26</v>
      </c>
      <c r="D201" s="74">
        <f t="shared" si="72"/>
        <v>25</v>
      </c>
      <c r="E201" s="74">
        <f t="shared" si="73"/>
        <v>24</v>
      </c>
      <c r="F201" s="114">
        <v>23</v>
      </c>
      <c r="G201" s="74">
        <f t="shared" si="74"/>
        <v>22</v>
      </c>
      <c r="H201" s="74">
        <f t="shared" si="75"/>
        <v>21</v>
      </c>
      <c r="I201" s="74">
        <f t="shared" si="76"/>
        <v>20</v>
      </c>
      <c r="J201" s="114">
        <f t="shared" si="77"/>
        <v>19</v>
      </c>
      <c r="K201" s="74">
        <f t="shared" si="78"/>
        <v>18.25</v>
      </c>
      <c r="L201" s="74">
        <f t="shared" si="79"/>
        <v>17.5</v>
      </c>
      <c r="M201" s="74">
        <f t="shared" si="80"/>
        <v>16.75</v>
      </c>
      <c r="N201" s="114">
        <f t="shared" si="107"/>
        <v>16</v>
      </c>
      <c r="O201" s="74">
        <f t="shared" si="104"/>
        <v>16.25</v>
      </c>
      <c r="P201" s="74">
        <f t="shared" si="105"/>
        <v>16.5</v>
      </c>
      <c r="Q201" s="74">
        <f t="shared" si="106"/>
        <v>16.75</v>
      </c>
      <c r="R201" s="114">
        <v>17</v>
      </c>
      <c r="S201" s="129"/>
      <c r="T201" s="117">
        <f>SUM((BC19+BD19+BE18+BF18+BG17+BH17+BI16+BJ16+BK15+BL15+BM14+BN14+BO13+BP13+BQ12+BR12+BS11+BT11+BV9+BW9)*0.132/2,(BB20+BU10+BX8+BW7+BW6+BV5+BV4)*0.132,17)</f>
        <v>16.661538461538463</v>
      </c>
      <c r="U201" s="117"/>
      <c r="V201" s="129"/>
      <c r="W201" s="114"/>
    </row>
    <row r="202" spans="2:23">
      <c r="B202" s="114">
        <v>28</v>
      </c>
      <c r="C202" s="74">
        <f t="shared" si="71"/>
        <v>26.75</v>
      </c>
      <c r="D202" s="74">
        <f t="shared" si="72"/>
        <v>25.5</v>
      </c>
      <c r="E202" s="74">
        <f t="shared" si="73"/>
        <v>24.25</v>
      </c>
      <c r="F202" s="114">
        <v>23</v>
      </c>
      <c r="G202" s="74">
        <f t="shared" si="74"/>
        <v>21.75</v>
      </c>
      <c r="H202" s="74">
        <f t="shared" si="75"/>
        <v>20.5</v>
      </c>
      <c r="I202" s="74">
        <f t="shared" si="76"/>
        <v>19.25</v>
      </c>
      <c r="J202" s="114">
        <f t="shared" si="77"/>
        <v>18</v>
      </c>
      <c r="K202" s="74">
        <f t="shared" si="78"/>
        <v>17.0625</v>
      </c>
      <c r="L202" s="74">
        <f t="shared" si="79"/>
        <v>16.125</v>
      </c>
      <c r="M202" s="74">
        <f t="shared" si="80"/>
        <v>15.1875</v>
      </c>
      <c r="N202" s="114">
        <f t="shared" si="107"/>
        <v>14.25</v>
      </c>
      <c r="O202" s="74">
        <f t="shared" si="104"/>
        <v>14.9375</v>
      </c>
      <c r="P202" s="74">
        <f t="shared" si="105"/>
        <v>15.625</v>
      </c>
      <c r="Q202" s="74">
        <f t="shared" si="106"/>
        <v>16.3125</v>
      </c>
      <c r="R202" s="114">
        <v>17</v>
      </c>
      <c r="S202" s="129"/>
      <c r="T202" s="117">
        <f>SUM((AZ20+BA20+BB19+BC19+BG17+BH17+BI16+BJ16+BN14+BO14+BS12+BT12+BU11+BV11+BW10+BX10+BY9+BZ9+CA8+CB8+CA7+BZ7+BY6+BX6)*0.132/2,(BD18+BE18+BF18+BK15+BL15+BM15+BP13+BQ13+BR13)*0.132/3,(BW5+BV4)*0.132,17)</f>
        <v>16.727538461538462</v>
      </c>
      <c r="U202" s="117"/>
      <c r="V202" s="129"/>
      <c r="W202" s="114"/>
    </row>
    <row r="203" spans="2:23">
      <c r="B203" s="114">
        <v>29</v>
      </c>
      <c r="C203" s="74">
        <f t="shared" si="71"/>
        <v>27.5</v>
      </c>
      <c r="D203" s="74">
        <f t="shared" si="72"/>
        <v>26</v>
      </c>
      <c r="E203" s="74">
        <f t="shared" si="73"/>
        <v>24.5</v>
      </c>
      <c r="F203" s="114">
        <v>23</v>
      </c>
      <c r="G203" s="74">
        <f t="shared" si="74"/>
        <v>21.5</v>
      </c>
      <c r="H203" s="74">
        <f t="shared" si="75"/>
        <v>20</v>
      </c>
      <c r="I203" s="74">
        <f t="shared" si="76"/>
        <v>18.5</v>
      </c>
      <c r="J203" s="114">
        <f t="shared" si="77"/>
        <v>17</v>
      </c>
      <c r="K203" s="74">
        <f t="shared" si="78"/>
        <v>15.875</v>
      </c>
      <c r="L203" s="74">
        <f t="shared" si="79"/>
        <v>14.75</v>
      </c>
      <c r="M203" s="74">
        <f t="shared" si="80"/>
        <v>13.625</v>
      </c>
      <c r="N203" s="114">
        <f t="shared" si="107"/>
        <v>12.5</v>
      </c>
      <c r="O203" s="74">
        <f t="shared" si="104"/>
        <v>13.625</v>
      </c>
      <c r="P203" s="74">
        <f t="shared" si="105"/>
        <v>14.75</v>
      </c>
      <c r="Q203" s="74">
        <f t="shared" si="106"/>
        <v>15.875</v>
      </c>
      <c r="R203" s="114">
        <v>17</v>
      </c>
      <c r="S203" s="129"/>
      <c r="T203" s="117">
        <f>SUM((AX20+AY20+BC18+BD18+BZ10+CA10+CE8+CF8+BY5+BX5+BW4+BV4)*0.132/2,(AZ19+BA19+BB19+BE17+BF17+BG17+BH16+BI16+BJ16+BK15+BL15+BM15+BN14+BO14+BP14+BQ13+BR13+BS13+BT12+BU12+BV12+BW11+BX11+BY11+CB9+CC9+CD9+CD7+CC7+CE7+CB6+CA6+BZ6)*0.132/3,17)</f>
        <v>16.837538461538461</v>
      </c>
      <c r="U203" s="117"/>
      <c r="V203" s="129"/>
      <c r="W203" s="114"/>
    </row>
    <row r="204" spans="2:23">
      <c r="B204" s="114">
        <v>30</v>
      </c>
      <c r="C204" s="74">
        <f t="shared" si="71"/>
        <v>28.25</v>
      </c>
      <c r="D204" s="74">
        <f t="shared" si="72"/>
        <v>26.5</v>
      </c>
      <c r="E204" s="74">
        <f t="shared" si="73"/>
        <v>24.75</v>
      </c>
      <c r="F204" s="114">
        <v>23</v>
      </c>
      <c r="G204" s="74">
        <f t="shared" si="74"/>
        <v>21.25</v>
      </c>
      <c r="H204" s="74">
        <f t="shared" si="75"/>
        <v>19.5</v>
      </c>
      <c r="I204" s="74">
        <f t="shared" si="76"/>
        <v>17.75</v>
      </c>
      <c r="J204" s="114">
        <f t="shared" si="77"/>
        <v>16</v>
      </c>
      <c r="K204" s="74">
        <f t="shared" si="78"/>
        <v>14.6875</v>
      </c>
      <c r="L204" s="74">
        <f t="shared" si="79"/>
        <v>13.375</v>
      </c>
      <c r="M204" s="74">
        <f t="shared" si="80"/>
        <v>12.0625</v>
      </c>
      <c r="N204" s="114">
        <f t="shared" si="107"/>
        <v>10.75</v>
      </c>
      <c r="O204" s="74">
        <f t="shared" si="104"/>
        <v>12.3125</v>
      </c>
      <c r="P204" s="74">
        <f t="shared" si="105"/>
        <v>13.875</v>
      </c>
      <c r="Q204" s="74">
        <f t="shared" si="106"/>
        <v>15.4375</v>
      </c>
      <c r="R204" s="114">
        <v>17</v>
      </c>
      <c r="S204" s="129"/>
      <c r="T204" s="117">
        <f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16.903538461538464</v>
      </c>
      <c r="U204" s="117"/>
      <c r="V204" s="129"/>
      <c r="W204" s="114"/>
    </row>
    <row r="205" spans="2:23">
      <c r="B205" s="114">
        <v>31</v>
      </c>
      <c r="C205" s="74">
        <f t="shared" si="71"/>
        <v>29</v>
      </c>
      <c r="D205" s="74">
        <f t="shared" si="72"/>
        <v>27</v>
      </c>
      <c r="E205" s="74">
        <f t="shared" si="73"/>
        <v>25</v>
      </c>
      <c r="F205" s="114">
        <v>23</v>
      </c>
      <c r="G205" s="74">
        <f t="shared" si="74"/>
        <v>21</v>
      </c>
      <c r="H205" s="74">
        <f t="shared" si="75"/>
        <v>19</v>
      </c>
      <c r="I205" s="74">
        <f t="shared" si="76"/>
        <v>17</v>
      </c>
      <c r="J205" s="114">
        <f t="shared" si="77"/>
        <v>15</v>
      </c>
      <c r="K205" s="74">
        <f t="shared" si="78"/>
        <v>13.5</v>
      </c>
      <c r="L205" s="74">
        <f t="shared" si="79"/>
        <v>12</v>
      </c>
      <c r="M205" s="74">
        <f t="shared" si="80"/>
        <v>10.5</v>
      </c>
      <c r="N205" s="114">
        <f t="shared" si="107"/>
        <v>9</v>
      </c>
      <c r="O205" s="74">
        <f t="shared" si="104"/>
        <v>11</v>
      </c>
      <c r="P205" s="74">
        <f t="shared" si="105"/>
        <v>13</v>
      </c>
      <c r="Q205" s="74">
        <f t="shared" si="106"/>
        <v>15</v>
      </c>
      <c r="R205" s="114">
        <v>17</v>
      </c>
      <c r="S205" s="129"/>
      <c r="T205" s="117">
        <f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16.903538461538464</v>
      </c>
      <c r="U205" s="117"/>
      <c r="V205" s="129"/>
      <c r="W205" s="114"/>
    </row>
    <row r="206" spans="2:23">
      <c r="B206" s="114">
        <v>32</v>
      </c>
      <c r="C206" s="74">
        <f t="shared" si="71"/>
        <v>29.75</v>
      </c>
      <c r="D206" s="74">
        <f t="shared" si="72"/>
        <v>27.5</v>
      </c>
      <c r="E206" s="74">
        <f t="shared" si="73"/>
        <v>25.25</v>
      </c>
      <c r="F206" s="114">
        <v>23</v>
      </c>
      <c r="G206" s="74">
        <f t="shared" si="74"/>
        <v>20.75</v>
      </c>
      <c r="H206" s="74">
        <f t="shared" si="75"/>
        <v>18.5</v>
      </c>
      <c r="I206" s="74">
        <f t="shared" si="76"/>
        <v>16.25</v>
      </c>
      <c r="J206" s="114">
        <f t="shared" si="77"/>
        <v>14</v>
      </c>
      <c r="K206" s="74">
        <f t="shared" si="78"/>
        <v>12.3125</v>
      </c>
      <c r="L206" s="74">
        <f t="shared" si="79"/>
        <v>10.625</v>
      </c>
      <c r="M206" s="74">
        <f t="shared" si="80"/>
        <v>8.9375</v>
      </c>
      <c r="N206" s="114">
        <f t="shared" si="107"/>
        <v>7.25</v>
      </c>
      <c r="O206" s="74">
        <f t="shared" si="104"/>
        <v>9.6875</v>
      </c>
      <c r="P206" s="74">
        <f t="shared" si="105"/>
        <v>12.125</v>
      </c>
      <c r="Q206" s="74">
        <f t="shared" si="106"/>
        <v>14.5625</v>
      </c>
      <c r="R206" s="114">
        <v>17</v>
      </c>
      <c r="S206" s="129"/>
      <c r="T206" s="117">
        <f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16.905738461538462</v>
      </c>
      <c r="U206" s="117"/>
      <c r="V206" s="129"/>
      <c r="W206" s="114"/>
    </row>
    <row r="207" spans="2:23">
      <c r="B207" s="114">
        <v>33</v>
      </c>
      <c r="C207" s="74">
        <f t="shared" ref="C207:C270" si="108">SUM(0.25*(F207-B207),B207)</f>
        <v>30.5</v>
      </c>
      <c r="D207" s="74">
        <f t="shared" ref="D207:D270" si="109">SUM(0.5*(F207-B207)+B207)</f>
        <v>28</v>
      </c>
      <c r="E207" s="74">
        <f t="shared" ref="E207:E270" si="110">SUM(0.75*(F207-B207),B207)</f>
        <v>25.5</v>
      </c>
      <c r="F207" s="114">
        <v>23</v>
      </c>
      <c r="G207" s="74">
        <f t="shared" ref="G207:G270" si="111">SUM(0.25*(J207-F207),F207)</f>
        <v>20.5</v>
      </c>
      <c r="H207" s="74">
        <f t="shared" ref="H207:H270" si="112">SUM(0.5*(J207-F207),F207)</f>
        <v>18</v>
      </c>
      <c r="I207" s="74">
        <f t="shared" ref="I207:I270" si="113">SUM(0.75*(J207-F207),F207)</f>
        <v>15.5</v>
      </c>
      <c r="J207" s="114">
        <f t="shared" ref="J207:J270" si="114">SUM(F207,-B207,F207)</f>
        <v>13</v>
      </c>
      <c r="K207" s="74">
        <f t="shared" ref="K207:K270" si="115">SUM(0.25*(N207-J207),J207)</f>
        <v>11.125</v>
      </c>
      <c r="L207" s="74">
        <f t="shared" ref="L207:L270" si="116">SUM(0.5*(N207-J207),J207)</f>
        <v>9.25</v>
      </c>
      <c r="M207" s="74">
        <f t="shared" ref="M207:M270" si="117">SUM(0.75*(N207-J207),J207)</f>
        <v>7.375</v>
      </c>
      <c r="N207" s="114">
        <f t="shared" si="107"/>
        <v>5.5</v>
      </c>
      <c r="O207" s="74">
        <f t="shared" si="104"/>
        <v>8.375</v>
      </c>
      <c r="P207" s="74">
        <f t="shared" si="105"/>
        <v>11.25</v>
      </c>
      <c r="Q207" s="74">
        <f t="shared" si="106"/>
        <v>14.125</v>
      </c>
      <c r="R207" s="114">
        <v>17</v>
      </c>
      <c r="S207" s="129"/>
      <c r="T207" s="117">
        <f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16.612824175824176</v>
      </c>
      <c r="U207" s="117"/>
      <c r="V207" s="129"/>
      <c r="W207" s="114"/>
    </row>
    <row r="208" spans="2:23">
      <c r="B208" s="114">
        <v>34</v>
      </c>
      <c r="C208" s="74">
        <f t="shared" si="108"/>
        <v>31.25</v>
      </c>
      <c r="D208" s="74">
        <f t="shared" si="109"/>
        <v>28.5</v>
      </c>
      <c r="E208" s="74">
        <f t="shared" si="110"/>
        <v>25.75</v>
      </c>
      <c r="F208" s="114">
        <v>23</v>
      </c>
      <c r="G208" s="74">
        <f t="shared" si="111"/>
        <v>20.25</v>
      </c>
      <c r="H208" s="74">
        <f t="shared" si="112"/>
        <v>17.5</v>
      </c>
      <c r="I208" s="74">
        <f t="shared" si="113"/>
        <v>14.75</v>
      </c>
      <c r="J208" s="114">
        <f t="shared" si="114"/>
        <v>12</v>
      </c>
      <c r="K208" s="74">
        <f t="shared" si="115"/>
        <v>9.9375</v>
      </c>
      <c r="L208" s="74">
        <f t="shared" si="116"/>
        <v>7.875</v>
      </c>
      <c r="M208" s="74">
        <f t="shared" si="117"/>
        <v>5.8125</v>
      </c>
      <c r="N208" s="114">
        <f t="shared" si="107"/>
        <v>3.75</v>
      </c>
      <c r="O208" s="74">
        <f t="shared" si="104"/>
        <v>7.0625</v>
      </c>
      <c r="P208" s="74">
        <f t="shared" si="105"/>
        <v>10.375</v>
      </c>
      <c r="Q208" s="74">
        <f t="shared" si="106"/>
        <v>13.6875</v>
      </c>
      <c r="R208" s="114">
        <v>17</v>
      </c>
      <c r="S208" s="129"/>
      <c r="T208" s="117">
        <f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16.362495604395605</v>
      </c>
      <c r="U208" s="117"/>
      <c r="V208" s="129"/>
      <c r="W208" s="114"/>
    </row>
    <row r="209" spans="2:23">
      <c r="B209" s="114">
        <v>35</v>
      </c>
      <c r="C209" s="74">
        <f t="shared" si="108"/>
        <v>32</v>
      </c>
      <c r="D209" s="74">
        <f t="shared" si="109"/>
        <v>29</v>
      </c>
      <c r="E209" s="74">
        <f t="shared" si="110"/>
        <v>26</v>
      </c>
      <c r="F209" s="114">
        <v>23</v>
      </c>
      <c r="G209" s="74">
        <f t="shared" si="111"/>
        <v>20</v>
      </c>
      <c r="H209" s="74">
        <f t="shared" si="112"/>
        <v>17</v>
      </c>
      <c r="I209" s="74">
        <f t="shared" si="113"/>
        <v>14</v>
      </c>
      <c r="J209" s="114">
        <f t="shared" si="114"/>
        <v>11</v>
      </c>
      <c r="K209" s="74">
        <f t="shared" si="115"/>
        <v>8.75</v>
      </c>
      <c r="L209" s="74">
        <f t="shared" si="116"/>
        <v>6.5</v>
      </c>
      <c r="M209" s="74">
        <f t="shared" si="117"/>
        <v>4.25</v>
      </c>
      <c r="N209" s="114">
        <f t="shared" si="107"/>
        <v>2</v>
      </c>
      <c r="O209" s="74">
        <f t="shared" si="104"/>
        <v>5.75</v>
      </c>
      <c r="P209" s="74">
        <f t="shared" si="105"/>
        <v>9.5</v>
      </c>
      <c r="Q209" s="74">
        <f t="shared" si="106"/>
        <v>13.25</v>
      </c>
      <c r="R209" s="114">
        <v>17</v>
      </c>
      <c r="S209" s="129"/>
      <c r="T209" s="126">
        <f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16.285495604395607</v>
      </c>
      <c r="U209" s="126"/>
      <c r="V209" s="129"/>
      <c r="W209" s="114"/>
    </row>
    <row r="210" spans="2:23">
      <c r="B210" s="114"/>
      <c r="C210" s="74"/>
      <c r="D210" s="74"/>
      <c r="E210" s="74"/>
      <c r="F210" s="114"/>
      <c r="G210" s="74"/>
      <c r="H210" s="74"/>
      <c r="I210" s="74"/>
      <c r="J210" s="114"/>
      <c r="K210" s="74"/>
      <c r="L210" s="74"/>
      <c r="M210" s="74"/>
      <c r="N210" s="114"/>
      <c r="O210" s="74"/>
      <c r="P210" s="74"/>
      <c r="Q210" s="74"/>
      <c r="R210" s="114"/>
      <c r="S210" s="129"/>
      <c r="T210" s="117"/>
      <c r="U210" s="117"/>
      <c r="V210" s="129"/>
      <c r="W210" s="114"/>
    </row>
    <row r="211" spans="2:23">
      <c r="B211" s="114">
        <v>27</v>
      </c>
      <c r="C211" s="74">
        <f t="shared" si="108"/>
        <v>26.25</v>
      </c>
      <c r="D211" s="74">
        <f t="shared" si="109"/>
        <v>25.5</v>
      </c>
      <c r="E211" s="74">
        <f t="shared" si="110"/>
        <v>24.75</v>
      </c>
      <c r="F211" s="114">
        <v>24</v>
      </c>
      <c r="G211" s="74">
        <f t="shared" si="111"/>
        <v>23.25</v>
      </c>
      <c r="H211" s="74">
        <f t="shared" si="112"/>
        <v>22.5</v>
      </c>
      <c r="I211" s="74">
        <f t="shared" si="113"/>
        <v>21.75</v>
      </c>
      <c r="J211" s="114">
        <f t="shared" si="114"/>
        <v>21</v>
      </c>
      <c r="K211" s="74">
        <f t="shared" si="115"/>
        <v>20.4375</v>
      </c>
      <c r="L211" s="74">
        <f t="shared" si="116"/>
        <v>19.875</v>
      </c>
      <c r="M211" s="74">
        <f t="shared" si="117"/>
        <v>19.3125</v>
      </c>
      <c r="N211" s="114">
        <f t="shared" si="107"/>
        <v>18.75</v>
      </c>
      <c r="O211" s="74">
        <f t="shared" ref="O211:O221" si="118">SUM(0.25*(R211-N211),N211)</f>
        <v>18.3125</v>
      </c>
      <c r="P211" s="74">
        <f t="shared" ref="P211:P221" si="119">SUM(0.5*(R211-N211),N211)</f>
        <v>17.875</v>
      </c>
      <c r="Q211" s="74">
        <f t="shared" ref="Q211:Q221" si="120">SUM(0.75*(R211-N211),N211)</f>
        <v>17.4375</v>
      </c>
      <c r="R211" s="114">
        <v>17</v>
      </c>
      <c r="S211" s="129"/>
      <c r="T211" s="117">
        <f>SUM((BB20+BE18+BH16+BK14+BN12+BQ10+BT8+BU7+BU6+BV5+BV4)*0.132,(BC19+BD19+BF17+BG17+BI15+BJ15+BL13+BM13+BO11+BP11+BR9+BS9)*0.132/2,17)</f>
        <v>16.727538461538462</v>
      </c>
      <c r="U211" s="117"/>
      <c r="V211" s="129"/>
      <c r="W211" s="114"/>
    </row>
    <row r="212" spans="2:23">
      <c r="B212" s="114">
        <v>28</v>
      </c>
      <c r="C212" s="74">
        <f t="shared" si="108"/>
        <v>27</v>
      </c>
      <c r="D212" s="74">
        <f t="shared" si="109"/>
        <v>26</v>
      </c>
      <c r="E212" s="74">
        <f t="shared" si="110"/>
        <v>25</v>
      </c>
      <c r="F212" s="114">
        <v>24</v>
      </c>
      <c r="G212" s="74">
        <f t="shared" si="111"/>
        <v>23</v>
      </c>
      <c r="H212" s="74">
        <f t="shared" si="112"/>
        <v>22</v>
      </c>
      <c r="I212" s="74">
        <f t="shared" si="113"/>
        <v>21</v>
      </c>
      <c r="J212" s="114">
        <f t="shared" si="114"/>
        <v>20</v>
      </c>
      <c r="K212" s="74">
        <f t="shared" si="115"/>
        <v>19.25</v>
      </c>
      <c r="L212" s="74">
        <f t="shared" si="116"/>
        <v>18.5</v>
      </c>
      <c r="M212" s="74">
        <f t="shared" si="117"/>
        <v>17.75</v>
      </c>
      <c r="N212" s="114">
        <f t="shared" si="107"/>
        <v>17</v>
      </c>
      <c r="O212" s="74">
        <f t="shared" si="118"/>
        <v>17</v>
      </c>
      <c r="P212" s="74">
        <f t="shared" si="119"/>
        <v>17</v>
      </c>
      <c r="Q212" s="74">
        <f t="shared" si="120"/>
        <v>17</v>
      </c>
      <c r="R212" s="114">
        <v>17</v>
      </c>
      <c r="S212" s="129"/>
      <c r="T212" s="117">
        <f>SUM((BA19+BB19+BC18+BD18+BE17+BF17+BG16+BH16+BI15+BJ15+BK14+BL14+BM13+BN13+BO12+BP12+BQ11+BR11+BS10+BT10+BU9+BV9)*0.132/2,(AZ20+BW8+BW7+BV6+BV5+BV4)*0.132,17)</f>
        <v>16.463538461538462</v>
      </c>
      <c r="U212" s="117"/>
      <c r="V212" s="129"/>
      <c r="W212" s="114"/>
    </row>
    <row r="213" spans="2:23">
      <c r="B213" s="114">
        <v>29</v>
      </c>
      <c r="C213" s="74">
        <f t="shared" si="108"/>
        <v>27.75</v>
      </c>
      <c r="D213" s="74">
        <f t="shared" si="109"/>
        <v>26.5</v>
      </c>
      <c r="E213" s="74">
        <f t="shared" si="110"/>
        <v>25.25</v>
      </c>
      <c r="F213" s="114">
        <v>24</v>
      </c>
      <c r="G213" s="74">
        <f t="shared" si="111"/>
        <v>22.75</v>
      </c>
      <c r="H213" s="74">
        <f t="shared" si="112"/>
        <v>21.5</v>
      </c>
      <c r="I213" s="74">
        <f t="shared" si="113"/>
        <v>20.25</v>
      </c>
      <c r="J213" s="114">
        <f t="shared" si="114"/>
        <v>19</v>
      </c>
      <c r="K213" s="74">
        <f t="shared" si="115"/>
        <v>18.0625</v>
      </c>
      <c r="L213" s="74">
        <f t="shared" si="116"/>
        <v>17.125</v>
      </c>
      <c r="M213" s="74">
        <f t="shared" si="117"/>
        <v>16.1875</v>
      </c>
      <c r="N213" s="114">
        <f t="shared" si="107"/>
        <v>15.25</v>
      </c>
      <c r="O213" s="74">
        <f t="shared" si="118"/>
        <v>15.6875</v>
      </c>
      <c r="P213" s="74">
        <f t="shared" si="119"/>
        <v>16.125</v>
      </c>
      <c r="Q213" s="74">
        <f t="shared" si="120"/>
        <v>16.5625</v>
      </c>
      <c r="R213" s="114">
        <v>17</v>
      </c>
      <c r="S213" s="129"/>
      <c r="T213" s="117">
        <f>SUM((AX20+AY20+AZ19+BA19+BE17+BF17+BG16+BH16+BL14+BM14+BQ12+BR12+BS11+BT11+BU10+BV10+BW9+BX9+BY8+BZ8)*0.132/2,(BB18+BC18+BD18+BI15+BJ15+BK15+BN13+BO13+BP13)*0.132/3,(BY7+BX6+BW5+BV4)*0.132,17)</f>
        <v>16.749538461538464</v>
      </c>
      <c r="U213" s="117"/>
      <c r="V213" s="129"/>
      <c r="W213" s="114"/>
    </row>
    <row r="214" spans="2:23">
      <c r="B214" s="114">
        <v>30</v>
      </c>
      <c r="C214" s="74">
        <f t="shared" si="108"/>
        <v>28.5</v>
      </c>
      <c r="D214" s="74">
        <f t="shared" si="109"/>
        <v>27</v>
      </c>
      <c r="E214" s="74">
        <f t="shared" si="110"/>
        <v>25.5</v>
      </c>
      <c r="F214" s="114">
        <v>24</v>
      </c>
      <c r="G214" s="74">
        <f t="shared" si="111"/>
        <v>22.5</v>
      </c>
      <c r="H214" s="74">
        <f t="shared" si="112"/>
        <v>21</v>
      </c>
      <c r="I214" s="74">
        <f t="shared" si="113"/>
        <v>19.5</v>
      </c>
      <c r="J214" s="114">
        <f t="shared" si="114"/>
        <v>18</v>
      </c>
      <c r="K214" s="74">
        <f t="shared" si="115"/>
        <v>16.875</v>
      </c>
      <c r="L214" s="74">
        <f t="shared" si="116"/>
        <v>15.75</v>
      </c>
      <c r="M214" s="74">
        <f t="shared" si="117"/>
        <v>14.625</v>
      </c>
      <c r="N214" s="114">
        <f t="shared" si="107"/>
        <v>13.5</v>
      </c>
      <c r="O214" s="74">
        <f t="shared" si="118"/>
        <v>14.375</v>
      </c>
      <c r="P214" s="74">
        <f t="shared" si="119"/>
        <v>15.25</v>
      </c>
      <c r="Q214" s="74">
        <f t="shared" si="120"/>
        <v>16.125</v>
      </c>
      <c r="R214" s="114">
        <v>17</v>
      </c>
      <c r="S214" s="129"/>
      <c r="T214" s="117">
        <f>SUM((AV20+AW20+BA18+BB18+BX10+BY10+CC8+CD8+CC7+CB7+CA6+BZ6+BY5+BX5+BW4+BV4)*0.132/2,(AX19+AY19+AZ19+BC17+BD17+BE17+BF16+BG16+BH16+BI15+BJ15+BK15+BL14+BM14+BN14+BO13+BP13+BQ13+BR12+BS12+BT12+BU11+BV11+BW11+BZ9+CA9+CB9)*0.132/3,17)</f>
        <v>16.617538461538462</v>
      </c>
      <c r="U214" s="117"/>
      <c r="V214" s="129"/>
      <c r="W214" s="114"/>
    </row>
    <row r="215" spans="2:23">
      <c r="B215" s="114">
        <v>31</v>
      </c>
      <c r="C215" s="74">
        <f t="shared" si="108"/>
        <v>29.25</v>
      </c>
      <c r="D215" s="74">
        <f t="shared" si="109"/>
        <v>27.5</v>
      </c>
      <c r="E215" s="74">
        <f t="shared" si="110"/>
        <v>25.75</v>
      </c>
      <c r="F215" s="114">
        <v>24</v>
      </c>
      <c r="G215" s="74">
        <f t="shared" si="111"/>
        <v>22.25</v>
      </c>
      <c r="H215" s="74">
        <f t="shared" si="112"/>
        <v>20.5</v>
      </c>
      <c r="I215" s="74">
        <f t="shared" si="113"/>
        <v>18.75</v>
      </c>
      <c r="J215" s="114">
        <f t="shared" si="114"/>
        <v>17</v>
      </c>
      <c r="K215" s="74">
        <f t="shared" si="115"/>
        <v>15.6875</v>
      </c>
      <c r="L215" s="74">
        <f t="shared" si="116"/>
        <v>14.375</v>
      </c>
      <c r="M215" s="74">
        <f t="shared" si="117"/>
        <v>13.0625</v>
      </c>
      <c r="N215" s="114">
        <f t="shared" si="107"/>
        <v>11.75</v>
      </c>
      <c r="O215" s="74">
        <f t="shared" si="118"/>
        <v>13.0625</v>
      </c>
      <c r="P215" s="74">
        <f t="shared" si="119"/>
        <v>14.375</v>
      </c>
      <c r="Q215" s="74">
        <f t="shared" si="120"/>
        <v>15.6875</v>
      </c>
      <c r="R215" s="114">
        <v>17</v>
      </c>
      <c r="S215" s="129"/>
      <c r="T215" s="117">
        <f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16.804538461538463</v>
      </c>
      <c r="U215" s="117"/>
      <c r="V215" s="129"/>
      <c r="W215" s="114"/>
    </row>
    <row r="216" spans="2:23">
      <c r="B216" s="114">
        <v>32</v>
      </c>
      <c r="C216" s="74">
        <f t="shared" si="108"/>
        <v>30</v>
      </c>
      <c r="D216" s="74">
        <f t="shared" si="109"/>
        <v>28</v>
      </c>
      <c r="E216" s="74">
        <f t="shared" si="110"/>
        <v>26</v>
      </c>
      <c r="F216" s="114">
        <v>24</v>
      </c>
      <c r="G216" s="74">
        <f t="shared" si="111"/>
        <v>22</v>
      </c>
      <c r="H216" s="74">
        <f t="shared" si="112"/>
        <v>20</v>
      </c>
      <c r="I216" s="74">
        <f t="shared" si="113"/>
        <v>18</v>
      </c>
      <c r="J216" s="114">
        <f t="shared" si="114"/>
        <v>16</v>
      </c>
      <c r="K216" s="74">
        <f t="shared" si="115"/>
        <v>14.5</v>
      </c>
      <c r="L216" s="74">
        <f t="shared" si="116"/>
        <v>13</v>
      </c>
      <c r="M216" s="74">
        <f t="shared" si="117"/>
        <v>11.5</v>
      </c>
      <c r="N216" s="114">
        <f t="shared" si="107"/>
        <v>10</v>
      </c>
      <c r="O216" s="74">
        <f t="shared" si="118"/>
        <v>11.75</v>
      </c>
      <c r="P216" s="74">
        <f t="shared" si="119"/>
        <v>13.5</v>
      </c>
      <c r="Q216" s="74">
        <f t="shared" si="120"/>
        <v>15.25</v>
      </c>
      <c r="R216" s="114">
        <v>17</v>
      </c>
      <c r="S216" s="129"/>
      <c r="T216" s="117">
        <f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16.826538461538462</v>
      </c>
      <c r="U216" s="117"/>
      <c r="V216" s="129"/>
      <c r="W216" s="114"/>
    </row>
    <row r="217" spans="2:23">
      <c r="B217" s="114">
        <v>33</v>
      </c>
      <c r="C217" s="74">
        <f t="shared" si="108"/>
        <v>30.75</v>
      </c>
      <c r="D217" s="74">
        <f t="shared" si="109"/>
        <v>28.5</v>
      </c>
      <c r="E217" s="74">
        <f t="shared" si="110"/>
        <v>26.25</v>
      </c>
      <c r="F217" s="114">
        <v>24</v>
      </c>
      <c r="G217" s="74">
        <f t="shared" si="111"/>
        <v>21.75</v>
      </c>
      <c r="H217" s="74">
        <f t="shared" si="112"/>
        <v>19.5</v>
      </c>
      <c r="I217" s="74">
        <f t="shared" si="113"/>
        <v>17.25</v>
      </c>
      <c r="J217" s="114">
        <f t="shared" si="114"/>
        <v>15</v>
      </c>
      <c r="K217" s="74">
        <f t="shared" si="115"/>
        <v>13.3125</v>
      </c>
      <c r="L217" s="74">
        <f t="shared" si="116"/>
        <v>11.625</v>
      </c>
      <c r="M217" s="74">
        <f t="shared" si="117"/>
        <v>9.9375</v>
      </c>
      <c r="N217" s="114">
        <f t="shared" si="107"/>
        <v>8.25</v>
      </c>
      <c r="O217" s="74">
        <f t="shared" si="118"/>
        <v>10.4375</v>
      </c>
      <c r="P217" s="74">
        <f t="shared" si="119"/>
        <v>12.625</v>
      </c>
      <c r="Q217" s="74">
        <f t="shared" si="120"/>
        <v>14.8125</v>
      </c>
      <c r="R217" s="114">
        <v>17</v>
      </c>
      <c r="S217" s="129"/>
      <c r="T217" s="117">
        <f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16.687938461538462</v>
      </c>
      <c r="U217" s="117"/>
      <c r="V217" s="129"/>
      <c r="W217" s="114"/>
    </row>
    <row r="218" spans="2:23">
      <c r="B218" s="114">
        <v>34</v>
      </c>
      <c r="C218" s="74">
        <f t="shared" si="108"/>
        <v>31.5</v>
      </c>
      <c r="D218" s="74">
        <f t="shared" si="109"/>
        <v>29</v>
      </c>
      <c r="E218" s="74">
        <f t="shared" si="110"/>
        <v>26.5</v>
      </c>
      <c r="F218" s="114">
        <v>24</v>
      </c>
      <c r="G218" s="74">
        <f t="shared" si="111"/>
        <v>21.5</v>
      </c>
      <c r="H218" s="74">
        <f t="shared" si="112"/>
        <v>19</v>
      </c>
      <c r="I218" s="74">
        <f t="shared" si="113"/>
        <v>16.5</v>
      </c>
      <c r="J218" s="114">
        <f t="shared" si="114"/>
        <v>14</v>
      </c>
      <c r="K218" s="74">
        <f t="shared" si="115"/>
        <v>12.125</v>
      </c>
      <c r="L218" s="74">
        <f t="shared" si="116"/>
        <v>10.25</v>
      </c>
      <c r="M218" s="74">
        <f t="shared" si="117"/>
        <v>8.375</v>
      </c>
      <c r="N218" s="114">
        <f t="shared" si="107"/>
        <v>6.5</v>
      </c>
      <c r="O218" s="74">
        <f t="shared" si="118"/>
        <v>9.125</v>
      </c>
      <c r="P218" s="74">
        <f t="shared" si="119"/>
        <v>11.75</v>
      </c>
      <c r="Q218" s="74">
        <f t="shared" si="120"/>
        <v>14.375</v>
      </c>
      <c r="R218" s="114">
        <v>17</v>
      </c>
      <c r="S218" s="129"/>
      <c r="T218" s="117">
        <f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16.639538461538464</v>
      </c>
      <c r="U218" s="117"/>
      <c r="V218" s="129"/>
      <c r="W218" s="114"/>
    </row>
    <row r="219" spans="2:23">
      <c r="B219" s="114">
        <v>35</v>
      </c>
      <c r="C219" s="74">
        <f t="shared" si="108"/>
        <v>32.25</v>
      </c>
      <c r="D219" s="74">
        <f t="shared" si="109"/>
        <v>29.5</v>
      </c>
      <c r="E219" s="74">
        <f t="shared" si="110"/>
        <v>26.75</v>
      </c>
      <c r="F219" s="114">
        <v>24</v>
      </c>
      <c r="G219" s="74">
        <f t="shared" si="111"/>
        <v>21.25</v>
      </c>
      <c r="H219" s="74">
        <f t="shared" si="112"/>
        <v>18.5</v>
      </c>
      <c r="I219" s="74">
        <f t="shared" si="113"/>
        <v>15.75</v>
      </c>
      <c r="J219" s="114">
        <f t="shared" si="114"/>
        <v>13</v>
      </c>
      <c r="K219" s="74">
        <f t="shared" si="115"/>
        <v>10.9375</v>
      </c>
      <c r="L219" s="74">
        <f t="shared" si="116"/>
        <v>8.875</v>
      </c>
      <c r="M219" s="74">
        <f t="shared" si="117"/>
        <v>6.8125</v>
      </c>
      <c r="N219" s="114">
        <f t="shared" si="107"/>
        <v>4.75</v>
      </c>
      <c r="O219" s="74">
        <f t="shared" si="118"/>
        <v>7.8125</v>
      </c>
      <c r="P219" s="74">
        <f t="shared" si="119"/>
        <v>10.875</v>
      </c>
      <c r="Q219" s="74">
        <f t="shared" si="120"/>
        <v>13.9375</v>
      </c>
      <c r="R219" s="114">
        <v>17</v>
      </c>
      <c r="S219" s="129"/>
      <c r="T219" s="117">
        <f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16.251081318681319</v>
      </c>
      <c r="U219" s="117"/>
      <c r="V219" s="129"/>
      <c r="W219" s="114"/>
    </row>
    <row r="220" spans="2:23">
      <c r="B220" s="114">
        <v>36</v>
      </c>
      <c r="C220" s="74">
        <f t="shared" si="108"/>
        <v>33</v>
      </c>
      <c r="D220" s="74">
        <f t="shared" si="109"/>
        <v>30</v>
      </c>
      <c r="E220" s="74">
        <f t="shared" si="110"/>
        <v>27</v>
      </c>
      <c r="F220" s="114">
        <v>24</v>
      </c>
      <c r="G220" s="74">
        <f t="shared" si="111"/>
        <v>21</v>
      </c>
      <c r="H220" s="74">
        <f t="shared" si="112"/>
        <v>18</v>
      </c>
      <c r="I220" s="74">
        <f t="shared" si="113"/>
        <v>15</v>
      </c>
      <c r="J220" s="114">
        <f t="shared" si="114"/>
        <v>12</v>
      </c>
      <c r="K220" s="74">
        <f t="shared" si="115"/>
        <v>9.75</v>
      </c>
      <c r="L220" s="74">
        <f t="shared" si="116"/>
        <v>7.5</v>
      </c>
      <c r="M220" s="74">
        <f t="shared" si="117"/>
        <v>5.25</v>
      </c>
      <c r="N220" s="114">
        <f t="shared" si="107"/>
        <v>3</v>
      </c>
      <c r="O220" s="74">
        <f t="shared" si="118"/>
        <v>6.5</v>
      </c>
      <c r="P220" s="74">
        <f t="shared" si="119"/>
        <v>10</v>
      </c>
      <c r="Q220" s="74">
        <f t="shared" si="120"/>
        <v>13.5</v>
      </c>
      <c r="R220" s="114">
        <v>17</v>
      </c>
      <c r="S220" s="129"/>
      <c r="T220" s="117">
        <f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15.961938461538463</v>
      </c>
      <c r="U220" s="117"/>
      <c r="V220" s="129"/>
      <c r="W220" s="114"/>
    </row>
    <row r="221" spans="2:23">
      <c r="B221" s="114">
        <v>37</v>
      </c>
      <c r="C221" s="74">
        <f t="shared" si="108"/>
        <v>33.75</v>
      </c>
      <c r="D221" s="74">
        <f t="shared" si="109"/>
        <v>30.5</v>
      </c>
      <c r="E221" s="74">
        <f t="shared" si="110"/>
        <v>27.25</v>
      </c>
      <c r="F221" s="114">
        <v>24</v>
      </c>
      <c r="G221" s="74">
        <f t="shared" si="111"/>
        <v>20.75</v>
      </c>
      <c r="H221" s="74">
        <f t="shared" si="112"/>
        <v>17.5</v>
      </c>
      <c r="I221" s="74">
        <f t="shared" si="113"/>
        <v>14.25</v>
      </c>
      <c r="J221" s="114">
        <f t="shared" si="114"/>
        <v>11</v>
      </c>
      <c r="K221" s="74">
        <f t="shared" si="115"/>
        <v>8.5625</v>
      </c>
      <c r="L221" s="74">
        <f t="shared" si="116"/>
        <v>6.125</v>
      </c>
      <c r="M221" s="74">
        <f t="shared" si="117"/>
        <v>3.6875</v>
      </c>
      <c r="N221" s="114">
        <f t="shared" si="107"/>
        <v>1.25</v>
      </c>
      <c r="O221" s="74">
        <f t="shared" si="118"/>
        <v>5.1875</v>
      </c>
      <c r="P221" s="74">
        <f t="shared" si="119"/>
        <v>9.125</v>
      </c>
      <c r="Q221" s="74">
        <f t="shared" si="120"/>
        <v>13.0625</v>
      </c>
      <c r="R221" s="114">
        <v>17</v>
      </c>
      <c r="S221" s="129"/>
      <c r="T221" s="126">
        <f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15.912909890109891</v>
      </c>
      <c r="U221" s="126"/>
      <c r="V221" s="129"/>
      <c r="W221" s="114"/>
    </row>
    <row r="222" spans="2:23">
      <c r="B222" s="114"/>
      <c r="C222" s="74"/>
      <c r="D222" s="74"/>
      <c r="E222" s="74"/>
      <c r="F222" s="114"/>
      <c r="G222" s="74"/>
      <c r="H222" s="74"/>
      <c r="I222" s="74"/>
      <c r="J222" s="114"/>
      <c r="K222" s="74"/>
      <c r="L222" s="74"/>
      <c r="M222" s="74"/>
      <c r="N222" s="114"/>
      <c r="O222" s="74"/>
      <c r="P222" s="74"/>
      <c r="Q222" s="74"/>
      <c r="R222" s="114"/>
      <c r="S222" s="129"/>
      <c r="T222" s="117"/>
      <c r="U222" s="117"/>
      <c r="V222" s="129"/>
      <c r="W222" s="114"/>
    </row>
    <row r="223" spans="2:23">
      <c r="B223" s="114">
        <v>28</v>
      </c>
      <c r="C223" s="74">
        <f t="shared" si="108"/>
        <v>27.25</v>
      </c>
      <c r="D223" s="74">
        <f t="shared" si="109"/>
        <v>26.5</v>
      </c>
      <c r="E223" s="74">
        <f t="shared" si="110"/>
        <v>25.75</v>
      </c>
      <c r="F223" s="114">
        <v>25</v>
      </c>
      <c r="G223" s="74">
        <f t="shared" si="111"/>
        <v>24.25</v>
      </c>
      <c r="H223" s="74">
        <f t="shared" si="112"/>
        <v>23.5</v>
      </c>
      <c r="I223" s="74">
        <f t="shared" si="113"/>
        <v>22.75</v>
      </c>
      <c r="J223" s="114">
        <f t="shared" si="114"/>
        <v>22</v>
      </c>
      <c r="K223" s="74">
        <f t="shared" si="115"/>
        <v>21.4375</v>
      </c>
      <c r="L223" s="74">
        <f t="shared" si="116"/>
        <v>20.875</v>
      </c>
      <c r="M223" s="74">
        <f t="shared" si="117"/>
        <v>20.3125</v>
      </c>
      <c r="N223" s="114">
        <f t="shared" ref="N223:N233" si="121">SUM(F223,-B223,J223,0.25*ABS(J223-F223))</f>
        <v>19.75</v>
      </c>
      <c r="O223" s="74">
        <f t="shared" ref="O223:O233" si="122">SUM(0.25*(R223-N223),N223)</f>
        <v>19.0625</v>
      </c>
      <c r="P223" s="74">
        <f t="shared" ref="P223:P233" si="123">SUM(0.5*(R223-N223),N223)</f>
        <v>18.375</v>
      </c>
      <c r="Q223" s="74">
        <f t="shared" ref="Q223:Q233" si="124">SUM(0.75*(R223-N223),N223)</f>
        <v>17.6875</v>
      </c>
      <c r="R223" s="114">
        <v>17</v>
      </c>
      <c r="S223" s="129"/>
      <c r="T223" s="117">
        <f>SUM((AZ20+BC18+BF16+BI14+BL12+BO10+BR8+BS7+BT6+BU5+BV4)*0.132,(BA19+BB19+BD17+BE17+BG15+BH15+BJ13+BK13+BM11+BN11+BP9+BQ9)*0.132/2,17)</f>
        <v>17.057538461538464</v>
      </c>
      <c r="U223" s="117"/>
      <c r="V223" s="129"/>
      <c r="W223" s="114"/>
    </row>
    <row r="224" spans="2:23">
      <c r="B224" s="114">
        <v>29</v>
      </c>
      <c r="C224" s="74">
        <f t="shared" si="108"/>
        <v>28</v>
      </c>
      <c r="D224" s="74">
        <f t="shared" si="109"/>
        <v>27</v>
      </c>
      <c r="E224" s="74">
        <f t="shared" si="110"/>
        <v>26</v>
      </c>
      <c r="F224" s="114">
        <v>25</v>
      </c>
      <c r="G224" s="74">
        <f t="shared" si="111"/>
        <v>24</v>
      </c>
      <c r="H224" s="74">
        <f t="shared" si="112"/>
        <v>23</v>
      </c>
      <c r="I224" s="74">
        <f t="shared" si="113"/>
        <v>22</v>
      </c>
      <c r="J224" s="114">
        <f t="shared" si="114"/>
        <v>21</v>
      </c>
      <c r="K224" s="74">
        <f t="shared" si="115"/>
        <v>20.25</v>
      </c>
      <c r="L224" s="74">
        <f t="shared" si="116"/>
        <v>19.5</v>
      </c>
      <c r="M224" s="74">
        <f t="shared" si="117"/>
        <v>18.75</v>
      </c>
      <c r="N224" s="114">
        <f t="shared" si="121"/>
        <v>18</v>
      </c>
      <c r="O224" s="74">
        <f t="shared" si="122"/>
        <v>17.75</v>
      </c>
      <c r="P224" s="74">
        <f t="shared" si="123"/>
        <v>17.5</v>
      </c>
      <c r="Q224" s="74">
        <f t="shared" si="124"/>
        <v>17.25</v>
      </c>
      <c r="R224" s="114">
        <v>17</v>
      </c>
      <c r="S224" s="129"/>
      <c r="T224" s="117">
        <f>SUM(AX20*0.132,(AY19+AZ19+BA18+BB18+BC17+BD17+BE16+BF16+BG15+BH15+BI14+BJ14+BK13+BL13+BM12+BN12+BO11+BP11+BR9+BS9)*0.132/2,(BQ10+BT8+BU7+BU6+BV5+BV4)*0.132,17)</f>
        <v>16.727538461538462</v>
      </c>
      <c r="U224" s="117"/>
      <c r="V224" s="129"/>
      <c r="W224" s="114"/>
    </row>
    <row r="225" spans="2:23">
      <c r="B225" s="114">
        <v>30</v>
      </c>
      <c r="C225" s="74">
        <f t="shared" si="108"/>
        <v>28.75</v>
      </c>
      <c r="D225" s="74">
        <f t="shared" si="109"/>
        <v>27.5</v>
      </c>
      <c r="E225" s="74">
        <f t="shared" si="110"/>
        <v>26.25</v>
      </c>
      <c r="F225" s="114">
        <v>25</v>
      </c>
      <c r="G225" s="74">
        <f t="shared" si="111"/>
        <v>23.75</v>
      </c>
      <c r="H225" s="74">
        <f t="shared" si="112"/>
        <v>22.5</v>
      </c>
      <c r="I225" s="74">
        <f t="shared" si="113"/>
        <v>21.25</v>
      </c>
      <c r="J225" s="114">
        <f t="shared" si="114"/>
        <v>20</v>
      </c>
      <c r="K225" s="74">
        <f t="shared" si="115"/>
        <v>19.0625</v>
      </c>
      <c r="L225" s="74">
        <f t="shared" si="116"/>
        <v>18.125</v>
      </c>
      <c r="M225" s="74">
        <f t="shared" si="117"/>
        <v>17.1875</v>
      </c>
      <c r="N225" s="114">
        <f t="shared" si="121"/>
        <v>16.25</v>
      </c>
      <c r="O225" s="74">
        <f t="shared" si="122"/>
        <v>16.4375</v>
      </c>
      <c r="P225" s="74">
        <f t="shared" si="123"/>
        <v>16.625</v>
      </c>
      <c r="Q225" s="74">
        <f t="shared" si="124"/>
        <v>16.8125</v>
      </c>
      <c r="R225" s="114">
        <v>17</v>
      </c>
      <c r="S225" s="129"/>
      <c r="T225" s="117">
        <f>SUM((AV20+AW20+AX19+AY19+BC17+BD17+BE16+BF16+BJ14+BK14+BO12+BP12+BQ11+BR11+BS10+BT10+BU9+BV9+BW8+BX8)*0.132/2,(AZ18+BA18+BB18+BG15+BH15+BI15+BL13+BM13+BN13)*0.132/3,(+BW7+BW6+BV5+BV4)*0.132,17)</f>
        <v>16.463538461538462</v>
      </c>
      <c r="U225" s="117"/>
      <c r="V225" s="129"/>
      <c r="W225" s="114"/>
    </row>
    <row r="226" spans="2:23">
      <c r="B226" s="114">
        <v>31</v>
      </c>
      <c r="C226" s="74">
        <f t="shared" si="108"/>
        <v>29.5</v>
      </c>
      <c r="D226" s="74">
        <f t="shared" si="109"/>
        <v>28</v>
      </c>
      <c r="E226" s="74">
        <f t="shared" si="110"/>
        <v>26.5</v>
      </c>
      <c r="F226" s="114">
        <v>25</v>
      </c>
      <c r="G226" s="74">
        <f t="shared" si="111"/>
        <v>23.5</v>
      </c>
      <c r="H226" s="74">
        <f t="shared" si="112"/>
        <v>22</v>
      </c>
      <c r="I226" s="74">
        <f t="shared" si="113"/>
        <v>20.5</v>
      </c>
      <c r="J226" s="114">
        <f t="shared" si="114"/>
        <v>19</v>
      </c>
      <c r="K226" s="74">
        <f t="shared" si="115"/>
        <v>17.875</v>
      </c>
      <c r="L226" s="74">
        <f t="shared" si="116"/>
        <v>16.75</v>
      </c>
      <c r="M226" s="74">
        <f t="shared" si="117"/>
        <v>15.625</v>
      </c>
      <c r="N226" s="114">
        <f t="shared" si="121"/>
        <v>14.5</v>
      </c>
      <c r="O226" s="74">
        <f t="shared" si="122"/>
        <v>15.125</v>
      </c>
      <c r="P226" s="74">
        <f t="shared" si="123"/>
        <v>15.75</v>
      </c>
      <c r="Q226" s="74">
        <f t="shared" si="124"/>
        <v>16.375</v>
      </c>
      <c r="R226" s="114">
        <v>17</v>
      </c>
      <c r="S226" s="129"/>
      <c r="T226" s="117">
        <f>SUM((AT20+AU20+AY18+AZ18)*0.132/2,(AV19+AW19+AX19+BA17+BB17+BC17+BD16+BE16+BF16+BG15+BH15+BI15+BJ14+BK14+BL14+BM13+BN13+BO13+BP12+BQ12+BR12+BS11+BT11+BU11+BX9+BY9+BZ9)*0.132/3,(BV10+BW10+CA8+CB8+CA7+BZ7+BY6+BX6)*0.132/2,(BW5+BV4)*0.132,17)</f>
        <v>16.595538461538464</v>
      </c>
      <c r="U226" s="117"/>
      <c r="V226" s="129"/>
      <c r="W226" s="114"/>
    </row>
    <row r="227" spans="2:23">
      <c r="B227" s="114">
        <v>32</v>
      </c>
      <c r="C227" s="74">
        <f t="shared" si="108"/>
        <v>30.25</v>
      </c>
      <c r="D227" s="74">
        <f t="shared" si="109"/>
        <v>28.5</v>
      </c>
      <c r="E227" s="74">
        <f t="shared" si="110"/>
        <v>26.75</v>
      </c>
      <c r="F227" s="114">
        <v>25</v>
      </c>
      <c r="G227" s="74">
        <f t="shared" si="111"/>
        <v>23.25</v>
      </c>
      <c r="H227" s="74">
        <f t="shared" si="112"/>
        <v>21.5</v>
      </c>
      <c r="I227" s="74">
        <f t="shared" si="113"/>
        <v>19.75</v>
      </c>
      <c r="J227" s="114">
        <f t="shared" si="114"/>
        <v>18</v>
      </c>
      <c r="K227" s="74">
        <f t="shared" si="115"/>
        <v>16.6875</v>
      </c>
      <c r="L227" s="74">
        <f t="shared" si="116"/>
        <v>15.375</v>
      </c>
      <c r="M227" s="74">
        <f t="shared" si="117"/>
        <v>14.0625</v>
      </c>
      <c r="N227" s="114">
        <f t="shared" si="121"/>
        <v>12.75</v>
      </c>
      <c r="O227" s="74">
        <f t="shared" si="122"/>
        <v>13.8125</v>
      </c>
      <c r="P227" s="74">
        <f t="shared" si="123"/>
        <v>14.875</v>
      </c>
      <c r="Q227" s="74">
        <f t="shared" si="124"/>
        <v>15.9375</v>
      </c>
      <c r="R227" s="114">
        <v>17</v>
      </c>
      <c r="S227" s="129"/>
      <c r="T227" s="117">
        <f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16.441538461538464</v>
      </c>
      <c r="U227" s="117"/>
      <c r="V227" s="129"/>
      <c r="W227" s="114"/>
    </row>
    <row r="228" spans="2:23">
      <c r="B228" s="114">
        <v>33</v>
      </c>
      <c r="C228" s="74">
        <f t="shared" si="108"/>
        <v>31</v>
      </c>
      <c r="D228" s="74">
        <f t="shared" si="109"/>
        <v>29</v>
      </c>
      <c r="E228" s="74">
        <f t="shared" si="110"/>
        <v>27</v>
      </c>
      <c r="F228" s="114">
        <v>25</v>
      </c>
      <c r="G228" s="74">
        <f t="shared" si="111"/>
        <v>23</v>
      </c>
      <c r="H228" s="74">
        <f t="shared" si="112"/>
        <v>21</v>
      </c>
      <c r="I228" s="74">
        <f t="shared" si="113"/>
        <v>19</v>
      </c>
      <c r="J228" s="114">
        <f t="shared" si="114"/>
        <v>17</v>
      </c>
      <c r="K228" s="74">
        <f t="shared" si="115"/>
        <v>15.5</v>
      </c>
      <c r="L228" s="74">
        <f t="shared" si="116"/>
        <v>14</v>
      </c>
      <c r="M228" s="74">
        <f t="shared" si="117"/>
        <v>12.5</v>
      </c>
      <c r="N228" s="114">
        <f t="shared" si="121"/>
        <v>11</v>
      </c>
      <c r="O228" s="74">
        <f t="shared" si="122"/>
        <v>12.5</v>
      </c>
      <c r="P228" s="74">
        <f t="shared" si="123"/>
        <v>14</v>
      </c>
      <c r="Q228" s="74">
        <f t="shared" si="124"/>
        <v>15.5</v>
      </c>
      <c r="R228" s="114">
        <v>17</v>
      </c>
      <c r="S228" s="129"/>
      <c r="T228" s="117">
        <f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16.738538461538461</v>
      </c>
      <c r="U228" s="117"/>
      <c r="V228" s="129"/>
      <c r="W228" s="114"/>
    </row>
    <row r="229" spans="2:23">
      <c r="B229" s="114">
        <v>34</v>
      </c>
      <c r="C229" s="74">
        <f t="shared" si="108"/>
        <v>31.75</v>
      </c>
      <c r="D229" s="74">
        <f t="shared" si="109"/>
        <v>29.5</v>
      </c>
      <c r="E229" s="74">
        <f t="shared" si="110"/>
        <v>27.25</v>
      </c>
      <c r="F229" s="114">
        <v>25</v>
      </c>
      <c r="G229" s="74">
        <f t="shared" si="111"/>
        <v>22.75</v>
      </c>
      <c r="H229" s="74">
        <f t="shared" si="112"/>
        <v>20.5</v>
      </c>
      <c r="I229" s="74">
        <f t="shared" si="113"/>
        <v>18.25</v>
      </c>
      <c r="J229" s="114">
        <f t="shared" si="114"/>
        <v>16</v>
      </c>
      <c r="K229" s="74">
        <f t="shared" si="115"/>
        <v>14.3125</v>
      </c>
      <c r="L229" s="74">
        <f t="shared" si="116"/>
        <v>12.625</v>
      </c>
      <c r="M229" s="74">
        <f t="shared" si="117"/>
        <v>10.9375</v>
      </c>
      <c r="N229" s="114">
        <f t="shared" si="121"/>
        <v>9.25</v>
      </c>
      <c r="O229" s="74">
        <f t="shared" si="122"/>
        <v>11.1875</v>
      </c>
      <c r="P229" s="74">
        <f t="shared" si="123"/>
        <v>13.125</v>
      </c>
      <c r="Q229" s="74">
        <f t="shared" si="124"/>
        <v>15.0625</v>
      </c>
      <c r="R229" s="114">
        <v>17</v>
      </c>
      <c r="S229" s="129"/>
      <c r="T229" s="117">
        <f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16.395338461538461</v>
      </c>
      <c r="U229" s="117"/>
      <c r="V229" s="129"/>
      <c r="W229" s="114"/>
    </row>
    <row r="230" spans="2:23">
      <c r="B230" s="114">
        <v>35</v>
      </c>
      <c r="C230" s="74">
        <f t="shared" si="108"/>
        <v>32.5</v>
      </c>
      <c r="D230" s="74">
        <f t="shared" si="109"/>
        <v>30</v>
      </c>
      <c r="E230" s="74">
        <f t="shared" si="110"/>
        <v>27.5</v>
      </c>
      <c r="F230" s="114">
        <v>25</v>
      </c>
      <c r="G230" s="74">
        <f t="shared" si="111"/>
        <v>22.5</v>
      </c>
      <c r="H230" s="74">
        <f t="shared" si="112"/>
        <v>20</v>
      </c>
      <c r="I230" s="74">
        <f t="shared" si="113"/>
        <v>17.5</v>
      </c>
      <c r="J230" s="114">
        <f t="shared" si="114"/>
        <v>15</v>
      </c>
      <c r="K230" s="74">
        <f t="shared" si="115"/>
        <v>13.125</v>
      </c>
      <c r="L230" s="74">
        <f t="shared" si="116"/>
        <v>11.25</v>
      </c>
      <c r="M230" s="74">
        <f t="shared" si="117"/>
        <v>9.375</v>
      </c>
      <c r="N230" s="114">
        <f t="shared" si="121"/>
        <v>7.5</v>
      </c>
      <c r="O230" s="74">
        <f t="shared" si="122"/>
        <v>9.875</v>
      </c>
      <c r="P230" s="74">
        <f t="shared" si="123"/>
        <v>12.25</v>
      </c>
      <c r="Q230" s="74">
        <f t="shared" si="124"/>
        <v>14.625</v>
      </c>
      <c r="R230" s="114">
        <v>17</v>
      </c>
      <c r="S230" s="129"/>
      <c r="T230" s="117">
        <f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16.382138461538464</v>
      </c>
      <c r="U230" s="117"/>
      <c r="V230" s="129"/>
      <c r="W230" s="114"/>
    </row>
    <row r="231" spans="2:23">
      <c r="B231" s="114">
        <v>36</v>
      </c>
      <c r="C231" s="74">
        <f t="shared" si="108"/>
        <v>33.25</v>
      </c>
      <c r="D231" s="74">
        <f t="shared" si="109"/>
        <v>30.5</v>
      </c>
      <c r="E231" s="74">
        <f t="shared" si="110"/>
        <v>27.75</v>
      </c>
      <c r="F231" s="114">
        <v>25</v>
      </c>
      <c r="G231" s="74">
        <f t="shared" si="111"/>
        <v>22.25</v>
      </c>
      <c r="H231" s="74">
        <f t="shared" si="112"/>
        <v>19.5</v>
      </c>
      <c r="I231" s="74">
        <f t="shared" si="113"/>
        <v>16.75</v>
      </c>
      <c r="J231" s="114">
        <f t="shared" si="114"/>
        <v>14</v>
      </c>
      <c r="K231" s="74">
        <f t="shared" si="115"/>
        <v>11.9375</v>
      </c>
      <c r="L231" s="74">
        <f t="shared" si="116"/>
        <v>9.875</v>
      </c>
      <c r="M231" s="74">
        <f t="shared" si="117"/>
        <v>7.8125</v>
      </c>
      <c r="N231" s="114">
        <f t="shared" si="121"/>
        <v>5.75</v>
      </c>
      <c r="O231" s="74">
        <f t="shared" si="122"/>
        <v>8.5625</v>
      </c>
      <c r="P231" s="74">
        <f t="shared" si="123"/>
        <v>11.375</v>
      </c>
      <c r="Q231" s="74">
        <f t="shared" si="124"/>
        <v>14.1875</v>
      </c>
      <c r="R231" s="114">
        <v>17</v>
      </c>
      <c r="S231" s="129"/>
      <c r="T231" s="117">
        <f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16.111224175824177</v>
      </c>
      <c r="U231" s="117"/>
      <c r="V231" s="129"/>
      <c r="W231" s="114"/>
    </row>
    <row r="232" spans="2:23">
      <c r="B232" s="114">
        <v>37</v>
      </c>
      <c r="C232" s="74">
        <f t="shared" si="108"/>
        <v>34</v>
      </c>
      <c r="D232" s="74">
        <f t="shared" si="109"/>
        <v>31</v>
      </c>
      <c r="E232" s="74">
        <f t="shared" si="110"/>
        <v>28</v>
      </c>
      <c r="F232" s="114">
        <v>25</v>
      </c>
      <c r="G232" s="74">
        <f t="shared" si="111"/>
        <v>22</v>
      </c>
      <c r="H232" s="74">
        <f t="shared" si="112"/>
        <v>19</v>
      </c>
      <c r="I232" s="74">
        <f t="shared" si="113"/>
        <v>16</v>
      </c>
      <c r="J232" s="114">
        <f t="shared" si="114"/>
        <v>13</v>
      </c>
      <c r="K232" s="74">
        <f t="shared" si="115"/>
        <v>10.75</v>
      </c>
      <c r="L232" s="74">
        <f t="shared" si="116"/>
        <v>8.5</v>
      </c>
      <c r="M232" s="74">
        <f t="shared" si="117"/>
        <v>6.25</v>
      </c>
      <c r="N232" s="114">
        <f t="shared" si="121"/>
        <v>4</v>
      </c>
      <c r="O232" s="74">
        <f t="shared" si="122"/>
        <v>7.25</v>
      </c>
      <c r="P232" s="74">
        <f t="shared" si="123"/>
        <v>10.5</v>
      </c>
      <c r="Q232" s="74">
        <f t="shared" si="124"/>
        <v>13.75</v>
      </c>
      <c r="R232" s="114">
        <v>17</v>
      </c>
      <c r="S232" s="129"/>
      <c r="T232" s="117">
        <f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15.924695604395605</v>
      </c>
      <c r="U232" s="117"/>
      <c r="V232" s="129"/>
      <c r="W232" s="114"/>
    </row>
    <row r="233" spans="2:23">
      <c r="B233" s="114">
        <v>38</v>
      </c>
      <c r="C233" s="74">
        <f t="shared" si="108"/>
        <v>34.75</v>
      </c>
      <c r="D233" s="74">
        <f t="shared" si="109"/>
        <v>31.5</v>
      </c>
      <c r="E233" s="74">
        <f t="shared" si="110"/>
        <v>28.25</v>
      </c>
      <c r="F233" s="114">
        <v>25</v>
      </c>
      <c r="G233" s="74">
        <f t="shared" si="111"/>
        <v>21.75</v>
      </c>
      <c r="H233" s="74">
        <f t="shared" si="112"/>
        <v>18.5</v>
      </c>
      <c r="I233" s="74">
        <f t="shared" si="113"/>
        <v>15.25</v>
      </c>
      <c r="J233" s="114">
        <f t="shared" si="114"/>
        <v>12</v>
      </c>
      <c r="K233" s="74">
        <f t="shared" si="115"/>
        <v>9.5625</v>
      </c>
      <c r="L233" s="74">
        <f t="shared" si="116"/>
        <v>7.125</v>
      </c>
      <c r="M233" s="74">
        <f t="shared" si="117"/>
        <v>4.6875</v>
      </c>
      <c r="N233" s="114">
        <f t="shared" si="121"/>
        <v>2.25</v>
      </c>
      <c r="O233" s="74">
        <f t="shared" si="122"/>
        <v>5.9375</v>
      </c>
      <c r="P233" s="74">
        <f t="shared" si="123"/>
        <v>9.625</v>
      </c>
      <c r="Q233" s="74">
        <f t="shared" si="124"/>
        <v>13.3125</v>
      </c>
      <c r="R233" s="114">
        <v>17</v>
      </c>
      <c r="S233" s="129"/>
      <c r="T233" s="126">
        <f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15.72528131868132</v>
      </c>
      <c r="U233" s="126"/>
      <c r="V233" s="129"/>
      <c r="W233" s="114"/>
    </row>
    <row r="234" spans="2:23">
      <c r="B234" s="114"/>
      <c r="C234" s="74"/>
      <c r="D234" s="74"/>
      <c r="E234" s="74"/>
      <c r="F234" s="114"/>
      <c r="G234" s="74"/>
      <c r="H234" s="74"/>
      <c r="I234" s="74"/>
      <c r="J234" s="114"/>
      <c r="K234" s="74"/>
      <c r="L234" s="74"/>
      <c r="M234" s="74"/>
      <c r="N234" s="114"/>
      <c r="O234" s="74"/>
      <c r="P234" s="74"/>
      <c r="Q234" s="74"/>
      <c r="R234" s="114"/>
      <c r="S234" s="129"/>
      <c r="T234" s="117"/>
      <c r="U234" s="117"/>
      <c r="V234" s="129"/>
      <c r="W234" s="114"/>
    </row>
    <row r="235" spans="2:23">
      <c r="B235" s="114">
        <v>29</v>
      </c>
      <c r="C235" s="74">
        <f t="shared" si="108"/>
        <v>28.25</v>
      </c>
      <c r="D235" s="74">
        <f t="shared" si="109"/>
        <v>27.5</v>
      </c>
      <c r="E235" s="74">
        <f t="shared" si="110"/>
        <v>26.75</v>
      </c>
      <c r="F235" s="114">
        <v>26</v>
      </c>
      <c r="G235" s="74">
        <f t="shared" si="111"/>
        <v>25.25</v>
      </c>
      <c r="H235" s="74">
        <f t="shared" si="112"/>
        <v>24.5</v>
      </c>
      <c r="I235" s="74">
        <f t="shared" si="113"/>
        <v>23.75</v>
      </c>
      <c r="J235" s="114">
        <f t="shared" si="114"/>
        <v>23</v>
      </c>
      <c r="K235" s="74">
        <f t="shared" si="115"/>
        <v>22.25</v>
      </c>
      <c r="L235" s="74">
        <f t="shared" si="116"/>
        <v>21.5</v>
      </c>
      <c r="M235" s="74">
        <f t="shared" si="117"/>
        <v>20.75</v>
      </c>
      <c r="N235" s="114">
        <f>SUM(J235,J235,-F235)</f>
        <v>20</v>
      </c>
      <c r="O235" s="74">
        <f t="shared" ref="O235:O245" si="125">SUM(0.25*(R235-N235),N235)</f>
        <v>19.25</v>
      </c>
      <c r="P235" s="74">
        <f t="shared" ref="P235:P245" si="126">SUM(0.5*(R235-N235),N235)</f>
        <v>18.5</v>
      </c>
      <c r="Q235" s="74">
        <f t="shared" ref="Q235:Q245" si="127">SUM(0.75*(R235-N235),N235)</f>
        <v>17.75</v>
      </c>
      <c r="R235" s="114">
        <v>17</v>
      </c>
      <c r="S235" s="129"/>
      <c r="T235" s="117">
        <f>SUM((AX20+BA18+BD16+BG14+BJ12+BM10+BP8+BS6+BV4)*0.132,(AY19+AZ19+BB17+BC17+BE15+BF15+BH13+BI13+BK11+BL11+BN9+BO9+BQ7+BR7+BT5+BU5)*0.132/2,17)</f>
        <v>16.793538461538464</v>
      </c>
      <c r="U235" s="117"/>
      <c r="V235" s="129"/>
      <c r="W235" s="114"/>
    </row>
    <row r="236" spans="2:23">
      <c r="B236" s="114">
        <v>30</v>
      </c>
      <c r="C236" s="74">
        <f t="shared" si="108"/>
        <v>29</v>
      </c>
      <c r="D236" s="74">
        <f t="shared" si="109"/>
        <v>28</v>
      </c>
      <c r="E236" s="74">
        <f t="shared" si="110"/>
        <v>27</v>
      </c>
      <c r="F236" s="114">
        <v>26</v>
      </c>
      <c r="G236" s="74">
        <f t="shared" si="111"/>
        <v>25</v>
      </c>
      <c r="H236" s="74">
        <f t="shared" si="112"/>
        <v>24</v>
      </c>
      <c r="I236" s="74">
        <f t="shared" si="113"/>
        <v>23</v>
      </c>
      <c r="J236" s="114">
        <f t="shared" si="114"/>
        <v>22</v>
      </c>
      <c r="K236" s="74">
        <f t="shared" si="115"/>
        <v>21.25</v>
      </c>
      <c r="L236" s="74">
        <f t="shared" si="116"/>
        <v>20.5</v>
      </c>
      <c r="M236" s="74">
        <f t="shared" si="117"/>
        <v>19.75</v>
      </c>
      <c r="N236" s="114">
        <f t="shared" ref="N236:N264" si="128">SUM(F236,-B236,J236,0.25*ABS(J236-F236))</f>
        <v>19</v>
      </c>
      <c r="O236" s="74">
        <f t="shared" si="125"/>
        <v>18.5</v>
      </c>
      <c r="P236" s="74">
        <f t="shared" si="126"/>
        <v>18</v>
      </c>
      <c r="Q236" s="74">
        <f t="shared" si="127"/>
        <v>17.5</v>
      </c>
      <c r="R236" s="114">
        <v>17</v>
      </c>
      <c r="S236" s="129"/>
      <c r="T236" s="117">
        <f>SUM(AV20*0.132,(AW19+AX19+AY18+AZ18+BA17+BB17+BC16+BD16+BE15+BF15+BG14+BH14+BI13+BJ13+BK12+BL12+BM11+BN11+BP9+BQ9)*0.132/2,(BO10+BR8+BS7+BT6+BU5+BV4)*0.132,17)</f>
        <v>16.925538461538462</v>
      </c>
      <c r="U236" s="117"/>
      <c r="V236" s="129"/>
      <c r="W236" s="114"/>
    </row>
    <row r="237" spans="2:23">
      <c r="B237" s="114">
        <v>31</v>
      </c>
      <c r="C237" s="74">
        <f t="shared" si="108"/>
        <v>29.75</v>
      </c>
      <c r="D237" s="74">
        <f t="shared" si="109"/>
        <v>28.5</v>
      </c>
      <c r="E237" s="74">
        <f t="shared" si="110"/>
        <v>27.25</v>
      </c>
      <c r="F237" s="114">
        <v>26</v>
      </c>
      <c r="G237" s="74">
        <f t="shared" si="111"/>
        <v>24.75</v>
      </c>
      <c r="H237" s="74">
        <f t="shared" si="112"/>
        <v>23.5</v>
      </c>
      <c r="I237" s="74">
        <f t="shared" si="113"/>
        <v>22.25</v>
      </c>
      <c r="J237" s="114">
        <f t="shared" si="114"/>
        <v>21</v>
      </c>
      <c r="K237" s="74">
        <f t="shared" si="115"/>
        <v>20.0625</v>
      </c>
      <c r="L237" s="74">
        <f t="shared" si="116"/>
        <v>19.125</v>
      </c>
      <c r="M237" s="74">
        <f t="shared" si="117"/>
        <v>18.1875</v>
      </c>
      <c r="N237" s="114">
        <f t="shared" si="128"/>
        <v>17.25</v>
      </c>
      <c r="O237" s="74">
        <f t="shared" si="125"/>
        <v>17.1875</v>
      </c>
      <c r="P237" s="74">
        <f t="shared" si="126"/>
        <v>17.125</v>
      </c>
      <c r="Q237" s="74">
        <f t="shared" si="127"/>
        <v>17.0625</v>
      </c>
      <c r="R237" s="114">
        <v>17</v>
      </c>
      <c r="S237" s="129"/>
      <c r="T237" s="117">
        <f>SUM((AT20+AU20+AV19+AW19+BA17+BB17+BC16+BD16+BH14+BI14+BM12+BN12+BO11+BP11+BQ10+BR10+BS9+BT9+BU8+BV8)*0.132/2,(AX18+AY18+AZ18+BE15+BF15+BG15+BJ13+BK13+BL13)*0.132/3,(BV7+BV6+BV5+BV4)*0.132,17)</f>
        <v>16.617538461538462</v>
      </c>
      <c r="U237" s="117"/>
      <c r="V237" s="129"/>
      <c r="W237" s="114"/>
    </row>
    <row r="238" spans="2:23">
      <c r="B238" s="114">
        <v>32</v>
      </c>
      <c r="C238" s="74">
        <f t="shared" si="108"/>
        <v>30.5</v>
      </c>
      <c r="D238" s="74">
        <f t="shared" si="109"/>
        <v>29</v>
      </c>
      <c r="E238" s="74">
        <f t="shared" si="110"/>
        <v>27.5</v>
      </c>
      <c r="F238" s="114">
        <v>26</v>
      </c>
      <c r="G238" s="74">
        <f t="shared" si="111"/>
        <v>24.5</v>
      </c>
      <c r="H238" s="74">
        <f t="shared" si="112"/>
        <v>23</v>
      </c>
      <c r="I238" s="74">
        <f t="shared" si="113"/>
        <v>21.5</v>
      </c>
      <c r="J238" s="114">
        <f t="shared" si="114"/>
        <v>20</v>
      </c>
      <c r="K238" s="74">
        <f t="shared" si="115"/>
        <v>18.875</v>
      </c>
      <c r="L238" s="74">
        <f t="shared" si="116"/>
        <v>17.75</v>
      </c>
      <c r="M238" s="74">
        <f t="shared" si="117"/>
        <v>16.625</v>
      </c>
      <c r="N238" s="114">
        <f t="shared" si="128"/>
        <v>15.5</v>
      </c>
      <c r="O238" s="74">
        <f t="shared" si="125"/>
        <v>15.875</v>
      </c>
      <c r="P238" s="74">
        <f t="shared" si="126"/>
        <v>16.25</v>
      </c>
      <c r="Q238" s="74">
        <f t="shared" si="127"/>
        <v>16.625</v>
      </c>
      <c r="R238" s="114">
        <v>17</v>
      </c>
      <c r="S238" s="129"/>
      <c r="T238" s="117">
        <f>SUM((AR20+AS20+AW18+AX18)*0.132/2,(AT19+AU19+AV19+AY17+AZ17+BA17+BB16+BC16+BD16+BE15+BF15+BG15+BH14+BI14+BJ14+BK13+BL13+BM13+BN12+BO12+BP12+BQ11+BR11+BS11+BV9+BW9+BX9)*0.132/3,(BT10+BU10+BY8+BZ8)*0.132/2,(BY7+BX6+BW5+BV4)*0.132,17)</f>
        <v>16.573538461538462</v>
      </c>
      <c r="U238" s="117"/>
      <c r="V238" s="129"/>
      <c r="W238" s="114"/>
    </row>
    <row r="239" spans="2:23">
      <c r="B239" s="114">
        <v>33</v>
      </c>
      <c r="C239" s="74">
        <f t="shared" si="108"/>
        <v>31.25</v>
      </c>
      <c r="D239" s="74">
        <f t="shared" si="109"/>
        <v>29.5</v>
      </c>
      <c r="E239" s="74">
        <f t="shared" si="110"/>
        <v>27.75</v>
      </c>
      <c r="F239" s="114">
        <v>26</v>
      </c>
      <c r="G239" s="74">
        <f t="shared" si="111"/>
        <v>24.25</v>
      </c>
      <c r="H239" s="74">
        <f t="shared" si="112"/>
        <v>22.5</v>
      </c>
      <c r="I239" s="74">
        <f t="shared" si="113"/>
        <v>20.75</v>
      </c>
      <c r="J239" s="114">
        <f t="shared" si="114"/>
        <v>19</v>
      </c>
      <c r="K239" s="74">
        <f t="shared" si="115"/>
        <v>17.6875</v>
      </c>
      <c r="L239" s="74">
        <f t="shared" si="116"/>
        <v>16.375</v>
      </c>
      <c r="M239" s="74">
        <f t="shared" si="117"/>
        <v>15.0625</v>
      </c>
      <c r="N239" s="114">
        <f t="shared" si="128"/>
        <v>13.75</v>
      </c>
      <c r="O239" s="74">
        <f t="shared" si="125"/>
        <v>14.5625</v>
      </c>
      <c r="P239" s="74">
        <f t="shared" si="126"/>
        <v>15.375</v>
      </c>
      <c r="Q239" s="74">
        <f t="shared" si="127"/>
        <v>16.1875</v>
      </c>
      <c r="R239" s="114">
        <v>17</v>
      </c>
      <c r="S239" s="129"/>
      <c r="T239" s="117">
        <f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16.419538461538462</v>
      </c>
      <c r="U239" s="117"/>
      <c r="V239" s="129"/>
      <c r="W239" s="114"/>
    </row>
    <row r="240" spans="2:23">
      <c r="B240" s="114">
        <v>34</v>
      </c>
      <c r="C240" s="74">
        <f t="shared" si="108"/>
        <v>32</v>
      </c>
      <c r="D240" s="74">
        <f t="shared" si="109"/>
        <v>30</v>
      </c>
      <c r="E240" s="74">
        <f t="shared" si="110"/>
        <v>28</v>
      </c>
      <c r="F240" s="114">
        <v>26</v>
      </c>
      <c r="G240" s="74">
        <f t="shared" si="111"/>
        <v>24</v>
      </c>
      <c r="H240" s="74">
        <f t="shared" si="112"/>
        <v>22</v>
      </c>
      <c r="I240" s="74">
        <f t="shared" si="113"/>
        <v>20</v>
      </c>
      <c r="J240" s="114">
        <f t="shared" si="114"/>
        <v>18</v>
      </c>
      <c r="K240" s="74">
        <f t="shared" si="115"/>
        <v>16.5</v>
      </c>
      <c r="L240" s="74">
        <f t="shared" si="116"/>
        <v>15</v>
      </c>
      <c r="M240" s="74">
        <f t="shared" si="117"/>
        <v>13.5</v>
      </c>
      <c r="N240" s="114">
        <f t="shared" si="128"/>
        <v>12</v>
      </c>
      <c r="O240" s="74">
        <f t="shared" si="125"/>
        <v>13.25</v>
      </c>
      <c r="P240" s="74">
        <f t="shared" si="126"/>
        <v>14.5</v>
      </c>
      <c r="Q240" s="74">
        <f t="shared" si="127"/>
        <v>15.75</v>
      </c>
      <c r="R240" s="114">
        <v>17</v>
      </c>
      <c r="S240" s="129"/>
      <c r="T240" s="117">
        <f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16.298538461538463</v>
      </c>
      <c r="U240" s="117"/>
      <c r="V240" s="129"/>
      <c r="W240" s="114"/>
    </row>
    <row r="241" spans="2:23">
      <c r="B241" s="114">
        <v>35</v>
      </c>
      <c r="C241" s="74">
        <f t="shared" si="108"/>
        <v>32.75</v>
      </c>
      <c r="D241" s="74">
        <f t="shared" si="109"/>
        <v>30.5</v>
      </c>
      <c r="E241" s="74">
        <f t="shared" si="110"/>
        <v>28.25</v>
      </c>
      <c r="F241" s="114">
        <v>26</v>
      </c>
      <c r="G241" s="74">
        <f t="shared" si="111"/>
        <v>23.75</v>
      </c>
      <c r="H241" s="74">
        <f t="shared" si="112"/>
        <v>21.5</v>
      </c>
      <c r="I241" s="74">
        <f t="shared" si="113"/>
        <v>19.25</v>
      </c>
      <c r="J241" s="114">
        <f t="shared" si="114"/>
        <v>17</v>
      </c>
      <c r="K241" s="74">
        <f t="shared" si="115"/>
        <v>15.3125</v>
      </c>
      <c r="L241" s="74">
        <f t="shared" si="116"/>
        <v>13.625</v>
      </c>
      <c r="M241" s="74">
        <f t="shared" si="117"/>
        <v>11.9375</v>
      </c>
      <c r="N241" s="114">
        <f t="shared" si="128"/>
        <v>10.25</v>
      </c>
      <c r="O241" s="74">
        <f t="shared" si="125"/>
        <v>11.9375</v>
      </c>
      <c r="P241" s="74">
        <f t="shared" si="126"/>
        <v>13.625</v>
      </c>
      <c r="Q241" s="74">
        <f t="shared" si="127"/>
        <v>15.3125</v>
      </c>
      <c r="R241" s="114">
        <v>17</v>
      </c>
      <c r="S241" s="129"/>
      <c r="T241" s="117">
        <f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16.184138461538463</v>
      </c>
      <c r="U241" s="117"/>
      <c r="V241" s="129"/>
      <c r="W241" s="114"/>
    </row>
    <row r="242" spans="2:23">
      <c r="B242" s="114">
        <v>36</v>
      </c>
      <c r="C242" s="74">
        <f t="shared" si="108"/>
        <v>33.5</v>
      </c>
      <c r="D242" s="74">
        <f t="shared" si="109"/>
        <v>31</v>
      </c>
      <c r="E242" s="74">
        <f t="shared" si="110"/>
        <v>28.5</v>
      </c>
      <c r="F242" s="114">
        <v>26</v>
      </c>
      <c r="G242" s="74">
        <f t="shared" si="111"/>
        <v>23.5</v>
      </c>
      <c r="H242" s="74">
        <f t="shared" si="112"/>
        <v>21</v>
      </c>
      <c r="I242" s="74">
        <f t="shared" si="113"/>
        <v>18.5</v>
      </c>
      <c r="J242" s="114">
        <f t="shared" si="114"/>
        <v>16</v>
      </c>
      <c r="K242" s="74">
        <f t="shared" si="115"/>
        <v>14.125</v>
      </c>
      <c r="L242" s="74">
        <f t="shared" si="116"/>
        <v>12.25</v>
      </c>
      <c r="M242" s="74">
        <f t="shared" si="117"/>
        <v>10.375</v>
      </c>
      <c r="N242" s="114">
        <f t="shared" si="128"/>
        <v>8.5</v>
      </c>
      <c r="O242" s="74">
        <f t="shared" si="125"/>
        <v>10.625</v>
      </c>
      <c r="P242" s="74">
        <f t="shared" si="126"/>
        <v>12.75</v>
      </c>
      <c r="Q242" s="74">
        <f t="shared" si="127"/>
        <v>14.875</v>
      </c>
      <c r="R242" s="114">
        <v>17</v>
      </c>
      <c r="S242" s="129"/>
      <c r="T242" s="117">
        <f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15.915738461538462</v>
      </c>
      <c r="U242" s="117"/>
      <c r="V242" s="129"/>
      <c r="W242" s="114"/>
    </row>
    <row r="243" spans="2:23">
      <c r="B243" s="114">
        <v>37</v>
      </c>
      <c r="C243" s="74">
        <f t="shared" si="108"/>
        <v>34.25</v>
      </c>
      <c r="D243" s="74">
        <f t="shared" si="109"/>
        <v>31.5</v>
      </c>
      <c r="E243" s="74">
        <f t="shared" si="110"/>
        <v>28.75</v>
      </c>
      <c r="F243" s="114">
        <v>26</v>
      </c>
      <c r="G243" s="74">
        <f t="shared" si="111"/>
        <v>23.25</v>
      </c>
      <c r="H243" s="74">
        <f t="shared" si="112"/>
        <v>20.5</v>
      </c>
      <c r="I243" s="74">
        <f t="shared" si="113"/>
        <v>17.75</v>
      </c>
      <c r="J243" s="114">
        <f t="shared" si="114"/>
        <v>15</v>
      </c>
      <c r="K243" s="74">
        <f t="shared" si="115"/>
        <v>12.9375</v>
      </c>
      <c r="L243" s="74">
        <f t="shared" si="116"/>
        <v>10.875</v>
      </c>
      <c r="M243" s="74">
        <f t="shared" si="117"/>
        <v>8.8125</v>
      </c>
      <c r="N243" s="114">
        <f t="shared" si="128"/>
        <v>6.75</v>
      </c>
      <c r="O243" s="74">
        <f t="shared" si="125"/>
        <v>9.3125</v>
      </c>
      <c r="P243" s="74">
        <f t="shared" si="126"/>
        <v>11.875</v>
      </c>
      <c r="Q243" s="74">
        <f t="shared" si="127"/>
        <v>14.4375</v>
      </c>
      <c r="R243" s="114">
        <v>17</v>
      </c>
      <c r="S243" s="129"/>
      <c r="T243" s="117">
        <f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15.805738461538462</v>
      </c>
      <c r="U243" s="117"/>
      <c r="V243" s="129"/>
      <c r="W243" s="114"/>
    </row>
    <row r="244" spans="2:23">
      <c r="B244" s="114">
        <v>38</v>
      </c>
      <c r="C244" s="74">
        <f t="shared" si="108"/>
        <v>35</v>
      </c>
      <c r="D244" s="74">
        <f t="shared" si="109"/>
        <v>32</v>
      </c>
      <c r="E244" s="74">
        <f t="shared" si="110"/>
        <v>29</v>
      </c>
      <c r="F244" s="114">
        <v>26</v>
      </c>
      <c r="G244" s="74">
        <f t="shared" si="111"/>
        <v>23</v>
      </c>
      <c r="H244" s="74">
        <f t="shared" si="112"/>
        <v>20</v>
      </c>
      <c r="I244" s="74">
        <f t="shared" si="113"/>
        <v>17</v>
      </c>
      <c r="J244" s="114">
        <f t="shared" si="114"/>
        <v>14</v>
      </c>
      <c r="K244" s="74">
        <f t="shared" si="115"/>
        <v>11.75</v>
      </c>
      <c r="L244" s="74">
        <f t="shared" si="116"/>
        <v>9.5</v>
      </c>
      <c r="M244" s="74">
        <f t="shared" si="117"/>
        <v>7.25</v>
      </c>
      <c r="N244" s="114">
        <f t="shared" si="128"/>
        <v>5</v>
      </c>
      <c r="O244" s="74">
        <f t="shared" si="125"/>
        <v>8</v>
      </c>
      <c r="P244" s="74">
        <f t="shared" si="126"/>
        <v>11</v>
      </c>
      <c r="Q244" s="74">
        <f t="shared" si="127"/>
        <v>14</v>
      </c>
      <c r="R244" s="114">
        <v>17</v>
      </c>
      <c r="S244" s="129"/>
      <c r="T244" s="117">
        <f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15.67908131868132</v>
      </c>
      <c r="U244" s="117"/>
      <c r="V244" s="129"/>
      <c r="W244" s="114"/>
    </row>
    <row r="245" spans="2:23">
      <c r="B245" s="114">
        <v>39</v>
      </c>
      <c r="C245" s="74">
        <f t="shared" si="108"/>
        <v>35.75</v>
      </c>
      <c r="D245" s="74">
        <f t="shared" si="109"/>
        <v>32.5</v>
      </c>
      <c r="E245" s="74">
        <f t="shared" si="110"/>
        <v>29.25</v>
      </c>
      <c r="F245" s="114">
        <v>26</v>
      </c>
      <c r="G245" s="74">
        <f t="shared" si="111"/>
        <v>22.75</v>
      </c>
      <c r="H245" s="74">
        <f t="shared" si="112"/>
        <v>19.5</v>
      </c>
      <c r="I245" s="74">
        <f t="shared" si="113"/>
        <v>16.25</v>
      </c>
      <c r="J245" s="114">
        <f t="shared" si="114"/>
        <v>13</v>
      </c>
      <c r="K245" s="74">
        <f t="shared" si="115"/>
        <v>10.5625</v>
      </c>
      <c r="L245" s="74">
        <f t="shared" si="116"/>
        <v>8.125</v>
      </c>
      <c r="M245" s="74">
        <f t="shared" si="117"/>
        <v>5.6875</v>
      </c>
      <c r="N245" s="114">
        <f t="shared" si="128"/>
        <v>3.25</v>
      </c>
      <c r="O245" s="74">
        <f t="shared" si="125"/>
        <v>6.6875</v>
      </c>
      <c r="P245" s="74">
        <f t="shared" si="126"/>
        <v>10.125</v>
      </c>
      <c r="Q245" s="74">
        <f t="shared" si="127"/>
        <v>13.5625</v>
      </c>
      <c r="R245" s="114">
        <v>17</v>
      </c>
      <c r="S245" s="129"/>
      <c r="T245" s="117">
        <f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15.625024175824176</v>
      </c>
      <c r="U245" s="117"/>
      <c r="V245" s="129"/>
      <c r="W245" s="114"/>
    </row>
    <row r="246" spans="2:23">
      <c r="B246" s="114"/>
      <c r="C246" s="74"/>
      <c r="D246" s="74"/>
      <c r="E246" s="74"/>
      <c r="F246" s="114"/>
      <c r="G246" s="74"/>
      <c r="H246" s="74"/>
      <c r="I246" s="74"/>
      <c r="J246" s="114"/>
      <c r="K246" s="74"/>
      <c r="L246" s="74"/>
      <c r="M246" s="74"/>
      <c r="N246" s="114"/>
      <c r="O246" s="74"/>
      <c r="P246" s="74"/>
      <c r="Q246" s="74"/>
      <c r="R246" s="114"/>
      <c r="S246" s="129"/>
      <c r="T246" s="117"/>
      <c r="U246" s="117"/>
      <c r="V246" s="129"/>
      <c r="W246" s="114"/>
    </row>
    <row r="247" spans="2:23">
      <c r="B247" s="114">
        <v>31</v>
      </c>
      <c r="C247" s="74">
        <f t="shared" si="108"/>
        <v>30</v>
      </c>
      <c r="D247" s="74">
        <f t="shared" si="109"/>
        <v>29</v>
      </c>
      <c r="E247" s="74">
        <f t="shared" si="110"/>
        <v>28</v>
      </c>
      <c r="F247" s="114">
        <v>27</v>
      </c>
      <c r="G247" s="74">
        <f t="shared" si="111"/>
        <v>26</v>
      </c>
      <c r="H247" s="74">
        <f t="shared" si="112"/>
        <v>25</v>
      </c>
      <c r="I247" s="74">
        <f t="shared" si="113"/>
        <v>24</v>
      </c>
      <c r="J247" s="114">
        <f t="shared" si="114"/>
        <v>23</v>
      </c>
      <c r="K247" s="74">
        <f t="shared" si="115"/>
        <v>22.25</v>
      </c>
      <c r="L247" s="74">
        <f t="shared" si="116"/>
        <v>21.5</v>
      </c>
      <c r="M247" s="74">
        <f t="shared" si="117"/>
        <v>20.75</v>
      </c>
      <c r="N247" s="114">
        <f t="shared" si="128"/>
        <v>20</v>
      </c>
      <c r="O247" s="74">
        <f t="shared" ref="O247:O255" si="129">SUM(0.25*(R247-N247),N247)</f>
        <v>19.25</v>
      </c>
      <c r="P247" s="74">
        <f t="shared" ref="P247:P255" si="130">SUM(0.5*(R247-N247),N247)</f>
        <v>18.5</v>
      </c>
      <c r="Q247" s="74">
        <f t="shared" ref="Q247:Q255" si="131">SUM(0.75*(R247-N247),N247)</f>
        <v>17.75</v>
      </c>
      <c r="R247" s="114">
        <v>17</v>
      </c>
      <c r="S247" s="129"/>
      <c r="T247" s="117">
        <f>SUM((AU19+AV19+AW18+AX18+AY17+AZ17+BA16+BB16+BC15+BD15+BE14+BF14+BG13+BH13+BI12+BJ12+BK11+BL11+BN9+BO9+BS5+BT5+BU4+BV4)*0.132/2,(AT20+BM10+BP8+BQ7+BR6)*0.132,17)</f>
        <v>16.595538461538464</v>
      </c>
      <c r="U247" s="117"/>
      <c r="V247" s="129"/>
      <c r="W247" s="114"/>
    </row>
    <row r="248" spans="2:23">
      <c r="B248" s="114">
        <v>32</v>
      </c>
      <c r="C248" s="74">
        <f t="shared" si="108"/>
        <v>30.75</v>
      </c>
      <c r="D248" s="74">
        <f t="shared" si="109"/>
        <v>29.5</v>
      </c>
      <c r="E248" s="74">
        <f t="shared" si="110"/>
        <v>28.25</v>
      </c>
      <c r="F248" s="114">
        <v>27</v>
      </c>
      <c r="G248" s="74">
        <f t="shared" si="111"/>
        <v>25.75</v>
      </c>
      <c r="H248" s="74">
        <f t="shared" si="112"/>
        <v>24.5</v>
      </c>
      <c r="I248" s="74">
        <f t="shared" si="113"/>
        <v>23.25</v>
      </c>
      <c r="J248" s="114">
        <f t="shared" si="114"/>
        <v>22</v>
      </c>
      <c r="K248" s="74">
        <f t="shared" si="115"/>
        <v>21.0625</v>
      </c>
      <c r="L248" s="74">
        <f t="shared" si="116"/>
        <v>20.125</v>
      </c>
      <c r="M248" s="74">
        <f t="shared" si="117"/>
        <v>19.1875</v>
      </c>
      <c r="N248" s="114">
        <f t="shared" si="128"/>
        <v>18.25</v>
      </c>
      <c r="O248" s="74">
        <f t="shared" si="129"/>
        <v>17.9375</v>
      </c>
      <c r="P248" s="74">
        <f t="shared" si="130"/>
        <v>17.625</v>
      </c>
      <c r="Q248" s="74">
        <f t="shared" si="131"/>
        <v>17.3125</v>
      </c>
      <c r="R248" s="114">
        <v>17</v>
      </c>
      <c r="S248" s="129"/>
      <c r="T248" s="117">
        <f>SUM((AR20+AS20+AT19+AU19+AY17+AZ17+BA16+BB16+BF14+BG14+BK12+BL12+BM11+BN11+BO10+BP10+BQ9+BR9+BS8+BT8)*0.132/2,(AV18+AW18+AX18+BC15+BD15+BE15+BH13+BI13+BJ13)*0.132/3,(+BU7+BU6+BV5+BV4)*0.132,17)</f>
        <v>16.551538461538463</v>
      </c>
      <c r="U248" s="117"/>
      <c r="V248" s="129"/>
      <c r="W248" s="114"/>
    </row>
    <row r="249" spans="2:23">
      <c r="B249" s="114">
        <v>33</v>
      </c>
      <c r="C249" s="74">
        <f t="shared" si="108"/>
        <v>31.5</v>
      </c>
      <c r="D249" s="74">
        <f t="shared" si="109"/>
        <v>30</v>
      </c>
      <c r="E249" s="74">
        <f t="shared" si="110"/>
        <v>28.5</v>
      </c>
      <c r="F249" s="114">
        <v>27</v>
      </c>
      <c r="G249" s="74">
        <f t="shared" si="111"/>
        <v>25.5</v>
      </c>
      <c r="H249" s="74">
        <f t="shared" si="112"/>
        <v>24</v>
      </c>
      <c r="I249" s="74">
        <f t="shared" si="113"/>
        <v>22.5</v>
      </c>
      <c r="J249" s="114">
        <f t="shared" si="114"/>
        <v>21</v>
      </c>
      <c r="K249" s="74">
        <f t="shared" si="115"/>
        <v>19.875</v>
      </c>
      <c r="L249" s="74">
        <f t="shared" si="116"/>
        <v>18.75</v>
      </c>
      <c r="M249" s="74">
        <f t="shared" si="117"/>
        <v>17.625</v>
      </c>
      <c r="N249" s="114">
        <f t="shared" si="128"/>
        <v>16.5</v>
      </c>
      <c r="O249" s="74">
        <f t="shared" si="129"/>
        <v>16.625</v>
      </c>
      <c r="P249" s="74">
        <f t="shared" si="130"/>
        <v>16.75</v>
      </c>
      <c r="Q249" s="74">
        <f t="shared" si="131"/>
        <v>16.875</v>
      </c>
      <c r="R249" s="114">
        <v>17</v>
      </c>
      <c r="S249" s="129"/>
      <c r="T249" s="117">
        <f>SUM((AP20+AQ20+AU18+AV18)*0.132/2,(AR19+AS19+AT19+AW17+AX17+AY17+AZ16+BA16+BB16+BC15+BD15+BE15+BF14+BG14+BH14+BI13+BJ13+BK13+BL12+BM12+BN12+BO11+BP11+BQ11+BT9+BU9+BV9)*0.132/3,(BR10+BS10+BW8+BX8)*0.132/2,(+BW7+BW6+BV5+BV4)*0.132,17)</f>
        <v>16.221538461538461</v>
      </c>
      <c r="U249" s="117"/>
      <c r="V249" s="129"/>
      <c r="W249" s="114"/>
    </row>
    <row r="250" spans="2:23">
      <c r="B250" s="114">
        <v>34</v>
      </c>
      <c r="C250" s="74">
        <f t="shared" si="108"/>
        <v>32.25</v>
      </c>
      <c r="D250" s="74">
        <f t="shared" si="109"/>
        <v>30.5</v>
      </c>
      <c r="E250" s="74">
        <f t="shared" si="110"/>
        <v>28.75</v>
      </c>
      <c r="F250" s="114">
        <v>27</v>
      </c>
      <c r="G250" s="74">
        <f t="shared" si="111"/>
        <v>25.25</v>
      </c>
      <c r="H250" s="74">
        <f t="shared" si="112"/>
        <v>23.5</v>
      </c>
      <c r="I250" s="74">
        <f t="shared" si="113"/>
        <v>21.75</v>
      </c>
      <c r="J250" s="114">
        <f t="shared" si="114"/>
        <v>20</v>
      </c>
      <c r="K250" s="74">
        <f t="shared" si="115"/>
        <v>18.6875</v>
      </c>
      <c r="L250" s="74">
        <f t="shared" si="116"/>
        <v>17.375</v>
      </c>
      <c r="M250" s="74">
        <f t="shared" si="117"/>
        <v>16.0625</v>
      </c>
      <c r="N250" s="114">
        <f t="shared" si="128"/>
        <v>14.75</v>
      </c>
      <c r="O250" s="74">
        <f t="shared" si="129"/>
        <v>15.3125</v>
      </c>
      <c r="P250" s="74">
        <f t="shared" si="130"/>
        <v>15.875</v>
      </c>
      <c r="Q250" s="74">
        <f t="shared" si="131"/>
        <v>16.4375</v>
      </c>
      <c r="R250" s="114">
        <v>17</v>
      </c>
      <c r="S250" s="129"/>
      <c r="T250" s="117">
        <f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16.078538461538464</v>
      </c>
      <c r="U250" s="117"/>
      <c r="V250" s="129"/>
      <c r="W250" s="114"/>
    </row>
    <row r="251" spans="2:23">
      <c r="B251" s="114">
        <v>35</v>
      </c>
      <c r="C251" s="74">
        <f t="shared" si="108"/>
        <v>33</v>
      </c>
      <c r="D251" s="74">
        <f t="shared" si="109"/>
        <v>31</v>
      </c>
      <c r="E251" s="74">
        <f t="shared" si="110"/>
        <v>29</v>
      </c>
      <c r="F251" s="114">
        <v>27</v>
      </c>
      <c r="G251" s="74">
        <f t="shared" si="111"/>
        <v>25</v>
      </c>
      <c r="H251" s="74">
        <f t="shared" si="112"/>
        <v>23</v>
      </c>
      <c r="I251" s="74">
        <f t="shared" si="113"/>
        <v>21</v>
      </c>
      <c r="J251" s="114">
        <f t="shared" si="114"/>
        <v>19</v>
      </c>
      <c r="K251" s="74">
        <f t="shared" si="115"/>
        <v>17.5</v>
      </c>
      <c r="L251" s="74">
        <f t="shared" si="116"/>
        <v>16</v>
      </c>
      <c r="M251" s="74">
        <f t="shared" si="117"/>
        <v>14.5</v>
      </c>
      <c r="N251" s="114">
        <f t="shared" si="128"/>
        <v>13</v>
      </c>
      <c r="O251" s="74">
        <f t="shared" si="129"/>
        <v>14</v>
      </c>
      <c r="P251" s="74">
        <f t="shared" si="130"/>
        <v>15</v>
      </c>
      <c r="Q251" s="74">
        <f t="shared" si="131"/>
        <v>16</v>
      </c>
      <c r="R251" s="114">
        <v>17</v>
      </c>
      <c r="S251" s="129"/>
      <c r="T251" s="117">
        <f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15.880538461538462</v>
      </c>
      <c r="U251" s="117"/>
      <c r="V251" s="129"/>
      <c r="W251" s="114"/>
    </row>
    <row r="252" spans="2:23">
      <c r="B252" s="114">
        <v>36</v>
      </c>
      <c r="C252" s="74">
        <f t="shared" si="108"/>
        <v>33.75</v>
      </c>
      <c r="D252" s="74">
        <f t="shared" si="109"/>
        <v>31.5</v>
      </c>
      <c r="E252" s="74">
        <f t="shared" si="110"/>
        <v>29.25</v>
      </c>
      <c r="F252" s="114">
        <v>27</v>
      </c>
      <c r="G252" s="74">
        <f t="shared" si="111"/>
        <v>24.75</v>
      </c>
      <c r="H252" s="74">
        <f t="shared" si="112"/>
        <v>22.5</v>
      </c>
      <c r="I252" s="74">
        <f t="shared" si="113"/>
        <v>20.25</v>
      </c>
      <c r="J252" s="114">
        <f t="shared" si="114"/>
        <v>18</v>
      </c>
      <c r="K252" s="74">
        <f t="shared" si="115"/>
        <v>16.3125</v>
      </c>
      <c r="L252" s="74">
        <f t="shared" si="116"/>
        <v>14.625</v>
      </c>
      <c r="M252" s="74">
        <f t="shared" si="117"/>
        <v>12.9375</v>
      </c>
      <c r="N252" s="114">
        <f t="shared" si="128"/>
        <v>11.25</v>
      </c>
      <c r="O252" s="74">
        <f t="shared" si="129"/>
        <v>12.6875</v>
      </c>
      <c r="P252" s="74">
        <f t="shared" si="130"/>
        <v>14.125</v>
      </c>
      <c r="Q252" s="74">
        <f t="shared" si="131"/>
        <v>15.5625</v>
      </c>
      <c r="R252" s="114">
        <v>17</v>
      </c>
      <c r="S252" s="129"/>
      <c r="T252" s="117">
        <f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15.774938461538461</v>
      </c>
      <c r="U252" s="117"/>
      <c r="V252" s="129"/>
      <c r="W252" s="114"/>
    </row>
    <row r="253" spans="2:23">
      <c r="B253" s="114">
        <v>37</v>
      </c>
      <c r="C253" s="74">
        <f t="shared" si="108"/>
        <v>34.5</v>
      </c>
      <c r="D253" s="74">
        <f t="shared" si="109"/>
        <v>32</v>
      </c>
      <c r="E253" s="74">
        <f t="shared" si="110"/>
        <v>29.5</v>
      </c>
      <c r="F253" s="114">
        <v>27</v>
      </c>
      <c r="G253" s="74">
        <f t="shared" si="111"/>
        <v>24.5</v>
      </c>
      <c r="H253" s="74">
        <f t="shared" si="112"/>
        <v>22</v>
      </c>
      <c r="I253" s="74">
        <f t="shared" si="113"/>
        <v>19.5</v>
      </c>
      <c r="J253" s="114">
        <f t="shared" si="114"/>
        <v>17</v>
      </c>
      <c r="K253" s="74">
        <f t="shared" si="115"/>
        <v>15.125</v>
      </c>
      <c r="L253" s="74">
        <f t="shared" si="116"/>
        <v>13.25</v>
      </c>
      <c r="M253" s="74">
        <f t="shared" si="117"/>
        <v>11.375</v>
      </c>
      <c r="N253" s="114">
        <f t="shared" si="128"/>
        <v>9.5</v>
      </c>
      <c r="O253" s="74">
        <f t="shared" si="129"/>
        <v>11.375</v>
      </c>
      <c r="P253" s="74">
        <f t="shared" si="130"/>
        <v>13.25</v>
      </c>
      <c r="Q253" s="74">
        <f t="shared" si="131"/>
        <v>15.125</v>
      </c>
      <c r="R253" s="114">
        <v>17</v>
      </c>
      <c r="S253" s="129"/>
      <c r="T253" s="117">
        <f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15.803538461538462</v>
      </c>
      <c r="U253" s="117"/>
      <c r="V253" s="129"/>
      <c r="W253" s="114"/>
    </row>
    <row r="254" spans="2:23">
      <c r="B254" s="114">
        <v>38</v>
      </c>
      <c r="C254" s="74">
        <f t="shared" si="108"/>
        <v>35.25</v>
      </c>
      <c r="D254" s="74">
        <f t="shared" si="109"/>
        <v>32.5</v>
      </c>
      <c r="E254" s="74">
        <f t="shared" si="110"/>
        <v>29.75</v>
      </c>
      <c r="F254" s="114">
        <v>27</v>
      </c>
      <c r="G254" s="74">
        <f t="shared" si="111"/>
        <v>24.25</v>
      </c>
      <c r="H254" s="74">
        <f t="shared" si="112"/>
        <v>21.5</v>
      </c>
      <c r="I254" s="74">
        <f t="shared" si="113"/>
        <v>18.75</v>
      </c>
      <c r="J254" s="114">
        <f t="shared" si="114"/>
        <v>16</v>
      </c>
      <c r="K254" s="74">
        <f t="shared" si="115"/>
        <v>13.9375</v>
      </c>
      <c r="L254" s="74">
        <f t="shared" si="116"/>
        <v>11.875</v>
      </c>
      <c r="M254" s="74">
        <f t="shared" si="117"/>
        <v>9.8125</v>
      </c>
      <c r="N254" s="114">
        <f t="shared" si="128"/>
        <v>7.75</v>
      </c>
      <c r="O254" s="74">
        <f t="shared" si="129"/>
        <v>10.0625</v>
      </c>
      <c r="P254" s="74">
        <f t="shared" si="130"/>
        <v>12.375</v>
      </c>
      <c r="Q254" s="74">
        <f t="shared" si="131"/>
        <v>14.6875</v>
      </c>
      <c r="R254" s="114">
        <v>17</v>
      </c>
      <c r="S254" s="129"/>
      <c r="T254" s="117">
        <f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15.759538461538462</v>
      </c>
      <c r="U254" s="117"/>
      <c r="V254" s="129"/>
      <c r="W254" s="114"/>
    </row>
    <row r="255" spans="2:23">
      <c r="B255" s="114">
        <v>39</v>
      </c>
      <c r="C255" s="74">
        <f t="shared" si="108"/>
        <v>36</v>
      </c>
      <c r="D255" s="74">
        <f t="shared" si="109"/>
        <v>33</v>
      </c>
      <c r="E255" s="74">
        <f t="shared" si="110"/>
        <v>30</v>
      </c>
      <c r="F255" s="114">
        <v>27</v>
      </c>
      <c r="G255" s="74">
        <f t="shared" si="111"/>
        <v>24</v>
      </c>
      <c r="H255" s="74">
        <f t="shared" si="112"/>
        <v>21</v>
      </c>
      <c r="I255" s="74">
        <f t="shared" si="113"/>
        <v>18</v>
      </c>
      <c r="J255" s="114">
        <f t="shared" si="114"/>
        <v>15</v>
      </c>
      <c r="K255" s="74">
        <f t="shared" si="115"/>
        <v>12.75</v>
      </c>
      <c r="L255" s="74">
        <f t="shared" si="116"/>
        <v>10.5</v>
      </c>
      <c r="M255" s="74">
        <f t="shared" si="117"/>
        <v>8.25</v>
      </c>
      <c r="N255" s="114">
        <f t="shared" si="128"/>
        <v>6</v>
      </c>
      <c r="O255" s="74">
        <f t="shared" si="129"/>
        <v>8.75</v>
      </c>
      <c r="P255" s="74">
        <f t="shared" si="130"/>
        <v>11.5</v>
      </c>
      <c r="Q255" s="74">
        <f t="shared" si="131"/>
        <v>14.25</v>
      </c>
      <c r="R255" s="114">
        <v>17</v>
      </c>
      <c r="S255" s="129"/>
      <c r="T255" s="117">
        <f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15.673424175824177</v>
      </c>
      <c r="U255" s="117"/>
      <c r="V255" s="129"/>
      <c r="W255" s="114"/>
    </row>
    <row r="256" spans="2:23">
      <c r="B256" s="114"/>
      <c r="C256" s="74"/>
      <c r="D256" s="74"/>
      <c r="E256" s="74"/>
      <c r="F256" s="114"/>
      <c r="G256" s="74"/>
      <c r="H256" s="74"/>
      <c r="I256" s="74"/>
      <c r="J256" s="114"/>
      <c r="K256" s="74"/>
      <c r="L256" s="74"/>
      <c r="M256" s="74"/>
      <c r="N256" s="114"/>
      <c r="O256" s="74"/>
      <c r="P256" s="74"/>
      <c r="Q256" s="74"/>
      <c r="R256" s="114"/>
      <c r="S256" s="129"/>
      <c r="T256" s="117"/>
      <c r="U256" s="117"/>
      <c r="V256" s="129"/>
      <c r="W256" s="114"/>
    </row>
    <row r="257" spans="2:23">
      <c r="B257" s="114">
        <v>32</v>
      </c>
      <c r="C257" s="74">
        <f t="shared" si="108"/>
        <v>31</v>
      </c>
      <c r="D257" s="74">
        <f t="shared" si="109"/>
        <v>30</v>
      </c>
      <c r="E257" s="74">
        <f t="shared" si="110"/>
        <v>29</v>
      </c>
      <c r="F257" s="114">
        <v>28</v>
      </c>
      <c r="G257" s="74">
        <f t="shared" si="111"/>
        <v>27</v>
      </c>
      <c r="H257" s="74">
        <f t="shared" si="112"/>
        <v>26</v>
      </c>
      <c r="I257" s="74">
        <f t="shared" si="113"/>
        <v>25</v>
      </c>
      <c r="J257" s="114">
        <f t="shared" si="114"/>
        <v>24</v>
      </c>
      <c r="K257" s="74">
        <f t="shared" si="115"/>
        <v>23.25</v>
      </c>
      <c r="L257" s="74">
        <f t="shared" si="116"/>
        <v>22.5</v>
      </c>
      <c r="M257" s="74">
        <f t="shared" si="117"/>
        <v>21.75</v>
      </c>
      <c r="N257" s="114">
        <f t="shared" si="128"/>
        <v>21</v>
      </c>
      <c r="O257" s="74">
        <f t="shared" ref="O257:O264" si="132">SUM(0.25*(R257-N257),N257)</f>
        <v>20</v>
      </c>
      <c r="P257" s="74">
        <f t="shared" ref="P257:P264" si="133">SUM(0.5*(R257-N257),N257)</f>
        <v>19</v>
      </c>
      <c r="Q257" s="74">
        <f t="shared" ref="Q257:Q264" si="134">SUM(0.75*(R257-N257),N257)</f>
        <v>18</v>
      </c>
      <c r="R257" s="114">
        <v>17</v>
      </c>
      <c r="S257" s="129"/>
      <c r="T257" s="117">
        <f>SUM((AS19+AT19+AU18+AV18+AW17+AX17+AY16+AZ16+BA15+BB15+BC14+BD14+BE13+BF13+BG12+BH12+BI11+BJ11+BK10+BL10+BM9+BN9+BO8+BP8+BO7+BN7+BM6+BL6)*0.132/2,(AR20+BK5+BJ4)*0.132,17)</f>
        <v>16.529538461538461</v>
      </c>
      <c r="U257" s="117"/>
      <c r="V257" s="129"/>
      <c r="W257" s="114"/>
    </row>
    <row r="258" spans="2:23">
      <c r="B258" s="114">
        <v>33</v>
      </c>
      <c r="C258" s="74">
        <f t="shared" si="108"/>
        <v>31.75</v>
      </c>
      <c r="D258" s="74">
        <f t="shared" si="109"/>
        <v>30.5</v>
      </c>
      <c r="E258" s="74">
        <f t="shared" si="110"/>
        <v>29.25</v>
      </c>
      <c r="F258" s="114">
        <v>28</v>
      </c>
      <c r="G258" s="74">
        <f t="shared" si="111"/>
        <v>26.75</v>
      </c>
      <c r="H258" s="74">
        <f t="shared" si="112"/>
        <v>25.5</v>
      </c>
      <c r="I258" s="74">
        <f t="shared" si="113"/>
        <v>24.25</v>
      </c>
      <c r="J258" s="114">
        <f t="shared" si="114"/>
        <v>23</v>
      </c>
      <c r="K258" s="74">
        <f t="shared" si="115"/>
        <v>22.0625</v>
      </c>
      <c r="L258" s="74">
        <f t="shared" si="116"/>
        <v>21.125</v>
      </c>
      <c r="M258" s="74">
        <f t="shared" si="117"/>
        <v>20.1875</v>
      </c>
      <c r="N258" s="114">
        <f t="shared" si="128"/>
        <v>19.25</v>
      </c>
      <c r="O258" s="74">
        <f t="shared" si="132"/>
        <v>18.6875</v>
      </c>
      <c r="P258" s="74">
        <f t="shared" si="133"/>
        <v>18.125</v>
      </c>
      <c r="Q258" s="74">
        <f t="shared" si="134"/>
        <v>17.5625</v>
      </c>
      <c r="R258" s="114">
        <v>17</v>
      </c>
      <c r="S258" s="129"/>
      <c r="T258" s="117">
        <f>SUM((AP20+AQ20+AR19+AS19+AW17+AX17+AY16+AZ16+BD14+BE14+BI12+BJ12+BK11+BL11+BM10+BN10+BO9+BP9+BQ8+BR8)*0.132/2,(AT18+AU18+AV18+BA15+BB15+BC15+BF13+BG13+BH13)*0.132/3,(BS7+BT6+BU5+BV4)*0.132,17)</f>
        <v>16.155538461538463</v>
      </c>
      <c r="U258" s="117"/>
      <c r="V258" s="129"/>
      <c r="W258" s="114"/>
    </row>
    <row r="259" spans="2:23">
      <c r="B259" s="114">
        <v>34</v>
      </c>
      <c r="C259" s="74">
        <f t="shared" si="108"/>
        <v>32.5</v>
      </c>
      <c r="D259" s="74">
        <f t="shared" si="109"/>
        <v>31</v>
      </c>
      <c r="E259" s="74">
        <f t="shared" si="110"/>
        <v>29.5</v>
      </c>
      <c r="F259" s="114">
        <v>28</v>
      </c>
      <c r="G259" s="74">
        <f t="shared" si="111"/>
        <v>26.5</v>
      </c>
      <c r="H259" s="74">
        <f t="shared" si="112"/>
        <v>25</v>
      </c>
      <c r="I259" s="74">
        <f t="shared" si="113"/>
        <v>23.5</v>
      </c>
      <c r="J259" s="114">
        <f t="shared" si="114"/>
        <v>22</v>
      </c>
      <c r="K259" s="74">
        <f t="shared" si="115"/>
        <v>20.875</v>
      </c>
      <c r="L259" s="74">
        <f t="shared" si="116"/>
        <v>19.75</v>
      </c>
      <c r="M259" s="74">
        <f t="shared" si="117"/>
        <v>18.625</v>
      </c>
      <c r="N259" s="114">
        <f t="shared" si="128"/>
        <v>17.5</v>
      </c>
      <c r="O259" s="74">
        <f t="shared" si="132"/>
        <v>17.375</v>
      </c>
      <c r="P259" s="74">
        <f t="shared" si="133"/>
        <v>17.25</v>
      </c>
      <c r="Q259" s="74">
        <f t="shared" si="134"/>
        <v>17.125</v>
      </c>
      <c r="R259" s="114">
        <v>17</v>
      </c>
      <c r="S259" s="129"/>
      <c r="T259" s="117">
        <f>SUM((AP19+AQ19+AR19+AU17+AV17+AW17+AX16+AY16+AZ16+BA15+BB15+BC15+BD14+BE14+BF14+BG13+BH13+BI13+BJ12+BK12+BL12+BM11+BN11+BO11+BR9+BS9+BT9)*0.132/3,(AN20+AO20+AS18+AT18+BP10+BQ10+BU8+BV8)*0.132/2,(BV7+BV6+BV5+BV4)*0.132,17)</f>
        <v>15.781538461538462</v>
      </c>
      <c r="U259" s="117"/>
      <c r="V259" s="129"/>
      <c r="W259" s="114"/>
    </row>
    <row r="260" spans="2:23">
      <c r="B260" s="114">
        <v>35</v>
      </c>
      <c r="C260" s="74">
        <f t="shared" si="108"/>
        <v>33.25</v>
      </c>
      <c r="D260" s="74">
        <f t="shared" si="109"/>
        <v>31.5</v>
      </c>
      <c r="E260" s="74">
        <f t="shared" si="110"/>
        <v>29.75</v>
      </c>
      <c r="F260" s="114">
        <v>28</v>
      </c>
      <c r="G260" s="74">
        <f t="shared" si="111"/>
        <v>26.25</v>
      </c>
      <c r="H260" s="74">
        <f t="shared" si="112"/>
        <v>24.5</v>
      </c>
      <c r="I260" s="74">
        <f t="shared" si="113"/>
        <v>22.75</v>
      </c>
      <c r="J260" s="114">
        <f t="shared" si="114"/>
        <v>21</v>
      </c>
      <c r="K260" s="74">
        <f t="shared" si="115"/>
        <v>19.6875</v>
      </c>
      <c r="L260" s="74">
        <f t="shared" si="116"/>
        <v>18.375</v>
      </c>
      <c r="M260" s="74">
        <f t="shared" si="117"/>
        <v>17.0625</v>
      </c>
      <c r="N260" s="114">
        <f t="shared" si="128"/>
        <v>15.75</v>
      </c>
      <c r="O260" s="74">
        <f t="shared" si="132"/>
        <v>16.0625</v>
      </c>
      <c r="P260" s="74">
        <f t="shared" si="133"/>
        <v>16.375</v>
      </c>
      <c r="Q260" s="74">
        <f t="shared" si="134"/>
        <v>16.6875</v>
      </c>
      <c r="R260" s="114">
        <v>17</v>
      </c>
      <c r="S260" s="129"/>
      <c r="T260" s="117">
        <f>SUM((AL20+AM20+AN20+AO19+AP19+AQ19+AR18+AS18+AT18+AU17+AV17+AW17+AX16+AY16+AZ16+BE14+BF14+BG14+BL12+BM12+BN12+BO11+BP11+BQ11+BR10+BS10+BT10+BU9+BV9+BW9+BX8+BY8+BZ8)*0.132/3,(BA15+BB15+BC15+BD15+BH13+BI13+BJ13+BK13)*0.132/4,(BY7+BX6+BW5+BV4)*0.132,17)</f>
        <v>15.781538461538462</v>
      </c>
      <c r="U260" s="117"/>
      <c r="V260" s="129"/>
      <c r="W260" s="114"/>
    </row>
    <row r="261" spans="2:23">
      <c r="B261" s="114">
        <v>36</v>
      </c>
      <c r="C261" s="74">
        <f t="shared" si="108"/>
        <v>34</v>
      </c>
      <c r="D261" s="74">
        <f t="shared" si="109"/>
        <v>32</v>
      </c>
      <c r="E261" s="74">
        <f t="shared" si="110"/>
        <v>30</v>
      </c>
      <c r="F261" s="114">
        <v>28</v>
      </c>
      <c r="G261" s="74">
        <f t="shared" si="111"/>
        <v>26</v>
      </c>
      <c r="H261" s="74">
        <f t="shared" si="112"/>
        <v>24</v>
      </c>
      <c r="I261" s="74">
        <f t="shared" si="113"/>
        <v>22</v>
      </c>
      <c r="J261" s="114">
        <f t="shared" si="114"/>
        <v>20</v>
      </c>
      <c r="K261" s="74">
        <f t="shared" si="115"/>
        <v>18.5</v>
      </c>
      <c r="L261" s="74">
        <f t="shared" si="116"/>
        <v>17</v>
      </c>
      <c r="M261" s="74">
        <f t="shared" si="117"/>
        <v>15.5</v>
      </c>
      <c r="N261" s="114">
        <f t="shared" si="128"/>
        <v>14</v>
      </c>
      <c r="O261" s="74">
        <f t="shared" si="132"/>
        <v>14.75</v>
      </c>
      <c r="P261" s="74">
        <f t="shared" si="133"/>
        <v>15.5</v>
      </c>
      <c r="Q261" s="74">
        <f t="shared" si="134"/>
        <v>16.25</v>
      </c>
      <c r="R261" s="114">
        <v>17</v>
      </c>
      <c r="S261" s="129"/>
      <c r="T261" s="117">
        <f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15.660538461538462</v>
      </c>
      <c r="U261" s="117"/>
      <c r="V261" s="129"/>
      <c r="W261" s="114"/>
    </row>
    <row r="262" spans="2:23">
      <c r="B262" s="114">
        <v>37</v>
      </c>
      <c r="C262" s="74">
        <f t="shared" si="108"/>
        <v>34.75</v>
      </c>
      <c r="D262" s="74">
        <f t="shared" si="109"/>
        <v>32.5</v>
      </c>
      <c r="E262" s="74">
        <f t="shared" si="110"/>
        <v>30.25</v>
      </c>
      <c r="F262" s="114">
        <v>28</v>
      </c>
      <c r="G262" s="74">
        <f t="shared" si="111"/>
        <v>25.75</v>
      </c>
      <c r="H262" s="74">
        <f t="shared" si="112"/>
        <v>23.5</v>
      </c>
      <c r="I262" s="74">
        <f t="shared" si="113"/>
        <v>21.25</v>
      </c>
      <c r="J262" s="114">
        <f t="shared" si="114"/>
        <v>19</v>
      </c>
      <c r="K262" s="74">
        <f t="shared" si="115"/>
        <v>17.3125</v>
      </c>
      <c r="L262" s="74">
        <f t="shared" si="116"/>
        <v>15.625</v>
      </c>
      <c r="M262" s="74">
        <f t="shared" si="117"/>
        <v>13.9375</v>
      </c>
      <c r="N262" s="114">
        <f t="shared" si="128"/>
        <v>12.25</v>
      </c>
      <c r="O262" s="74">
        <f t="shared" si="132"/>
        <v>13.4375</v>
      </c>
      <c r="P262" s="74">
        <f t="shared" si="133"/>
        <v>14.625</v>
      </c>
      <c r="Q262" s="74">
        <f t="shared" si="134"/>
        <v>15.8125</v>
      </c>
      <c r="R262" s="114">
        <v>17</v>
      </c>
      <c r="S262" s="129"/>
      <c r="T262" s="117">
        <f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15.409738461538462</v>
      </c>
      <c r="U262" s="117"/>
      <c r="V262" s="129"/>
      <c r="W262" s="114"/>
    </row>
    <row r="263" spans="2:23">
      <c r="B263" s="114">
        <v>38</v>
      </c>
      <c r="C263" s="74">
        <f t="shared" si="108"/>
        <v>35.5</v>
      </c>
      <c r="D263" s="74">
        <f t="shared" si="109"/>
        <v>33</v>
      </c>
      <c r="E263" s="74">
        <f t="shared" si="110"/>
        <v>30.5</v>
      </c>
      <c r="F263" s="114">
        <v>28</v>
      </c>
      <c r="G263" s="74">
        <f t="shared" si="111"/>
        <v>25.5</v>
      </c>
      <c r="H263" s="74">
        <f t="shared" si="112"/>
        <v>23</v>
      </c>
      <c r="I263" s="74">
        <f t="shared" si="113"/>
        <v>20.5</v>
      </c>
      <c r="J263" s="114">
        <f t="shared" si="114"/>
        <v>18</v>
      </c>
      <c r="K263" s="74">
        <f t="shared" si="115"/>
        <v>16.125</v>
      </c>
      <c r="L263" s="74">
        <f t="shared" si="116"/>
        <v>14.25</v>
      </c>
      <c r="M263" s="74">
        <f t="shared" si="117"/>
        <v>12.375</v>
      </c>
      <c r="N263" s="114">
        <f t="shared" si="128"/>
        <v>10.5</v>
      </c>
      <c r="O263" s="74">
        <f t="shared" si="132"/>
        <v>12.125</v>
      </c>
      <c r="P263" s="74">
        <f t="shared" si="133"/>
        <v>13.75</v>
      </c>
      <c r="Q263" s="74">
        <f t="shared" si="134"/>
        <v>15.375</v>
      </c>
      <c r="R263" s="114">
        <v>17</v>
      </c>
      <c r="S263" s="129"/>
      <c r="T263" s="117">
        <f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15.618738461538463</v>
      </c>
      <c r="U263" s="117"/>
      <c r="V263" s="129"/>
      <c r="W263" s="114"/>
    </row>
    <row r="264" spans="2:23">
      <c r="B264" s="114">
        <v>39</v>
      </c>
      <c r="C264" s="74">
        <f t="shared" si="108"/>
        <v>36.25</v>
      </c>
      <c r="D264" s="74">
        <f t="shared" si="109"/>
        <v>33.5</v>
      </c>
      <c r="E264" s="74">
        <f t="shared" si="110"/>
        <v>30.75</v>
      </c>
      <c r="F264" s="114">
        <v>28</v>
      </c>
      <c r="G264" s="74">
        <f t="shared" si="111"/>
        <v>25.25</v>
      </c>
      <c r="H264" s="74">
        <f t="shared" si="112"/>
        <v>22.5</v>
      </c>
      <c r="I264" s="74">
        <f t="shared" si="113"/>
        <v>19.75</v>
      </c>
      <c r="J264" s="114">
        <f t="shared" si="114"/>
        <v>17</v>
      </c>
      <c r="K264" s="74">
        <f t="shared" si="115"/>
        <v>14.9375</v>
      </c>
      <c r="L264" s="74">
        <f t="shared" si="116"/>
        <v>12.875</v>
      </c>
      <c r="M264" s="74">
        <f t="shared" si="117"/>
        <v>10.8125</v>
      </c>
      <c r="N264" s="114">
        <f t="shared" si="128"/>
        <v>8.75</v>
      </c>
      <c r="O264" s="74">
        <f t="shared" si="132"/>
        <v>10.8125</v>
      </c>
      <c r="P264" s="74">
        <f t="shared" si="133"/>
        <v>12.875</v>
      </c>
      <c r="Q264" s="74">
        <f t="shared" si="134"/>
        <v>14.9375</v>
      </c>
      <c r="R264" s="114">
        <v>17</v>
      </c>
      <c r="S264" s="129"/>
      <c r="T264" s="117">
        <f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15.469138461538464</v>
      </c>
      <c r="U264" s="117"/>
      <c r="V264" s="129"/>
      <c r="W264" s="114"/>
    </row>
    <row r="265" spans="2:23">
      <c r="B265" s="114"/>
      <c r="C265" s="74"/>
      <c r="D265" s="74"/>
      <c r="E265" s="74"/>
      <c r="F265" s="114"/>
      <c r="G265" s="74"/>
      <c r="H265" s="74"/>
      <c r="I265" s="74"/>
      <c r="J265" s="114"/>
      <c r="K265" s="74"/>
      <c r="L265" s="74"/>
      <c r="M265" s="74"/>
      <c r="N265" s="114"/>
      <c r="O265" s="74"/>
      <c r="P265" s="74"/>
      <c r="Q265" s="74"/>
      <c r="R265" s="114"/>
      <c r="S265" s="129"/>
      <c r="T265" s="117"/>
      <c r="U265" s="117"/>
      <c r="V265" s="129"/>
      <c r="W265" s="114"/>
    </row>
    <row r="266" spans="2:23">
      <c r="B266" s="114">
        <v>33</v>
      </c>
      <c r="C266" s="74">
        <f t="shared" si="108"/>
        <v>32</v>
      </c>
      <c r="D266" s="74">
        <f t="shared" si="109"/>
        <v>31</v>
      </c>
      <c r="E266" s="74">
        <f t="shared" si="110"/>
        <v>30</v>
      </c>
      <c r="F266" s="114">
        <v>29</v>
      </c>
      <c r="G266" s="74">
        <f t="shared" si="111"/>
        <v>28</v>
      </c>
      <c r="H266" s="74">
        <f t="shared" si="112"/>
        <v>27</v>
      </c>
      <c r="I266" s="74">
        <f t="shared" si="113"/>
        <v>26</v>
      </c>
      <c r="J266" s="114">
        <f t="shared" si="114"/>
        <v>25</v>
      </c>
      <c r="K266" s="74">
        <f t="shared" si="115"/>
        <v>24</v>
      </c>
      <c r="L266" s="74">
        <f t="shared" si="116"/>
        <v>23</v>
      </c>
      <c r="M266" s="74">
        <f t="shared" si="117"/>
        <v>22</v>
      </c>
      <c r="N266" s="114">
        <f>SUM(J266,J266,-F266)</f>
        <v>21</v>
      </c>
      <c r="O266" s="74">
        <f t="shared" ref="O266:O272" si="135">SUM(0.25*(R266-N266),N266)</f>
        <v>20</v>
      </c>
      <c r="P266" s="74">
        <f t="shared" ref="P266:P272" si="136">SUM(0.5*(R266-N266),N266)</f>
        <v>19</v>
      </c>
      <c r="Q266" s="74">
        <f t="shared" ref="Q266:Q272" si="137">SUM(0.75*(R266-N266),N266)</f>
        <v>18</v>
      </c>
      <c r="R266" s="114">
        <v>17</v>
      </c>
      <c r="S266" s="129"/>
      <c r="T266" s="117">
        <f>SUM(AP20*0.132,(AQ19+AR19+AS18+AT18+AU17+AV17+AW16+AX16+AY15+AZ15+BA14+BB14+BC13+BD13+BE12+BF12++BG11+BH11+BI10+BJ10+BK9+BL9+BM8+BN8+BO7+BP7+BQ6+BR6+BS5+BT5+BU4+BV4)*0.132/2,17)</f>
        <v>15.605538461538464</v>
      </c>
      <c r="U266" s="117"/>
      <c r="V266" s="129"/>
      <c r="W266" s="114"/>
    </row>
    <row r="267" spans="2:23">
      <c r="B267" s="114">
        <v>34</v>
      </c>
      <c r="C267" s="74">
        <f t="shared" si="108"/>
        <v>32.75</v>
      </c>
      <c r="D267" s="74">
        <f t="shared" si="109"/>
        <v>31.5</v>
      </c>
      <c r="E267" s="74">
        <f t="shared" si="110"/>
        <v>30.25</v>
      </c>
      <c r="F267" s="114">
        <v>29</v>
      </c>
      <c r="G267" s="74">
        <f t="shared" si="111"/>
        <v>27.75</v>
      </c>
      <c r="H267" s="74">
        <f t="shared" si="112"/>
        <v>26.5</v>
      </c>
      <c r="I267" s="74">
        <f t="shared" si="113"/>
        <v>25.25</v>
      </c>
      <c r="J267" s="114">
        <f t="shared" si="114"/>
        <v>24</v>
      </c>
      <c r="K267" s="74">
        <f t="shared" si="115"/>
        <v>23.0625</v>
      </c>
      <c r="L267" s="74">
        <f t="shared" si="116"/>
        <v>22.125</v>
      </c>
      <c r="M267" s="74">
        <f t="shared" si="117"/>
        <v>21.1875</v>
      </c>
      <c r="N267" s="114">
        <f t="shared" ref="N267:N289" si="138">SUM(F267,-B267,J267,0.25*ABS(J267-F267))</f>
        <v>20.25</v>
      </c>
      <c r="O267" s="74">
        <f t="shared" si="135"/>
        <v>19.4375</v>
      </c>
      <c r="P267" s="74">
        <f t="shared" si="136"/>
        <v>18.625</v>
      </c>
      <c r="Q267" s="74">
        <f t="shared" si="137"/>
        <v>17.8125</v>
      </c>
      <c r="R267" s="114">
        <v>17</v>
      </c>
      <c r="S267" s="129"/>
      <c r="T267" s="117">
        <f>SUM((AN20+AO20+AP19+AQ19+AU17+AV17+AW16+AX16+BB14+BC14+BG12+BH12+BI11+BJ11+BK10+BL10+BM9+BN9+BO8+BP8+BS5+BT5+BU4+BV4)*0.132/2,(AR18+AS18+AT18+AY15+AZ15+BA15+BD13+BE13+BF13)*0.132/3,(BQ7+BR6)*0.132,17)</f>
        <v>15.627538461538462</v>
      </c>
      <c r="U267" s="117"/>
      <c r="V267" s="129"/>
      <c r="W267" s="114"/>
    </row>
    <row r="268" spans="2:23">
      <c r="B268" s="114">
        <v>35</v>
      </c>
      <c r="C268" s="74">
        <f t="shared" si="108"/>
        <v>33.5</v>
      </c>
      <c r="D268" s="74">
        <f t="shared" si="109"/>
        <v>32</v>
      </c>
      <c r="E268" s="74">
        <f t="shared" si="110"/>
        <v>30.5</v>
      </c>
      <c r="F268" s="114">
        <v>29</v>
      </c>
      <c r="G268" s="74">
        <f t="shared" si="111"/>
        <v>27.5</v>
      </c>
      <c r="H268" s="74">
        <f t="shared" si="112"/>
        <v>26</v>
      </c>
      <c r="I268" s="74">
        <f t="shared" si="113"/>
        <v>24.5</v>
      </c>
      <c r="J268" s="114">
        <f t="shared" si="114"/>
        <v>23</v>
      </c>
      <c r="K268" s="74">
        <f t="shared" si="115"/>
        <v>21.875</v>
      </c>
      <c r="L268" s="74">
        <f t="shared" si="116"/>
        <v>20.75</v>
      </c>
      <c r="M268" s="74">
        <f t="shared" si="117"/>
        <v>19.625</v>
      </c>
      <c r="N268" s="114">
        <f t="shared" si="138"/>
        <v>18.5</v>
      </c>
      <c r="O268" s="74">
        <f t="shared" si="135"/>
        <v>18.125</v>
      </c>
      <c r="P268" s="74">
        <f t="shared" si="136"/>
        <v>17.75</v>
      </c>
      <c r="Q268" s="74">
        <f t="shared" si="137"/>
        <v>17.375</v>
      </c>
      <c r="R268" s="114">
        <v>17</v>
      </c>
      <c r="S268" s="129"/>
      <c r="T268" s="117">
        <f>SUM((AL20+AM20+AQ18+AR18)*0.132/2,(AN19+AO19+AP19+AS17+AT17+AU17+AV16+AW16+AX16+AY15+AZ15+BA15+BB14+BC14+BD14+BE13+BF13+BG13+BH12+BI12+BJ12+BK11+BL11+BM11+BP9+BQ9+BR9)*0.132/3,(BN10+BO10+BS8+BT8)*0.132/2,(BU7+BU6+BV5+BV4)*0.132,17)</f>
        <v>15.671538461538461</v>
      </c>
      <c r="U268" s="117"/>
      <c r="V268" s="129"/>
      <c r="W268" s="114"/>
    </row>
    <row r="269" spans="2:23">
      <c r="B269" s="114">
        <v>36</v>
      </c>
      <c r="C269" s="74">
        <f t="shared" si="108"/>
        <v>34.25</v>
      </c>
      <c r="D269" s="74">
        <f t="shared" si="109"/>
        <v>32.5</v>
      </c>
      <c r="E269" s="74">
        <f t="shared" si="110"/>
        <v>30.75</v>
      </c>
      <c r="F269" s="114">
        <v>29</v>
      </c>
      <c r="G269" s="74">
        <f t="shared" si="111"/>
        <v>27.25</v>
      </c>
      <c r="H269" s="74">
        <f t="shared" si="112"/>
        <v>25.5</v>
      </c>
      <c r="I269" s="74">
        <f t="shared" si="113"/>
        <v>23.75</v>
      </c>
      <c r="J269" s="114">
        <f t="shared" si="114"/>
        <v>22</v>
      </c>
      <c r="K269" s="74">
        <f t="shared" si="115"/>
        <v>20.6875</v>
      </c>
      <c r="L269" s="74">
        <f t="shared" si="116"/>
        <v>19.375</v>
      </c>
      <c r="M269" s="74">
        <f t="shared" si="117"/>
        <v>18.0625</v>
      </c>
      <c r="N269" s="114">
        <f t="shared" si="138"/>
        <v>16.75</v>
      </c>
      <c r="O269" s="74">
        <f t="shared" si="135"/>
        <v>16.8125</v>
      </c>
      <c r="P269" s="74">
        <f t="shared" si="136"/>
        <v>16.875</v>
      </c>
      <c r="Q269" s="74">
        <f t="shared" si="137"/>
        <v>16.9375</v>
      </c>
      <c r="R269" s="114">
        <v>17</v>
      </c>
      <c r="S269" s="129"/>
      <c r="T269" s="117">
        <f>SUM((AJ20+AK20+AL20+AM19+AN19+AO19+AP18+AQ18+AR18+AS17+AT17+AU17+AV16+AW16+AX16+BC14+BD14+BE14+BJ12+BK12+BL12+BM11+BN11+BO11+BP10+BQ10+BR10+BS9+BT9+BU9+BV8+BW8+BX8)*0.132/3,(AY15+AZ15+BA15+BB15+BF13+BG13+BH13+BI13)*0.132/4,(BW7+BW6+BV5+BV4)*0.132,17)</f>
        <v>15.275538461538462</v>
      </c>
      <c r="U269" s="117"/>
      <c r="V269" s="129"/>
      <c r="W269" s="114"/>
    </row>
    <row r="270" spans="2:23">
      <c r="B270" s="114">
        <v>37</v>
      </c>
      <c r="C270" s="74">
        <f t="shared" si="108"/>
        <v>35</v>
      </c>
      <c r="D270" s="74">
        <f t="shared" si="109"/>
        <v>33</v>
      </c>
      <c r="E270" s="74">
        <f t="shared" si="110"/>
        <v>31</v>
      </c>
      <c r="F270" s="114">
        <v>29</v>
      </c>
      <c r="G270" s="74">
        <f t="shared" si="111"/>
        <v>27</v>
      </c>
      <c r="H270" s="74">
        <f t="shared" si="112"/>
        <v>25</v>
      </c>
      <c r="I270" s="74">
        <f t="shared" si="113"/>
        <v>23</v>
      </c>
      <c r="J270" s="114">
        <f t="shared" si="114"/>
        <v>21</v>
      </c>
      <c r="K270" s="74">
        <f t="shared" si="115"/>
        <v>19.5</v>
      </c>
      <c r="L270" s="74">
        <f t="shared" si="116"/>
        <v>18</v>
      </c>
      <c r="M270" s="74">
        <f t="shared" si="117"/>
        <v>16.5</v>
      </c>
      <c r="N270" s="114">
        <f t="shared" si="138"/>
        <v>15</v>
      </c>
      <c r="O270" s="74">
        <f t="shared" si="135"/>
        <v>15.5</v>
      </c>
      <c r="P270" s="74">
        <f t="shared" si="136"/>
        <v>16</v>
      </c>
      <c r="Q270" s="74">
        <f t="shared" si="137"/>
        <v>16.5</v>
      </c>
      <c r="R270" s="114">
        <v>17</v>
      </c>
      <c r="S270" s="129"/>
      <c r="T270" s="117">
        <f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15.440538461538463</v>
      </c>
      <c r="U270" s="117"/>
      <c r="V270" s="129"/>
      <c r="W270" s="114"/>
    </row>
    <row r="271" spans="2:23">
      <c r="B271" s="114">
        <v>38</v>
      </c>
      <c r="C271" s="74">
        <f t="shared" ref="C271:C289" si="139">SUM(0.25*(F271-B271),B271)</f>
        <v>35.75</v>
      </c>
      <c r="D271" s="74">
        <f t="shared" ref="D271:D289" si="140">SUM(0.5*(F271-B271)+B271)</f>
        <v>33.5</v>
      </c>
      <c r="E271" s="74">
        <f t="shared" ref="E271:E289" si="141">SUM(0.75*(F271-B271),B271)</f>
        <v>31.25</v>
      </c>
      <c r="F271" s="114">
        <v>29</v>
      </c>
      <c r="G271" s="74">
        <f t="shared" ref="G271:G289" si="142">SUM(0.25*(J271-F271),F271)</f>
        <v>26.75</v>
      </c>
      <c r="H271" s="74">
        <f t="shared" ref="H271:H289" si="143">SUM(0.5*(J271-F271),F271)</f>
        <v>24.5</v>
      </c>
      <c r="I271" s="74">
        <f t="shared" ref="I271:I289" si="144">SUM(0.75*(J271-F271),F271)</f>
        <v>22.25</v>
      </c>
      <c r="J271" s="114">
        <f t="shared" ref="J271:J289" si="145">SUM(F271,-B271,F271)</f>
        <v>20</v>
      </c>
      <c r="K271" s="74">
        <f t="shared" ref="K271:K289" si="146">SUM(0.25*(N271-J271),J271)</f>
        <v>18.3125</v>
      </c>
      <c r="L271" s="74">
        <f t="shared" ref="L271:L289" si="147">SUM(0.5*(N271-J271),J271)</f>
        <v>16.625</v>
      </c>
      <c r="M271" s="74">
        <f t="shared" ref="M271:M289" si="148">SUM(0.75*(N271-J271),J271)</f>
        <v>14.9375</v>
      </c>
      <c r="N271" s="114">
        <f t="shared" si="138"/>
        <v>13.25</v>
      </c>
      <c r="O271" s="74">
        <f t="shared" si="135"/>
        <v>14.1875</v>
      </c>
      <c r="P271" s="74">
        <f t="shared" si="136"/>
        <v>15.125</v>
      </c>
      <c r="Q271" s="74">
        <f t="shared" si="137"/>
        <v>16.0625</v>
      </c>
      <c r="R271" s="114">
        <v>17</v>
      </c>
      <c r="S271" s="129"/>
      <c r="T271" s="117">
        <f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15.334938461538462</v>
      </c>
      <c r="U271" s="117"/>
      <c r="V271" s="129"/>
      <c r="W271" s="114"/>
    </row>
    <row r="272" spans="2:23">
      <c r="B272" s="114">
        <v>39</v>
      </c>
      <c r="C272" s="74">
        <f t="shared" si="139"/>
        <v>36.5</v>
      </c>
      <c r="D272" s="74">
        <f t="shared" si="140"/>
        <v>34</v>
      </c>
      <c r="E272" s="74">
        <f t="shared" si="141"/>
        <v>31.5</v>
      </c>
      <c r="F272" s="114">
        <v>29</v>
      </c>
      <c r="G272" s="74">
        <f t="shared" si="142"/>
        <v>26.5</v>
      </c>
      <c r="H272" s="74">
        <f t="shared" si="143"/>
        <v>24</v>
      </c>
      <c r="I272" s="74">
        <f t="shared" si="144"/>
        <v>21.5</v>
      </c>
      <c r="J272" s="114">
        <f t="shared" si="145"/>
        <v>19</v>
      </c>
      <c r="K272" s="74">
        <f t="shared" si="146"/>
        <v>17.125</v>
      </c>
      <c r="L272" s="74">
        <f t="shared" si="147"/>
        <v>15.25</v>
      </c>
      <c r="M272" s="74">
        <f t="shared" si="148"/>
        <v>13.375</v>
      </c>
      <c r="N272" s="114">
        <f t="shared" si="138"/>
        <v>11.5</v>
      </c>
      <c r="O272" s="74">
        <f t="shared" si="135"/>
        <v>12.875</v>
      </c>
      <c r="P272" s="74">
        <f t="shared" si="136"/>
        <v>14.25</v>
      </c>
      <c r="Q272" s="74">
        <f t="shared" si="137"/>
        <v>15.625</v>
      </c>
      <c r="R272" s="114">
        <v>17</v>
      </c>
      <c r="S272" s="129"/>
      <c r="T272" s="117">
        <f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15.319538461538464</v>
      </c>
      <c r="U272" s="117"/>
      <c r="V272" s="129"/>
      <c r="W272" s="114"/>
    </row>
    <row r="273" spans="2:23">
      <c r="B273" s="114"/>
      <c r="C273" s="74"/>
      <c r="D273" s="74"/>
      <c r="E273" s="74"/>
      <c r="F273" s="114"/>
      <c r="G273" s="74"/>
      <c r="H273" s="74"/>
      <c r="I273" s="74"/>
      <c r="J273" s="114"/>
      <c r="K273" s="74"/>
      <c r="L273" s="74"/>
      <c r="M273" s="74"/>
      <c r="N273" s="114"/>
      <c r="O273" s="74"/>
      <c r="P273" s="74"/>
      <c r="Q273" s="74"/>
      <c r="R273" s="114"/>
      <c r="S273" s="129"/>
      <c r="T273" s="117"/>
      <c r="U273" s="117"/>
      <c r="V273" s="129"/>
      <c r="W273" s="114"/>
    </row>
    <row r="274" spans="2:23">
      <c r="B274" s="114">
        <v>35</v>
      </c>
      <c r="C274" s="74">
        <f t="shared" si="139"/>
        <v>33.75</v>
      </c>
      <c r="D274" s="74">
        <f t="shared" si="140"/>
        <v>32.5</v>
      </c>
      <c r="E274" s="74">
        <f t="shared" si="141"/>
        <v>31.25</v>
      </c>
      <c r="F274" s="114">
        <v>30</v>
      </c>
      <c r="G274" s="74">
        <f t="shared" si="142"/>
        <v>28.75</v>
      </c>
      <c r="H274" s="74">
        <f t="shared" si="143"/>
        <v>27.5</v>
      </c>
      <c r="I274" s="74">
        <f t="shared" si="144"/>
        <v>26.25</v>
      </c>
      <c r="J274" s="114">
        <f t="shared" si="145"/>
        <v>25</v>
      </c>
      <c r="K274" s="74">
        <f t="shared" si="146"/>
        <v>24.0625</v>
      </c>
      <c r="L274" s="74">
        <f t="shared" si="147"/>
        <v>23.125</v>
      </c>
      <c r="M274" s="74">
        <f t="shared" si="148"/>
        <v>22.1875</v>
      </c>
      <c r="N274" s="114">
        <f t="shared" si="138"/>
        <v>21.25</v>
      </c>
      <c r="O274" s="74">
        <f>SUM(0.25*(R274-N274),N274)</f>
        <v>20.1875</v>
      </c>
      <c r="P274" s="74">
        <f>SUM(0.5*(R274-N274),N274)</f>
        <v>19.125</v>
      </c>
      <c r="Q274" s="74">
        <f>SUM(0.75*(R274-N274),N274)</f>
        <v>18.0625</v>
      </c>
      <c r="R274" s="114">
        <v>17</v>
      </c>
      <c r="S274" s="129"/>
      <c r="T274" s="117">
        <f>SUM((AL20+AM20+AN19+AO19+AS17+AT17+AU16+AV16+AZ14+BA14+BE12+BF12+BG11+BH11+BI10+BJ10+BK9+BL9+BM8+BN8+BO7+BP7+BQ6+BR6+BS5+BT5+BU4+BV4)*0.132/2,(AP18+AQ18+AR18+AW15+AX15+AY15+BB13+BC13+BD13)*0.132/3,17)</f>
        <v>15.165538461538462</v>
      </c>
      <c r="U274" s="117"/>
      <c r="V274" s="129"/>
      <c r="W274" s="114"/>
    </row>
    <row r="275" spans="2:23">
      <c r="B275" s="114">
        <v>36</v>
      </c>
      <c r="C275" s="74">
        <f t="shared" si="139"/>
        <v>34.5</v>
      </c>
      <c r="D275" s="74">
        <f t="shared" si="140"/>
        <v>33</v>
      </c>
      <c r="E275" s="74">
        <f t="shared" si="141"/>
        <v>31.5</v>
      </c>
      <c r="F275" s="114">
        <v>30</v>
      </c>
      <c r="G275" s="74">
        <f t="shared" si="142"/>
        <v>28.5</v>
      </c>
      <c r="H275" s="74">
        <f t="shared" si="143"/>
        <v>27</v>
      </c>
      <c r="I275" s="74">
        <f t="shared" si="144"/>
        <v>25.5</v>
      </c>
      <c r="J275" s="114">
        <f t="shared" si="145"/>
        <v>24</v>
      </c>
      <c r="K275" s="74">
        <f t="shared" si="146"/>
        <v>22.875</v>
      </c>
      <c r="L275" s="74">
        <f t="shared" si="147"/>
        <v>21.75</v>
      </c>
      <c r="M275" s="74">
        <f t="shared" si="148"/>
        <v>20.625</v>
      </c>
      <c r="N275" s="114">
        <f t="shared" si="138"/>
        <v>19.5</v>
      </c>
      <c r="O275" s="74">
        <f>SUM(0.25*(R275-N275),N275)</f>
        <v>18.875</v>
      </c>
      <c r="P275" s="74">
        <f>SUM(0.5*(R275-N275),N275)</f>
        <v>18.25</v>
      </c>
      <c r="Q275" s="74">
        <f>SUM(0.75*(R275-N275),N275)</f>
        <v>17.625</v>
      </c>
      <c r="R275" s="114">
        <v>17</v>
      </c>
      <c r="S275" s="129"/>
      <c r="T275" s="117">
        <f>SUM((AJ20+AK20+AO18+AP18)*0.132/2,(AL19+AM19+AN19+AQ17+AR17+AS17+AT16+AU16+AV16+AW15+AX15+AY15+AZ14+BA14+BB14+BC13+BD13+BE13+BF12+BG12+BH12+BI11+BJ11+BK11+BN9+BO9+BP9)*0.132/3,(BL10+BM10+BQ8+BR8+BQ7+BP7+BO6+BN6+BM5+BL5+BK4+BJ4)*0.132/2,17)</f>
        <v>15.517538461538461</v>
      </c>
      <c r="U275" s="117"/>
      <c r="V275" s="129"/>
      <c r="W275" s="114"/>
    </row>
    <row r="276" spans="2:23">
      <c r="B276" s="114">
        <v>37</v>
      </c>
      <c r="C276" s="74">
        <f t="shared" si="139"/>
        <v>35.25</v>
      </c>
      <c r="D276" s="74">
        <f t="shared" si="140"/>
        <v>33.5</v>
      </c>
      <c r="E276" s="74">
        <f t="shared" si="141"/>
        <v>31.75</v>
      </c>
      <c r="F276" s="114">
        <v>30</v>
      </c>
      <c r="G276" s="74">
        <f t="shared" si="142"/>
        <v>28.25</v>
      </c>
      <c r="H276" s="74">
        <f t="shared" si="143"/>
        <v>26.5</v>
      </c>
      <c r="I276" s="74">
        <f t="shared" si="144"/>
        <v>24.75</v>
      </c>
      <c r="J276" s="114">
        <f t="shared" si="145"/>
        <v>23</v>
      </c>
      <c r="K276" s="74">
        <f t="shared" si="146"/>
        <v>21.6875</v>
      </c>
      <c r="L276" s="74">
        <f t="shared" si="147"/>
        <v>20.375</v>
      </c>
      <c r="M276" s="74">
        <f t="shared" si="148"/>
        <v>19.0625</v>
      </c>
      <c r="N276" s="114">
        <f t="shared" si="138"/>
        <v>17.75</v>
      </c>
      <c r="O276" s="74">
        <f>SUM(0.25*(R276-N276),N276)</f>
        <v>17.5625</v>
      </c>
      <c r="P276" s="74">
        <f>SUM(0.5*(R276-N276),N276)</f>
        <v>17.375</v>
      </c>
      <c r="Q276" s="74">
        <f>SUM(0.75*(R276-N276),N276)</f>
        <v>17.1875</v>
      </c>
      <c r="R276" s="114">
        <v>17</v>
      </c>
      <c r="S276" s="129"/>
      <c r="T276" s="117">
        <f>SUM((AH20+AI20+AJ20+AK19+AL19+AM19+AN18+AO18+AP18+AQ17+AR17+AS17+AT16+AU16+AV16+BA14+BB14+BC14+BH12+BI12+BJ12+BK11+BL11+BM11+BN10+BO10+BP10+BQ9+BR9+BS9+BT8+BU8+BV8)*0.132/3,(AW15+AX15+AY15+AZ15+BD13+BE13+BF13+BG13)*0.132/4,(BV7+BV6+BV5+BV4)*0.132,17)</f>
        <v>15.121538461538462</v>
      </c>
      <c r="U276" s="117"/>
      <c r="V276" s="129"/>
      <c r="W276" s="114"/>
    </row>
    <row r="277" spans="2:23">
      <c r="B277" s="114">
        <v>38</v>
      </c>
      <c r="C277" s="74">
        <f t="shared" si="139"/>
        <v>36</v>
      </c>
      <c r="D277" s="74">
        <f t="shared" si="140"/>
        <v>34</v>
      </c>
      <c r="E277" s="74">
        <f t="shared" si="141"/>
        <v>32</v>
      </c>
      <c r="F277" s="114">
        <v>30</v>
      </c>
      <c r="G277" s="74">
        <f t="shared" si="142"/>
        <v>28</v>
      </c>
      <c r="H277" s="74">
        <f t="shared" si="143"/>
        <v>26</v>
      </c>
      <c r="I277" s="74">
        <f t="shared" si="144"/>
        <v>24</v>
      </c>
      <c r="J277" s="114">
        <f t="shared" si="145"/>
        <v>22</v>
      </c>
      <c r="K277" s="74">
        <f t="shared" si="146"/>
        <v>20.5</v>
      </c>
      <c r="L277" s="74">
        <f t="shared" si="147"/>
        <v>19</v>
      </c>
      <c r="M277" s="74">
        <f t="shared" si="148"/>
        <v>17.5</v>
      </c>
      <c r="N277" s="114">
        <f t="shared" si="138"/>
        <v>16</v>
      </c>
      <c r="O277" s="74">
        <f>SUM(0.25*(R277-N277),N277)</f>
        <v>16.25</v>
      </c>
      <c r="P277" s="74">
        <f>SUM(0.5*(R277-N277),N277)</f>
        <v>16.5</v>
      </c>
      <c r="Q277" s="74">
        <f>SUM(0.75*(R277-N277),N277)</f>
        <v>16.75</v>
      </c>
      <c r="R277" s="114">
        <v>17</v>
      </c>
      <c r="S277" s="129"/>
      <c r="T277" s="117">
        <f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15.319538461538462</v>
      </c>
      <c r="U277" s="117"/>
      <c r="V277" s="129"/>
      <c r="W277" s="114"/>
    </row>
    <row r="278" spans="2:23">
      <c r="B278" s="114">
        <v>39</v>
      </c>
      <c r="C278" s="74">
        <f t="shared" si="139"/>
        <v>36.75</v>
      </c>
      <c r="D278" s="74">
        <f t="shared" si="140"/>
        <v>34.5</v>
      </c>
      <c r="E278" s="74">
        <f t="shared" si="141"/>
        <v>32.25</v>
      </c>
      <c r="F278" s="114">
        <v>30</v>
      </c>
      <c r="G278" s="74">
        <f t="shared" si="142"/>
        <v>27.75</v>
      </c>
      <c r="H278" s="74">
        <f t="shared" si="143"/>
        <v>25.5</v>
      </c>
      <c r="I278" s="74">
        <f t="shared" si="144"/>
        <v>23.25</v>
      </c>
      <c r="J278" s="114">
        <f t="shared" si="145"/>
        <v>21</v>
      </c>
      <c r="K278" s="74">
        <f t="shared" si="146"/>
        <v>19.3125</v>
      </c>
      <c r="L278" s="74">
        <f t="shared" si="147"/>
        <v>17.625</v>
      </c>
      <c r="M278" s="74">
        <f t="shared" si="148"/>
        <v>15.9375</v>
      </c>
      <c r="N278" s="114">
        <f t="shared" si="138"/>
        <v>14.25</v>
      </c>
      <c r="O278" s="74">
        <f>SUM(0.25*(R278-N278),N278)</f>
        <v>14.9375</v>
      </c>
      <c r="P278" s="74">
        <f>SUM(0.5*(R278-N278),N278)</f>
        <v>15.625</v>
      </c>
      <c r="Q278" s="74">
        <f>SUM(0.75*(R278-N278),N278)</f>
        <v>16.3125</v>
      </c>
      <c r="R278" s="114">
        <v>17</v>
      </c>
      <c r="S278" s="129"/>
      <c r="T278" s="117">
        <f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15.198538461538462</v>
      </c>
      <c r="U278" s="117"/>
      <c r="V278" s="129"/>
      <c r="W278" s="114"/>
    </row>
    <row r="279" spans="2:23">
      <c r="B279" s="114"/>
      <c r="C279" s="74"/>
      <c r="D279" s="74"/>
      <c r="E279" s="74"/>
      <c r="F279" s="114"/>
      <c r="G279" s="74"/>
      <c r="H279" s="74"/>
      <c r="I279" s="74"/>
      <c r="J279" s="114"/>
      <c r="K279" s="74"/>
      <c r="L279" s="74"/>
      <c r="M279" s="74"/>
      <c r="N279" s="114"/>
      <c r="O279" s="74"/>
      <c r="P279" s="74"/>
      <c r="Q279" s="74"/>
      <c r="R279" s="114"/>
      <c r="S279" s="129"/>
      <c r="T279" s="117"/>
      <c r="U279" s="117"/>
      <c r="V279" s="129"/>
      <c r="W279" s="114"/>
    </row>
    <row r="280" spans="2:23">
      <c r="B280" s="114">
        <v>36</v>
      </c>
      <c r="C280" s="74">
        <f t="shared" si="139"/>
        <v>34.75</v>
      </c>
      <c r="D280" s="74">
        <f t="shared" si="140"/>
        <v>33.5</v>
      </c>
      <c r="E280" s="74">
        <f t="shared" si="141"/>
        <v>32.25</v>
      </c>
      <c r="F280" s="114">
        <v>31</v>
      </c>
      <c r="G280" s="74">
        <f t="shared" si="142"/>
        <v>29.75</v>
      </c>
      <c r="H280" s="74">
        <f t="shared" si="143"/>
        <v>28.5</v>
      </c>
      <c r="I280" s="74">
        <f t="shared" si="144"/>
        <v>27.25</v>
      </c>
      <c r="J280" s="114">
        <f t="shared" si="145"/>
        <v>26</v>
      </c>
      <c r="K280" s="74">
        <f t="shared" si="146"/>
        <v>25.0625</v>
      </c>
      <c r="L280" s="74">
        <f t="shared" si="147"/>
        <v>24.125</v>
      </c>
      <c r="M280" s="74">
        <f t="shared" si="148"/>
        <v>23.1875</v>
      </c>
      <c r="N280" s="114">
        <f t="shared" si="138"/>
        <v>22.25</v>
      </c>
      <c r="O280" s="74">
        <f>SUM(0.25*(R280-N280),N280)</f>
        <v>20.9375</v>
      </c>
      <c r="P280" s="74">
        <f>SUM(0.5*(R280-N280),N280)</f>
        <v>19.625</v>
      </c>
      <c r="Q280" s="74">
        <f>SUM(0.75*(R280-N280),N280)</f>
        <v>18.3125</v>
      </c>
      <c r="R280" s="114">
        <v>17</v>
      </c>
      <c r="S280" s="129"/>
      <c r="T280" s="117">
        <f>SUM((AJ20+AK20+AL19+AM19+AQ17+AR17+AS16+AT16+AX14+AY14+BC12+BD12+BH10+BI10+BM8+BN8+BO7+BP7+BQ6+BR6+BS5+BT5+BU4+BV4)*0.132/2,(AN18+AO18+AP18+AU15+AV15+AW15+AZ13+BA13+BB13+BE11+BF11+BG11+BJ9+BK9+BL9)*0.132/3,17)</f>
        <v>14.461538461538462</v>
      </c>
      <c r="U280" s="117"/>
      <c r="V280" s="129"/>
      <c r="W280" s="114"/>
    </row>
    <row r="281" spans="2:23">
      <c r="B281" s="114">
        <v>37</v>
      </c>
      <c r="C281" s="74">
        <f t="shared" si="139"/>
        <v>35.5</v>
      </c>
      <c r="D281" s="74">
        <f t="shared" si="140"/>
        <v>34</v>
      </c>
      <c r="E281" s="74">
        <f t="shared" si="141"/>
        <v>32.5</v>
      </c>
      <c r="F281" s="114">
        <v>31</v>
      </c>
      <c r="G281" s="74">
        <f t="shared" si="142"/>
        <v>29.5</v>
      </c>
      <c r="H281" s="74">
        <f t="shared" si="143"/>
        <v>28</v>
      </c>
      <c r="I281" s="74">
        <f t="shared" si="144"/>
        <v>26.5</v>
      </c>
      <c r="J281" s="114">
        <f t="shared" si="145"/>
        <v>25</v>
      </c>
      <c r="K281" s="74">
        <f t="shared" si="146"/>
        <v>23.875</v>
      </c>
      <c r="L281" s="74">
        <f t="shared" si="147"/>
        <v>22.75</v>
      </c>
      <c r="M281" s="74">
        <f t="shared" si="148"/>
        <v>21.625</v>
      </c>
      <c r="N281" s="114">
        <f t="shared" si="138"/>
        <v>20.5</v>
      </c>
      <c r="O281" s="74">
        <f>SUM(0.25*(R281-N281),N281)</f>
        <v>19.625</v>
      </c>
      <c r="P281" s="74">
        <f>SUM(0.5*(R281-N281),N281)</f>
        <v>18.75</v>
      </c>
      <c r="Q281" s="74">
        <f>SUM(0.75*(R281-N281),N281)</f>
        <v>17.875</v>
      </c>
      <c r="R281" s="114">
        <v>17</v>
      </c>
      <c r="S281" s="129"/>
      <c r="T281" s="117">
        <f>SUM((AH20+AI20+AM18+AN18)*0.132/2,(AJ19+AK19+AL19+AO17+AP17+AQ17+AR16+AS16+AT16+AU15+AV15+AW15+AX14+AY14+AZ14+BA13+BB13+BC13+BD12+BE12+BF12+BG11+BH11+BI11+BL9+BM9+BN9)*0.132/3,(BJ10+BK10+BO8+BP8++BS5+BT5+BU4+BV4)*0.132/2,(BQ7+BR6)*0.132,17)</f>
        <v>14.791538461538462</v>
      </c>
      <c r="U281" s="117"/>
      <c r="V281" s="129"/>
      <c r="W281" s="114"/>
    </row>
    <row r="282" spans="2:23">
      <c r="B282" s="114">
        <v>38</v>
      </c>
      <c r="C282" s="74">
        <f t="shared" si="139"/>
        <v>36.25</v>
      </c>
      <c r="D282" s="74">
        <f t="shared" si="140"/>
        <v>34.5</v>
      </c>
      <c r="E282" s="74">
        <f t="shared" si="141"/>
        <v>32.75</v>
      </c>
      <c r="F282" s="114">
        <v>31</v>
      </c>
      <c r="G282" s="74">
        <f t="shared" si="142"/>
        <v>29.25</v>
      </c>
      <c r="H282" s="74">
        <f t="shared" si="143"/>
        <v>27.5</v>
      </c>
      <c r="I282" s="74">
        <f t="shared" si="144"/>
        <v>25.75</v>
      </c>
      <c r="J282" s="114">
        <f t="shared" si="145"/>
        <v>24</v>
      </c>
      <c r="K282" s="74">
        <f t="shared" si="146"/>
        <v>22.6875</v>
      </c>
      <c r="L282" s="74">
        <f t="shared" si="147"/>
        <v>21.375</v>
      </c>
      <c r="M282" s="74">
        <f t="shared" si="148"/>
        <v>20.0625</v>
      </c>
      <c r="N282" s="114">
        <f t="shared" si="138"/>
        <v>18.75</v>
      </c>
      <c r="O282" s="74">
        <f>SUM(0.25*(R282-N282),N282)</f>
        <v>18.3125</v>
      </c>
      <c r="P282" s="74">
        <f>SUM(0.5*(R282-N282),N282)</f>
        <v>17.875</v>
      </c>
      <c r="Q282" s="74">
        <f>SUM(0.75*(R282-N282),N282)</f>
        <v>17.4375</v>
      </c>
      <c r="R282" s="114">
        <v>17</v>
      </c>
      <c r="S282" s="129"/>
      <c r="T282" s="117">
        <f>SUM((AF20+AG20+AH20+AI19+AJ19+AK19+AL18+AM18+AN18+AO17+AP17+AQ17+AR16+AS16+AT16+AY14+AZ14+BA14+BF12+BG12+BH12+BI11+BJ11+BK11+BL10+BM10+BN10+BO9+BP9+BQ9+BR8+BS8+BT8)*0.132/3,(AU15+AV15+AW15+AX15+BB13+BC13+BD13+BE13)*0.132/4,(BU7+BU6+BV5+BV4)*0.132,17)</f>
        <v>15.033538461538461</v>
      </c>
      <c r="U282" s="117"/>
      <c r="V282" s="129"/>
      <c r="W282" s="114"/>
    </row>
    <row r="283" spans="2:23">
      <c r="B283" s="114">
        <v>39</v>
      </c>
      <c r="C283" s="74">
        <f t="shared" si="139"/>
        <v>37</v>
      </c>
      <c r="D283" s="74">
        <f t="shared" si="140"/>
        <v>35</v>
      </c>
      <c r="E283" s="74">
        <f t="shared" si="141"/>
        <v>33</v>
      </c>
      <c r="F283" s="114">
        <v>31</v>
      </c>
      <c r="G283" s="74">
        <f t="shared" si="142"/>
        <v>29</v>
      </c>
      <c r="H283" s="74">
        <f t="shared" si="143"/>
        <v>27</v>
      </c>
      <c r="I283" s="74">
        <f t="shared" si="144"/>
        <v>25</v>
      </c>
      <c r="J283" s="114">
        <f t="shared" si="145"/>
        <v>23</v>
      </c>
      <c r="K283" s="74">
        <f t="shared" si="146"/>
        <v>21.5</v>
      </c>
      <c r="L283" s="74">
        <f t="shared" si="147"/>
        <v>20</v>
      </c>
      <c r="M283" s="74">
        <f t="shared" si="148"/>
        <v>18.5</v>
      </c>
      <c r="N283" s="114">
        <f t="shared" si="138"/>
        <v>17</v>
      </c>
      <c r="O283" s="74">
        <f>SUM(0.25*(R283-N283),N283)</f>
        <v>17</v>
      </c>
      <c r="P283" s="74">
        <f>SUM(0.5*(R283-N283),N283)</f>
        <v>17</v>
      </c>
      <c r="Q283" s="74">
        <f>SUM(0.75*(R283-N283),N283)</f>
        <v>17</v>
      </c>
      <c r="R283" s="114">
        <v>17</v>
      </c>
      <c r="S283" s="129"/>
      <c r="T283" s="117">
        <f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14.923538461538461</v>
      </c>
      <c r="U283" s="117"/>
      <c r="V283" s="129"/>
      <c r="W283" s="114"/>
    </row>
    <row r="284" spans="2:23">
      <c r="B284" s="114"/>
      <c r="C284" s="74"/>
      <c r="D284" s="74"/>
      <c r="E284" s="74"/>
      <c r="F284" s="114"/>
      <c r="G284" s="74"/>
      <c r="H284" s="74"/>
      <c r="I284" s="74"/>
      <c r="J284" s="114"/>
      <c r="K284" s="74"/>
      <c r="L284" s="74"/>
      <c r="M284" s="74"/>
      <c r="N284" s="114"/>
      <c r="O284" s="74"/>
      <c r="P284" s="74"/>
      <c r="Q284" s="74"/>
      <c r="R284" s="114"/>
      <c r="S284" s="129"/>
      <c r="T284" s="117"/>
      <c r="U284" s="117"/>
      <c r="V284" s="129"/>
      <c r="W284" s="114"/>
    </row>
    <row r="285" spans="2:23">
      <c r="B285" s="114">
        <v>37</v>
      </c>
      <c r="C285" s="74">
        <f t="shared" si="139"/>
        <v>35.75</v>
      </c>
      <c r="D285" s="74">
        <f t="shared" si="140"/>
        <v>34.5</v>
      </c>
      <c r="E285" s="74">
        <f t="shared" si="141"/>
        <v>33.25</v>
      </c>
      <c r="F285" s="114">
        <v>32</v>
      </c>
      <c r="G285" s="74">
        <f t="shared" si="142"/>
        <v>30.75</v>
      </c>
      <c r="H285" s="74">
        <f t="shared" si="143"/>
        <v>29.5</v>
      </c>
      <c r="I285" s="74">
        <f t="shared" si="144"/>
        <v>28.25</v>
      </c>
      <c r="J285" s="114">
        <f t="shared" si="145"/>
        <v>27</v>
      </c>
      <c r="K285" s="74">
        <f t="shared" si="146"/>
        <v>25.75</v>
      </c>
      <c r="L285" s="74">
        <f t="shared" si="147"/>
        <v>24.5</v>
      </c>
      <c r="M285" s="74">
        <f t="shared" si="148"/>
        <v>23.25</v>
      </c>
      <c r="N285" s="114">
        <f>SUM(J285,J285,-F285)</f>
        <v>22</v>
      </c>
      <c r="O285" s="74">
        <f>SUM(0.25*(R285-N285),N285)</f>
        <v>20.75</v>
      </c>
      <c r="P285" s="74">
        <f>SUM(0.5*(R285-N285),N285)</f>
        <v>19.5</v>
      </c>
      <c r="Q285" s="74">
        <f>SUM(0.75*(R285-N285),N285)</f>
        <v>18.25</v>
      </c>
      <c r="R285" s="114">
        <v>17</v>
      </c>
      <c r="S285" s="129"/>
      <c r="T285" s="117">
        <f>SUM((AH20+AI20+AJ19+AK19+AO17+AP17+AQ16+AR16+AV14+AW14+BA12+BB12+BF10+BG10+BK8+BL8+BP6+BQ6+BU4+BV4)*0.132/2,(AL18+AM18+AN18+AS15+AT15+AU15+AX13+AY13+AZ13+BC11+BD11+BE11+BH9+BI9+BJ9+BM7+BN7+BO7+BR5+BS5+BT5)*0.132/3,17)</f>
        <v>14.703538461538463</v>
      </c>
      <c r="U285" s="117"/>
      <c r="V285" s="129"/>
      <c r="W285" s="114"/>
    </row>
    <row r="286" spans="2:23">
      <c r="B286" s="114">
        <v>38</v>
      </c>
      <c r="C286" s="74">
        <f t="shared" si="139"/>
        <v>36.5</v>
      </c>
      <c r="D286" s="74">
        <f t="shared" si="140"/>
        <v>35</v>
      </c>
      <c r="E286" s="74">
        <f t="shared" si="141"/>
        <v>33.5</v>
      </c>
      <c r="F286" s="114">
        <v>32</v>
      </c>
      <c r="G286" s="74">
        <f t="shared" si="142"/>
        <v>30.5</v>
      </c>
      <c r="H286" s="74">
        <f t="shared" si="143"/>
        <v>29</v>
      </c>
      <c r="I286" s="74">
        <f t="shared" si="144"/>
        <v>27.5</v>
      </c>
      <c r="J286" s="114">
        <f t="shared" si="145"/>
        <v>26</v>
      </c>
      <c r="K286" s="74">
        <f t="shared" si="146"/>
        <v>24.875</v>
      </c>
      <c r="L286" s="74">
        <f t="shared" si="147"/>
        <v>23.75</v>
      </c>
      <c r="M286" s="74">
        <f t="shared" si="148"/>
        <v>22.625</v>
      </c>
      <c r="N286" s="114">
        <f t="shared" si="138"/>
        <v>21.5</v>
      </c>
      <c r="O286" s="74">
        <f>SUM(0.25*(R286-N286),N286)</f>
        <v>20.375</v>
      </c>
      <c r="P286" s="74">
        <f>SUM(0.5*(R286-N286),N286)</f>
        <v>19.25</v>
      </c>
      <c r="Q286" s="74">
        <f>SUM(0.75*(R286-N286),N286)</f>
        <v>18.125</v>
      </c>
      <c r="R286" s="114">
        <v>17</v>
      </c>
      <c r="S286" s="129"/>
      <c r="T286" s="117">
        <f>SUM((AF20+AG20+AK18+AL18)*0.132/2,(AH19+AI19+AJ19+AM17+AN17+AO17+AP16+AQ16+AR16+AS15+AT15+AU15+AV14+AW14+AX14+AY13+AZ13+BA13+BB12+BC12+BD12+BE11+BF11+BG11+BJ9+BK9+BL9)*0.132/3,(BH10+BI10+BM8+BN8+BO7+BP7+BQ6+BR6+BS5+BT5+BU4+BV4)*0.132/2,17)</f>
        <v>14.703538461538461</v>
      </c>
      <c r="U286" s="117"/>
      <c r="V286" s="129"/>
      <c r="W286" s="114"/>
    </row>
    <row r="287" spans="2:23">
      <c r="B287" s="114">
        <v>39</v>
      </c>
      <c r="C287" s="74">
        <f t="shared" si="139"/>
        <v>37.25</v>
      </c>
      <c r="D287" s="74">
        <f t="shared" si="140"/>
        <v>35.5</v>
      </c>
      <c r="E287" s="74">
        <f t="shared" si="141"/>
        <v>33.75</v>
      </c>
      <c r="F287" s="114">
        <v>32</v>
      </c>
      <c r="G287" s="74">
        <f t="shared" si="142"/>
        <v>30.25</v>
      </c>
      <c r="H287" s="74">
        <f t="shared" si="143"/>
        <v>28.5</v>
      </c>
      <c r="I287" s="74">
        <f t="shared" si="144"/>
        <v>26.75</v>
      </c>
      <c r="J287" s="114">
        <f t="shared" si="145"/>
        <v>25</v>
      </c>
      <c r="K287" s="74">
        <f t="shared" si="146"/>
        <v>23.6875</v>
      </c>
      <c r="L287" s="74">
        <f t="shared" si="147"/>
        <v>22.375</v>
      </c>
      <c r="M287" s="74">
        <f t="shared" si="148"/>
        <v>21.0625</v>
      </c>
      <c r="N287" s="114">
        <f t="shared" si="138"/>
        <v>19.75</v>
      </c>
      <c r="O287" s="74">
        <f>SUM(0.25*(R287-N287),N287)</f>
        <v>19.0625</v>
      </c>
      <c r="P287" s="74">
        <f>SUM(0.5*(R287-N287),N287)</f>
        <v>18.375</v>
      </c>
      <c r="Q287" s="74">
        <f>SUM(0.75*(R287-N287),N287)</f>
        <v>17.6875</v>
      </c>
      <c r="R287" s="114">
        <v>17</v>
      </c>
      <c r="S287" s="129"/>
      <c r="T287" s="117">
        <f>SUM((AD20+AE20+AF20+AG19+AH19+AI19+AJ18+AK18+AL18+AM17+AN17+AO17+AP16+AQ16+AR16+AW14+AX14+AY14+BD12+BE12+BF12+BG11+BH11+BI11+BJ10+BK10+BL10+BM9+BN9+BO9+BP8+BQ8+BR8)*0.132/3,(AS15+AT15+AU15+AV15+AZ13+BA13+BB13+BC13)*0.132/4,(BS7+BT6+BU5+BV4)*0.132,17)</f>
        <v>14.747538461538461</v>
      </c>
      <c r="U287" s="117"/>
      <c r="V287" s="129"/>
      <c r="W287" s="114"/>
    </row>
    <row r="288" spans="2:23">
      <c r="B288" s="114"/>
      <c r="C288" s="74"/>
      <c r="D288" s="74"/>
      <c r="E288" s="74"/>
      <c r="F288" s="114"/>
      <c r="G288" s="74"/>
      <c r="H288" s="74"/>
      <c r="I288" s="74"/>
      <c r="J288" s="114"/>
      <c r="K288" s="74"/>
      <c r="L288" s="74"/>
      <c r="M288" s="74"/>
      <c r="N288" s="114"/>
      <c r="O288" s="74"/>
      <c r="P288" s="74"/>
      <c r="Q288" s="74"/>
      <c r="R288" s="114"/>
      <c r="S288" s="129"/>
      <c r="T288" s="117"/>
      <c r="U288" s="117"/>
      <c r="V288" s="129"/>
      <c r="W288" s="114"/>
    </row>
    <row r="289" spans="1:23">
      <c r="B289" s="114">
        <v>39</v>
      </c>
      <c r="C289" s="74">
        <f t="shared" si="139"/>
        <v>37.5</v>
      </c>
      <c r="D289" s="74">
        <f t="shared" si="140"/>
        <v>36</v>
      </c>
      <c r="E289" s="74">
        <f t="shared" si="141"/>
        <v>34.5</v>
      </c>
      <c r="F289" s="114">
        <v>33</v>
      </c>
      <c r="G289" s="74">
        <f t="shared" si="142"/>
        <v>31.5</v>
      </c>
      <c r="H289" s="74">
        <f t="shared" si="143"/>
        <v>30</v>
      </c>
      <c r="I289" s="74">
        <f t="shared" si="144"/>
        <v>28.5</v>
      </c>
      <c r="J289" s="114">
        <f t="shared" si="145"/>
        <v>27</v>
      </c>
      <c r="K289" s="74">
        <f t="shared" si="146"/>
        <v>25.875</v>
      </c>
      <c r="L289" s="74">
        <f t="shared" si="147"/>
        <v>24.75</v>
      </c>
      <c r="M289" s="74">
        <f t="shared" si="148"/>
        <v>23.625</v>
      </c>
      <c r="N289" s="114">
        <f t="shared" si="138"/>
        <v>22.5</v>
      </c>
      <c r="O289" s="74">
        <f>SUM(0.25*(R289-N289),N289)</f>
        <v>21.125</v>
      </c>
      <c r="P289" s="74">
        <f>SUM(0.5*(R289-N289),N289)</f>
        <v>19.75</v>
      </c>
      <c r="Q289" s="74">
        <f>SUM(0.75*(R289-N289),N289)</f>
        <v>18.375</v>
      </c>
      <c r="R289" s="114">
        <v>17</v>
      </c>
      <c r="S289" s="129"/>
      <c r="T289" s="117">
        <f>SUM((AD20+AE20+AI18+AJ18)*0.132/2,(AF19+AG19+AH19+AK17+AL17+AM17+AN16+AO16+AP16+AQ15+AR15+AS15+AT14+AU14+AV14+AW13+AX13+AY13+AZ12+BA12+BB12+BC11+BD11+BE11+BH9+BI9+BJ9)*0.132/3,(BF10+BG10+BK8+BL8)*0.132/2,(BK7+BK6+BJ5+BJ4)*0.132,17)</f>
        <v>15.033538461538463</v>
      </c>
      <c r="U289" s="117"/>
      <c r="V289" s="129"/>
      <c r="W289" s="114"/>
    </row>
    <row r="290" spans="1:23">
      <c r="B290" s="111"/>
      <c r="F290" s="111"/>
      <c r="J290" s="111"/>
      <c r="N290" s="111"/>
      <c r="R290" s="111"/>
      <c r="S290" s="128"/>
      <c r="T290" s="117"/>
      <c r="U290" s="117"/>
      <c r="V290" s="129"/>
      <c r="W290" s="114"/>
    </row>
    <row r="291" spans="1:23">
      <c r="A291" s="84" t="s">
        <v>177</v>
      </c>
      <c r="B291" s="111">
        <f>COUNT(B11:B289)</f>
        <v>247</v>
      </c>
      <c r="C291" s="111" t="s">
        <v>182</v>
      </c>
      <c r="D291" s="111">
        <f>$B$291</f>
        <v>247</v>
      </c>
      <c r="E291" s="111" t="s">
        <v>181</v>
      </c>
      <c r="F291" s="111">
        <f>PRODUCT(B291,2)</f>
        <v>494</v>
      </c>
      <c r="J291" s="111"/>
      <c r="N291" s="111"/>
      <c r="R291" s="111"/>
      <c r="S291" s="128"/>
      <c r="T291" s="117"/>
      <c r="U291" s="117"/>
      <c r="V291" s="129"/>
      <c r="W291" s="114"/>
    </row>
    <row r="292" spans="1:23" ht="25.5">
      <c r="B292" s="111"/>
      <c r="F292" s="111"/>
      <c r="I292" s="116" t="s">
        <v>175</v>
      </c>
      <c r="J292" s="111"/>
      <c r="M292" s="111"/>
      <c r="N292" s="112"/>
      <c r="R292" s="111"/>
      <c r="S292" s="128"/>
      <c r="T292" s="117"/>
      <c r="U292" s="117"/>
      <c r="V292" s="129"/>
      <c r="W292" s="114"/>
    </row>
    <row r="293" spans="1:23">
      <c r="B293" s="111"/>
      <c r="F293" s="111"/>
      <c r="J293" s="111"/>
      <c r="M293" s="111"/>
      <c r="N293" s="112"/>
      <c r="R293" s="111"/>
      <c r="S293" s="128"/>
      <c r="T293" s="117"/>
      <c r="U293" s="117"/>
      <c r="V293" s="129"/>
      <c r="W293" s="114"/>
    </row>
    <row r="294" spans="1:23">
      <c r="B294" s="111"/>
      <c r="F294" s="111"/>
      <c r="J294" s="111"/>
      <c r="M294" s="111"/>
      <c r="N294" s="112"/>
      <c r="R294" s="111"/>
      <c r="S294" s="128"/>
      <c r="T294" s="117"/>
      <c r="U294" s="117"/>
      <c r="V294" s="129"/>
      <c r="W294" s="114"/>
    </row>
    <row r="295" spans="1:23">
      <c r="B295" s="111" t="s">
        <v>127</v>
      </c>
      <c r="F295" s="113" t="s">
        <v>128</v>
      </c>
      <c r="J295" s="111"/>
      <c r="M295" s="111" t="s">
        <v>129</v>
      </c>
      <c r="N295" s="112"/>
      <c r="R295" s="111"/>
      <c r="S295" s="128"/>
      <c r="T295" s="117"/>
      <c r="U295" s="117"/>
      <c r="V295" s="129"/>
      <c r="W295" s="114"/>
    </row>
    <row r="296" spans="1:23">
      <c r="B296" s="114">
        <v>0</v>
      </c>
      <c r="C296" s="74">
        <f t="shared" ref="C296" si="149">SUM(0.25*(F296-B296),B296)</f>
        <v>3.75</v>
      </c>
      <c r="D296" s="74">
        <f t="shared" ref="D296" si="150">SUM(0.5*(F296-B296)+B296)</f>
        <v>7.5</v>
      </c>
      <c r="E296" s="74">
        <f t="shared" ref="E296" si="151">SUM(0.75*(F296-B296),B296)</f>
        <v>11.25</v>
      </c>
      <c r="F296" s="114">
        <v>15</v>
      </c>
      <c r="G296" s="74">
        <f t="shared" ref="G296" si="152">SUM(0.25*(J296-F296),F296)</f>
        <v>18.75</v>
      </c>
      <c r="H296" s="74">
        <f t="shared" ref="H296" si="153">SUM(0.5*(J296-F296)+F296)</f>
        <v>22.5</v>
      </c>
      <c r="I296" s="74">
        <f t="shared" ref="I296" si="154">SUM(0.75*(J296-F296),F296)</f>
        <v>26.25</v>
      </c>
      <c r="J296" s="114">
        <v>30</v>
      </c>
      <c r="K296" s="74">
        <f t="shared" ref="K296" si="155">SUM(0.25*(N296-J296),J296)</f>
        <v>33.75</v>
      </c>
      <c r="L296" s="74">
        <f t="shared" ref="L296" si="156">SUM(0.5*(N296-J296)+J296)</f>
        <v>37.5</v>
      </c>
      <c r="M296" s="114">
        <f t="shared" ref="M296" si="157">SUM(0.75*(N296-J296),J296)</f>
        <v>41.25</v>
      </c>
      <c r="N296" s="115">
        <v>45</v>
      </c>
      <c r="O296" s="74">
        <f>SUM(0.25*(R296-N296),N296)</f>
        <v>48.75</v>
      </c>
      <c r="P296" s="74">
        <f>SUM(0.5*(R296-N296)+N296)</f>
        <v>52.5</v>
      </c>
      <c r="Q296" s="74">
        <f>SUM(0.75*(R296-N296),N296)</f>
        <v>56.25</v>
      </c>
      <c r="R296" s="114">
        <v>60</v>
      </c>
      <c r="S296" s="129"/>
      <c r="T296" s="117"/>
      <c r="U296" s="117"/>
      <c r="V296" s="129"/>
      <c r="W296" s="114"/>
    </row>
    <row r="297" spans="1:23">
      <c r="A297" s="112" t="s">
        <v>126</v>
      </c>
      <c r="B297" s="114"/>
      <c r="C297" s="74"/>
      <c r="D297" s="74"/>
      <c r="E297" s="74"/>
      <c r="F297" s="114"/>
      <c r="G297" s="74"/>
      <c r="H297" s="74"/>
      <c r="I297" s="74"/>
      <c r="J297" s="114"/>
      <c r="K297" s="74"/>
      <c r="L297" s="74"/>
      <c r="M297" s="114"/>
      <c r="N297" s="115"/>
      <c r="O297" s="74"/>
      <c r="P297" s="74"/>
      <c r="Q297" s="74"/>
      <c r="R297" s="114"/>
      <c r="S297" s="129"/>
      <c r="T297" s="117"/>
      <c r="U297" s="117"/>
      <c r="V297" s="129"/>
      <c r="W297" s="114"/>
    </row>
    <row r="298" spans="1:23">
      <c r="B298" s="114">
        <v>3.5</v>
      </c>
      <c r="C298" s="74">
        <v>7</v>
      </c>
      <c r="D298" s="74">
        <v>10.5</v>
      </c>
      <c r="E298" s="74">
        <v>14</v>
      </c>
      <c r="F298" s="114">
        <v>17.5</v>
      </c>
      <c r="G298" s="74">
        <v>21</v>
      </c>
      <c r="H298" s="74">
        <v>24.5</v>
      </c>
      <c r="I298" s="74">
        <v>28</v>
      </c>
      <c r="J298" s="114">
        <v>31.5</v>
      </c>
      <c r="K298" s="74">
        <v>35</v>
      </c>
      <c r="L298" s="74">
        <v>38.5</v>
      </c>
      <c r="M298" s="114">
        <v>42</v>
      </c>
      <c r="N298" s="115">
        <v>45.5</v>
      </c>
      <c r="O298" s="74">
        <v>49</v>
      </c>
      <c r="P298" s="74">
        <v>52.5</v>
      </c>
      <c r="Q298" s="74">
        <v>56</v>
      </c>
      <c r="R298" s="114">
        <v>58.5</v>
      </c>
      <c r="S298" s="129"/>
      <c r="T298" s="117"/>
      <c r="U298" s="117"/>
      <c r="V298" s="129"/>
      <c r="W298" s="114"/>
    </row>
    <row r="299" spans="1:23">
      <c r="A299" s="112" t="s">
        <v>125</v>
      </c>
      <c r="B299" s="114"/>
      <c r="C299" s="74"/>
      <c r="D299" s="74"/>
      <c r="E299" s="74"/>
      <c r="F299" s="114"/>
      <c r="G299" s="74"/>
      <c r="H299" s="74"/>
      <c r="I299" s="74"/>
      <c r="J299" s="114"/>
      <c r="K299" s="74"/>
      <c r="L299" s="74"/>
      <c r="M299" s="114"/>
      <c r="N299" s="115"/>
      <c r="O299" s="74"/>
      <c r="P299" s="74"/>
      <c r="Q299" s="74"/>
      <c r="R299" s="114"/>
      <c r="S299" s="129"/>
      <c r="T299" s="117"/>
      <c r="U299" s="117"/>
      <c r="V299" s="129"/>
      <c r="W299" s="114"/>
    </row>
    <row r="300" spans="1:23">
      <c r="A300" s="112"/>
      <c r="B300" s="114"/>
      <c r="C300" s="74"/>
      <c r="D300" s="74"/>
      <c r="E300" s="74"/>
      <c r="F300" s="114"/>
      <c r="G300" s="74"/>
      <c r="H300" s="74"/>
      <c r="I300" s="74"/>
      <c r="J300" s="114"/>
      <c r="K300" s="74"/>
      <c r="L300" s="74"/>
      <c r="M300" s="114"/>
      <c r="N300" s="115"/>
      <c r="O300" s="74"/>
      <c r="P300" s="74"/>
      <c r="Q300" s="74"/>
      <c r="R300" s="114"/>
      <c r="S300" s="129"/>
      <c r="T300" s="117"/>
      <c r="U300" s="117"/>
      <c r="V300" s="129"/>
      <c r="W300" s="114"/>
    </row>
    <row r="301" spans="1:23">
      <c r="A301" s="112"/>
      <c r="B301" s="114"/>
      <c r="C301" s="74"/>
      <c r="D301" s="74"/>
      <c r="E301" s="74"/>
      <c r="F301" s="114"/>
      <c r="G301" s="74"/>
      <c r="H301" s="74"/>
      <c r="I301" s="74"/>
      <c r="J301" s="114"/>
      <c r="K301" s="74"/>
      <c r="L301" s="74"/>
      <c r="M301" s="114"/>
      <c r="N301" s="115"/>
      <c r="O301" s="74"/>
      <c r="P301" s="74"/>
      <c r="Q301" s="74"/>
      <c r="R301" s="114"/>
      <c r="S301" s="129"/>
      <c r="T301" s="117"/>
      <c r="U301" s="117"/>
      <c r="V301" s="129"/>
      <c r="W301" s="114"/>
    </row>
    <row r="302" spans="1:23">
      <c r="B302" s="114">
        <v>1</v>
      </c>
      <c r="C302" s="74">
        <f t="shared" ref="C302:C358" si="158">SUM(0.25*(F302-B302),B302)</f>
        <v>1</v>
      </c>
      <c r="D302" s="74">
        <f t="shared" ref="D302:D358" si="159">SUM(0.5*(F302-B302)+B302)</f>
        <v>1</v>
      </c>
      <c r="E302" s="74">
        <f t="shared" ref="E302:E358" si="160">SUM(0.75*(F302-B302),B302)</f>
        <v>1</v>
      </c>
      <c r="F302" s="114">
        <v>1</v>
      </c>
      <c r="G302" s="74">
        <f t="shared" ref="G302:G358" si="161">SUM(0.25*(J302-F302),F302)</f>
        <v>1</v>
      </c>
      <c r="H302" s="74">
        <f t="shared" ref="H302:H358" si="162">SUM(0.5*(J302-F302),F302)</f>
        <v>1</v>
      </c>
      <c r="I302" s="74">
        <f t="shared" ref="I302:I358" si="163">SUM(0.75*(J302-F302),F302)</f>
        <v>1</v>
      </c>
      <c r="J302" s="114">
        <f t="shared" ref="J302:J358" si="164">SUM(F302,-B302,F302)</f>
        <v>1</v>
      </c>
      <c r="K302" s="74">
        <f t="shared" ref="K302:K308" si="165">SUM(0.333*(M302-J302),J302)</f>
        <v>1.7991999999999999</v>
      </c>
      <c r="L302" s="74">
        <f>SUM(0.666*(M302-J302),J302)</f>
        <v>2.5983999999999998</v>
      </c>
      <c r="M302" s="114">
        <f>SUM(J302,-F302,J302,0.2*ABS(J302-F302),0.15*(17-F302))</f>
        <v>3.4</v>
      </c>
      <c r="N302" s="115">
        <f>SUM(0.2*(R302-M302),M302)</f>
        <v>6.12</v>
      </c>
      <c r="O302" s="74">
        <f>SUM(0.4*(R302-M302),M302)</f>
        <v>8.84</v>
      </c>
      <c r="P302" s="74">
        <f>SUM(0.6*(R302-M302),M302)</f>
        <v>11.56</v>
      </c>
      <c r="Q302" s="74">
        <f>SUM(0.8*(R302-M302),M302)</f>
        <v>14.280000000000001</v>
      </c>
      <c r="R302" s="114">
        <v>17</v>
      </c>
      <c r="S302" s="129"/>
      <c r="T302" s="117">
        <f>SUM((DB20+DB19+DB18+DB17+DB16+DB15+DB14+DB13+DB12+DA11)*0.132,(CZ10+CY10+CX9+CW9)*0.132/2,(CV8+CU8+CT8+CS8+CR8+CQ8+CP7+CO7+CN7+CM7+CL7+CK7)*0.132/6,(CJ6+CI6+CH6+CG6+CF6+CE5+CD5+CC5+CB5+CA5+BZ4+BY4+BX4+BW4+BV4)*0.132/5,17)</f>
        <v>16.86393846153846</v>
      </c>
      <c r="U302" s="117"/>
      <c r="V302" s="129"/>
      <c r="W302" s="114"/>
    </row>
    <row r="303" spans="1:23">
      <c r="B303" s="114"/>
      <c r="C303" s="74"/>
      <c r="D303" s="74"/>
      <c r="E303" s="74"/>
      <c r="F303" s="114"/>
      <c r="G303" s="74"/>
      <c r="H303" s="74"/>
      <c r="I303" s="74"/>
      <c r="J303" s="114"/>
      <c r="K303" s="74"/>
      <c r="L303" s="74"/>
      <c r="M303" s="114"/>
      <c r="N303" s="115"/>
      <c r="O303" s="74"/>
      <c r="P303" s="74"/>
      <c r="Q303" s="74"/>
      <c r="R303" s="114"/>
      <c r="S303" s="129"/>
      <c r="T303" s="117"/>
      <c r="U303" s="117"/>
      <c r="V303" s="129"/>
      <c r="W303" s="114"/>
    </row>
    <row r="304" spans="1:23">
      <c r="B304" s="114">
        <v>1</v>
      </c>
      <c r="C304" s="74">
        <f t="shared" si="158"/>
        <v>1.25</v>
      </c>
      <c r="D304" s="74">
        <f t="shared" si="159"/>
        <v>1.5</v>
      </c>
      <c r="E304" s="74">
        <f t="shared" si="160"/>
        <v>1.75</v>
      </c>
      <c r="F304" s="114">
        <v>2</v>
      </c>
      <c r="G304" s="74">
        <f t="shared" si="161"/>
        <v>2.25</v>
      </c>
      <c r="H304" s="74">
        <f t="shared" si="162"/>
        <v>2.5</v>
      </c>
      <c r="I304" s="74">
        <f t="shared" si="163"/>
        <v>2.75</v>
      </c>
      <c r="J304" s="114">
        <f t="shared" si="164"/>
        <v>3</v>
      </c>
      <c r="K304" s="74">
        <f t="shared" si="165"/>
        <v>3.4662000000000002</v>
      </c>
      <c r="L304" s="74">
        <f t="shared" ref="L304:L367" si="166">SUM(0.666*(M304-J304),J304)</f>
        <v>3.9324000000000003</v>
      </c>
      <c r="M304" s="114">
        <f>SUM(J304,-F304,J304,0.4*ABS(J304-F304))</f>
        <v>4.4000000000000004</v>
      </c>
      <c r="N304" s="115">
        <f>SUM(0.2*(R304-M304),M304)</f>
        <v>6.92</v>
      </c>
      <c r="O304" s="74">
        <f>SUM(0.4*(R304-M304),M304)</f>
        <v>9.4400000000000013</v>
      </c>
      <c r="P304" s="74">
        <f>SUM(0.6*(R304-M304),M304)</f>
        <v>11.96</v>
      </c>
      <c r="Q304" s="74">
        <f>SUM(0.8*(R304-M304),M304)</f>
        <v>14.48</v>
      </c>
      <c r="R304" s="114">
        <v>17</v>
      </c>
      <c r="S304" s="129"/>
      <c r="T304" s="117">
        <f>SUM((DB20+DA19+DA18+CZ17+CZ16+CY15+CY14+CX13+CX12+CW11+CW10+CV9)*0.132,(CU8+CT8+CS8+CR8+CQ8+CP8)*0.132/6,(CO7+CN7+CM7+CL7+CK7+CJ6+CI6+CH6+CG6+CF6+CE5+CD5+CC5+CB5+CA5+BZ4+BY4+BX4+BW4+BV4)*0.132/5,17)</f>
        <v>16.74513846153846</v>
      </c>
      <c r="U304" s="117"/>
      <c r="V304" s="129"/>
      <c r="W304" s="114"/>
    </row>
    <row r="305" spans="2:23">
      <c r="B305" s="114">
        <v>2</v>
      </c>
      <c r="C305" s="74">
        <f t="shared" si="158"/>
        <v>2</v>
      </c>
      <c r="D305" s="74">
        <f t="shared" si="159"/>
        <v>2</v>
      </c>
      <c r="E305" s="74">
        <f t="shared" si="160"/>
        <v>2</v>
      </c>
      <c r="F305" s="114">
        <v>2</v>
      </c>
      <c r="G305" s="74">
        <f t="shared" si="161"/>
        <v>2</v>
      </c>
      <c r="H305" s="74">
        <f t="shared" si="162"/>
        <v>2</v>
      </c>
      <c r="I305" s="74">
        <f t="shared" si="163"/>
        <v>2</v>
      </c>
      <c r="J305" s="114">
        <f t="shared" si="164"/>
        <v>2</v>
      </c>
      <c r="K305" s="74">
        <f t="shared" si="165"/>
        <v>2.74925</v>
      </c>
      <c r="L305" s="74">
        <f t="shared" si="166"/>
        <v>3.4984999999999999</v>
      </c>
      <c r="M305" s="114">
        <f>SUM(J305,-F305,J305,0.2*ABS(J305-F305),0.15*(17-F305))</f>
        <v>4.25</v>
      </c>
      <c r="N305" s="115">
        <f>SUM(0.2*(R305-M305),M305)</f>
        <v>6.8000000000000007</v>
      </c>
      <c r="O305" s="74">
        <f>SUM(0.4*(R305-M305),M305)</f>
        <v>9.3500000000000014</v>
      </c>
      <c r="P305" s="74">
        <f>SUM(0.6*(R305-M305),M305)</f>
        <v>11.899999999999999</v>
      </c>
      <c r="Q305" s="74">
        <f>SUM(0.8*(R305-M305),M305)</f>
        <v>14.450000000000001</v>
      </c>
      <c r="R305" s="114">
        <v>17</v>
      </c>
      <c r="S305" s="129"/>
      <c r="T305" s="117">
        <f>SUM((CZ20+CZ19+CZ18+CZ17+CZ16+CZ15+CZ14+CZ13+CZ12+CY11+CX10)*0.132,(CW9+CV9)*0.132/2,(CU8+CT8+CS8+CR8+CQ8+CP8)*0.132/6,(CO7+CN7+CM7+CL7+CK7+CJ6+CI6+CH6+CG6+CF6+CE5+CD5+CC5+CB5+CA5+BZ4+BY4+BX4+BW4+BV4)*0.132/5,17)</f>
        <v>15.557138461538461</v>
      </c>
      <c r="U305" s="117"/>
      <c r="V305" s="129"/>
      <c r="W305" s="114"/>
    </row>
    <row r="306" spans="2:23">
      <c r="B306" s="114"/>
      <c r="C306" s="74"/>
      <c r="D306" s="74"/>
      <c r="E306" s="74"/>
      <c r="F306" s="114"/>
      <c r="G306" s="74"/>
      <c r="H306" s="74"/>
      <c r="I306" s="74"/>
      <c r="J306" s="114"/>
      <c r="K306" s="74"/>
      <c r="L306" s="74"/>
      <c r="M306" s="114"/>
      <c r="N306" s="115"/>
      <c r="O306" s="74"/>
      <c r="P306" s="74"/>
      <c r="Q306" s="74"/>
      <c r="R306" s="114"/>
      <c r="S306" s="129"/>
      <c r="T306" s="117"/>
      <c r="U306" s="117"/>
      <c r="V306" s="129"/>
      <c r="W306" s="114"/>
    </row>
    <row r="307" spans="2:23">
      <c r="B307" s="114">
        <v>1</v>
      </c>
      <c r="C307" s="74">
        <f t="shared" si="158"/>
        <v>1.5</v>
      </c>
      <c r="D307" s="74">
        <f t="shared" si="159"/>
        <v>2</v>
      </c>
      <c r="E307" s="74">
        <f t="shared" si="160"/>
        <v>2.5</v>
      </c>
      <c r="F307" s="114">
        <v>3</v>
      </c>
      <c r="G307" s="74">
        <f t="shared" si="161"/>
        <v>3.5</v>
      </c>
      <c r="H307" s="74">
        <f t="shared" si="162"/>
        <v>4</v>
      </c>
      <c r="I307" s="74">
        <f t="shared" si="163"/>
        <v>4.5</v>
      </c>
      <c r="J307" s="114">
        <f t="shared" si="164"/>
        <v>5</v>
      </c>
      <c r="K307" s="74">
        <f t="shared" si="165"/>
        <v>5.9324000000000003</v>
      </c>
      <c r="L307" s="74">
        <f t="shared" si="166"/>
        <v>6.8647999999999998</v>
      </c>
      <c r="M307" s="114">
        <f>SUM(J307,-F307,J307,0.4*ABS(J307-F307))</f>
        <v>7.8</v>
      </c>
      <c r="N307" s="115">
        <f>SUM(0.2*(R307-M307),M307)</f>
        <v>9.64</v>
      </c>
      <c r="O307" s="74">
        <f>SUM(0.4*(R307-M307),M307)</f>
        <v>11.48</v>
      </c>
      <c r="P307" s="74">
        <f>SUM(0.6*(R307-M307),M307)</f>
        <v>13.32</v>
      </c>
      <c r="Q307" s="74">
        <f>SUM(0.8*(R307-M307),M307)</f>
        <v>15.16</v>
      </c>
      <c r="R307" s="114">
        <v>17</v>
      </c>
      <c r="S307" s="129"/>
      <c r="T307" s="117">
        <f>SUM((DB20+DA19+CZ18+CY17+CX16+CW15+CV14+CU13+CT12+CS11)*0.132,(CR10+CQ10+CP9+CO9)*0.132/2,(CN8+CM8+CL8+CK8+CJ7+CI7+CH7+CG7+CF6+CE6+CD6+CC6+CB5+CA5+BZ5+BY5)*0.132/4,(BX4+BW4+BV4)*0.132/3,17)</f>
        <v>17.178538461538462</v>
      </c>
      <c r="U307" s="117"/>
      <c r="V307" s="129"/>
      <c r="W307" s="114"/>
    </row>
    <row r="308" spans="2:23">
      <c r="B308" s="114">
        <v>2</v>
      </c>
      <c r="C308" s="74">
        <f t="shared" si="158"/>
        <v>2.25</v>
      </c>
      <c r="D308" s="74">
        <f t="shared" si="159"/>
        <v>2.5</v>
      </c>
      <c r="E308" s="74">
        <f t="shared" si="160"/>
        <v>2.75</v>
      </c>
      <c r="F308" s="114">
        <v>3</v>
      </c>
      <c r="G308" s="74">
        <f t="shared" si="161"/>
        <v>3.25</v>
      </c>
      <c r="H308" s="74">
        <f t="shared" si="162"/>
        <v>3.5</v>
      </c>
      <c r="I308" s="74">
        <f t="shared" si="163"/>
        <v>3.75</v>
      </c>
      <c r="J308" s="114">
        <f t="shared" si="164"/>
        <v>4</v>
      </c>
      <c r="K308" s="74">
        <f t="shared" si="165"/>
        <v>4.4662000000000006</v>
      </c>
      <c r="L308" s="74">
        <f t="shared" si="166"/>
        <v>4.9324000000000003</v>
      </c>
      <c r="M308" s="114">
        <f>SUM(J308,-F308,J308,0.4*ABS(J308-F308))</f>
        <v>5.4</v>
      </c>
      <c r="N308" s="115">
        <f>SUM(0.2*(R308-M308),M308)</f>
        <v>7.7200000000000006</v>
      </c>
      <c r="O308" s="74">
        <f>SUM(0.4*(R308-M308),M308)</f>
        <v>10.039999999999999</v>
      </c>
      <c r="P308" s="74">
        <f>SUM(0.6*(R308-M308),M308)</f>
        <v>12.36</v>
      </c>
      <c r="Q308" s="74">
        <f>SUM(0.8*(R308-M308),M308)</f>
        <v>14.68</v>
      </c>
      <c r="R308" s="114">
        <v>17</v>
      </c>
      <c r="S308" s="129"/>
      <c r="T308" s="117">
        <f>SUM((CZ20+CY19+CY18+CX17+CX16+CW15+CW14+CV13+CV12+CU11+CU10+CT9)*0.132,(CS8+CR8+CQ8+CP8+CO8+CN7+CM7+CL7+CK7+CJ7+CI6+CH6+CG6+CF6+CE6+CD5+CC5+CB5+CA5+BZ5)*0.132/5,(BY4+BX4+BW4+BV4)*0.132/4,17)</f>
        <v>16.793538461538461</v>
      </c>
      <c r="U308" s="117"/>
      <c r="V308" s="129"/>
      <c r="W308" s="114"/>
    </row>
    <row r="309" spans="2:23">
      <c r="B309" s="114">
        <v>3</v>
      </c>
      <c r="C309" s="74">
        <f t="shared" si="158"/>
        <v>3</v>
      </c>
      <c r="D309" s="74">
        <f t="shared" si="159"/>
        <v>3</v>
      </c>
      <c r="E309" s="74">
        <f t="shared" si="160"/>
        <v>3</v>
      </c>
      <c r="F309" s="114">
        <v>3</v>
      </c>
      <c r="G309" s="74">
        <f t="shared" si="161"/>
        <v>3</v>
      </c>
      <c r="H309" s="74">
        <f t="shared" si="162"/>
        <v>3</v>
      </c>
      <c r="I309" s="74">
        <f t="shared" si="163"/>
        <v>3</v>
      </c>
      <c r="J309" s="114">
        <f t="shared" si="164"/>
        <v>3</v>
      </c>
      <c r="K309" s="74">
        <f>SUM(0.333*(M309-J309),J309)</f>
        <v>3.6993</v>
      </c>
      <c r="L309" s="74">
        <f t="shared" si="166"/>
        <v>4.3986000000000001</v>
      </c>
      <c r="M309" s="114">
        <f>SUM(J309,-F309,J309,0.2*ABS(J309-F309),0.15*(17-F309))</f>
        <v>5.0999999999999996</v>
      </c>
      <c r="N309" s="115">
        <f>SUM(0.2*(R309-M309),M309)</f>
        <v>7.48</v>
      </c>
      <c r="O309" s="74">
        <f>SUM(0.4*(R309-M309),M309)</f>
        <v>9.86</v>
      </c>
      <c r="P309" s="74">
        <f>SUM(0.6*(R309-M309),M309)</f>
        <v>12.239999999999998</v>
      </c>
      <c r="Q309" s="74">
        <f>SUM(0.8*(R309-M309),M309)</f>
        <v>14.620000000000001</v>
      </c>
      <c r="R309" s="114">
        <v>17</v>
      </c>
      <c r="S309" s="129"/>
      <c r="T309" s="117">
        <f>SUM((CX20+CX19+CX18+CX17+CX16+CX15+CX14+CX13+CX12+CW11+CV10)*0.132,(CU9+CT9)*0.132/2,(CS8+CR8+CQ8+CP8+CO8+CN7+CM7+CL7+CK7+CJ7+CI6+CH6+CG6+CF6+CE6+CD5+CC5+CB5+CA5+BZ5)*0.132/5,(BY4+BX4+BW4+BV4)*0.132/4,17)</f>
        <v>17.189538461538461</v>
      </c>
      <c r="U309" s="117"/>
      <c r="V309" s="129"/>
      <c r="W309" s="114"/>
    </row>
    <row r="310" spans="2:23">
      <c r="B310" s="114">
        <v>4</v>
      </c>
      <c r="C310" s="74">
        <f t="shared" si="158"/>
        <v>3.75</v>
      </c>
      <c r="D310" s="74">
        <f t="shared" si="159"/>
        <v>3.5</v>
      </c>
      <c r="E310" s="74">
        <f t="shared" si="160"/>
        <v>3.25</v>
      </c>
      <c r="F310" s="114">
        <v>3</v>
      </c>
      <c r="G310" s="74">
        <f t="shared" si="161"/>
        <v>2.75</v>
      </c>
      <c r="H310" s="74">
        <f t="shared" si="162"/>
        <v>2.5</v>
      </c>
      <c r="I310" s="74">
        <f t="shared" si="163"/>
        <v>2.25</v>
      </c>
      <c r="J310" s="114">
        <f t="shared" si="164"/>
        <v>2</v>
      </c>
      <c r="K310" s="74">
        <f t="shared" ref="K310:K373" si="167">SUM(0.333*(M310-J310),J310)</f>
        <v>1.8002</v>
      </c>
      <c r="L310" s="74">
        <f t="shared" si="166"/>
        <v>1.6004</v>
      </c>
      <c r="M310" s="114">
        <f>SUM(J310,-F310,J310,0.4*ABS(J310-F310))</f>
        <v>1.4</v>
      </c>
      <c r="N310" s="115">
        <f>SUM(0.2*(R310-M310),M310)</f>
        <v>4.5199999999999996</v>
      </c>
      <c r="O310" s="74">
        <f>SUM(0.4*(R310-M310),M310)</f>
        <v>7.6400000000000006</v>
      </c>
      <c r="P310" s="74">
        <f>SUM(0.6*(R310-M310),M310)</f>
        <v>10.76</v>
      </c>
      <c r="Q310" s="74">
        <f>SUM(0.8*(R310-M310),M310)</f>
        <v>13.88</v>
      </c>
      <c r="R310" s="114">
        <v>17</v>
      </c>
      <c r="S310" s="129"/>
      <c r="T310" s="117">
        <f>SUM((CV20+CW19+CW18+CX17+CX16+CY15+CY14+CZ13+CZ12+DA11+DA10+DA9)*0.132,(CZ8+CY8+CX8+CW8+CV8+CU8+CT8)*0.132/7,(CS7+CR7+CQ7+CP7+CO7+CN7+CM6+CL6+CK6+CJ6+CI6+CH6+CG5+CF5+CE5+CD5+CC5+CB5+CA4+BZ4+BY4+BX4+BW4+BV4)*0.132/6,17)</f>
        <v>16.969538461538463</v>
      </c>
      <c r="U310" s="117"/>
      <c r="V310" s="129"/>
      <c r="W310" s="114"/>
    </row>
    <row r="311" spans="2:23">
      <c r="B311" s="114"/>
      <c r="C311" s="74"/>
      <c r="D311" s="74"/>
      <c r="E311" s="74"/>
      <c r="F311" s="114"/>
      <c r="G311" s="74"/>
      <c r="H311" s="74"/>
      <c r="I311" s="74"/>
      <c r="J311" s="114"/>
      <c r="K311" s="74"/>
      <c r="L311" s="74"/>
      <c r="M311" s="114"/>
      <c r="N311" s="115"/>
      <c r="O311" s="74"/>
      <c r="P311" s="74"/>
      <c r="Q311" s="74"/>
      <c r="R311" s="114"/>
      <c r="S311" s="129"/>
      <c r="T311" s="117"/>
      <c r="U311" s="117"/>
      <c r="V311" s="129"/>
      <c r="W311" s="114"/>
    </row>
    <row r="312" spans="2:23">
      <c r="B312" s="114">
        <v>1</v>
      </c>
      <c r="C312" s="74">
        <f t="shared" si="158"/>
        <v>1.75</v>
      </c>
      <c r="D312" s="74">
        <f t="shared" si="159"/>
        <v>2.5</v>
      </c>
      <c r="E312" s="74">
        <f t="shared" si="160"/>
        <v>3.25</v>
      </c>
      <c r="F312" s="114">
        <v>4</v>
      </c>
      <c r="G312" s="74">
        <f t="shared" si="161"/>
        <v>4.75</v>
      </c>
      <c r="H312" s="74">
        <f t="shared" si="162"/>
        <v>5.5</v>
      </c>
      <c r="I312" s="74">
        <f t="shared" si="163"/>
        <v>6.25</v>
      </c>
      <c r="J312" s="114">
        <f t="shared" si="164"/>
        <v>7</v>
      </c>
      <c r="K312" s="74">
        <f t="shared" si="167"/>
        <v>8.3986000000000001</v>
      </c>
      <c r="L312" s="74">
        <f t="shared" si="166"/>
        <v>9.7972000000000001</v>
      </c>
      <c r="M312" s="114">
        <f>SUM(J312,-F312,J312,0.4*ABS(J312-F312))</f>
        <v>11.2</v>
      </c>
      <c r="N312" s="115">
        <f>SUM(0.2*(R312-M312),M312)</f>
        <v>12.36</v>
      </c>
      <c r="O312" s="74">
        <f>SUM(0.4*(R312-M312),M312)</f>
        <v>13.52</v>
      </c>
      <c r="P312" s="74">
        <f>SUM(0.6*(R312-M312),M312)</f>
        <v>14.68</v>
      </c>
      <c r="Q312" s="74">
        <f>SUM(0.8*(R312-M312),M312)</f>
        <v>15.84</v>
      </c>
      <c r="R312" s="114">
        <v>17</v>
      </c>
      <c r="S312" s="129"/>
      <c r="T312" s="117">
        <f>SUM((DB20+CY18+CV16+CS14+CP12)*0.132,(DA19+CZ19+CX17+CW17+CU15+CT15+CR13+CQ13+CO11+CN11+CM10+CL10)*0.132/2,(CK9+CJ9+CI9+CH8+CG8+CF8+CE7+CD7+CC7+CB6+CA6+BZ6)*0.132/3,(BY5+BX5+BW4+BV4)*0.132/2,17)</f>
        <v>17.56353846153846</v>
      </c>
      <c r="U312" s="117"/>
      <c r="V312" s="129"/>
      <c r="W312" s="114"/>
    </row>
    <row r="313" spans="2:23">
      <c r="B313" s="114">
        <v>2</v>
      </c>
      <c r="C313" s="74">
        <f t="shared" si="158"/>
        <v>2.5</v>
      </c>
      <c r="D313" s="74">
        <f t="shared" si="159"/>
        <v>3</v>
      </c>
      <c r="E313" s="74">
        <f t="shared" si="160"/>
        <v>3.5</v>
      </c>
      <c r="F313" s="114">
        <v>4</v>
      </c>
      <c r="G313" s="74">
        <f t="shared" si="161"/>
        <v>4.5</v>
      </c>
      <c r="H313" s="74">
        <f t="shared" si="162"/>
        <v>5</v>
      </c>
      <c r="I313" s="74">
        <f t="shared" si="163"/>
        <v>5.5</v>
      </c>
      <c r="J313" s="114">
        <f t="shared" si="164"/>
        <v>6</v>
      </c>
      <c r="K313" s="74">
        <f t="shared" si="167"/>
        <v>6.9324000000000003</v>
      </c>
      <c r="L313" s="74">
        <f t="shared" si="166"/>
        <v>7.8648000000000007</v>
      </c>
      <c r="M313" s="114">
        <f>SUM(J313,-F313,J313,0.4*ABS(J313-F313))</f>
        <v>8.8000000000000007</v>
      </c>
      <c r="N313" s="115">
        <f>SUM(0.2*(R313-M313),M313)</f>
        <v>10.440000000000001</v>
      </c>
      <c r="O313" s="74">
        <f>SUM(0.4*(R313-M313),M313)</f>
        <v>12.08</v>
      </c>
      <c r="P313" s="74">
        <f>SUM(0.6*(R313-M313),M313)</f>
        <v>13.719999999999999</v>
      </c>
      <c r="Q313" s="74">
        <f>SUM(0.8*(R313-M313),M313)</f>
        <v>15.36</v>
      </c>
      <c r="R313" s="114">
        <v>17</v>
      </c>
      <c r="S313" s="129"/>
      <c r="T313" s="117">
        <f>SUM((CZ20+CY19+CX18+CW17+CV16+CU15+CT14+CS13+CR12+CQ11)*0.132,(CP10+CO10+CN9+CM9)*0.132/2,(CL8+CK8+CJ8+CI8+CH7+CG7+CF7+CE7)*0.132/4,(CD6+CC6+CB6+CA5+BZ5+BY5+BX4+BW4+BV4)*0.132/3,17)</f>
        <v>17.695538461538462</v>
      </c>
      <c r="U313" s="117"/>
      <c r="V313" s="129"/>
      <c r="W313" s="114"/>
    </row>
    <row r="314" spans="2:23">
      <c r="B314" s="114">
        <v>3</v>
      </c>
      <c r="C314" s="74">
        <f t="shared" si="158"/>
        <v>3.25</v>
      </c>
      <c r="D314" s="74">
        <f t="shared" si="159"/>
        <v>3.5</v>
      </c>
      <c r="E314" s="74">
        <f t="shared" si="160"/>
        <v>3.75</v>
      </c>
      <c r="F314" s="114">
        <v>4</v>
      </c>
      <c r="G314" s="74">
        <f t="shared" si="161"/>
        <v>4.25</v>
      </c>
      <c r="H314" s="74">
        <f t="shared" si="162"/>
        <v>4.5</v>
      </c>
      <c r="I314" s="74">
        <f t="shared" si="163"/>
        <v>4.75</v>
      </c>
      <c r="J314" s="114">
        <f t="shared" si="164"/>
        <v>5</v>
      </c>
      <c r="K314" s="74">
        <f t="shared" si="167"/>
        <v>5.4662000000000006</v>
      </c>
      <c r="L314" s="74">
        <f t="shared" si="166"/>
        <v>5.9324000000000003</v>
      </c>
      <c r="M314" s="114">
        <f>SUM(J314,-F314,J314,0.4*ABS(J314-F314))</f>
        <v>6.4</v>
      </c>
      <c r="N314" s="115">
        <f>SUM(0.2*(R314-M314),M314)</f>
        <v>8.52</v>
      </c>
      <c r="O314" s="74">
        <f>SUM(0.4*(R314-M314),M314)</f>
        <v>10.64</v>
      </c>
      <c r="P314" s="74">
        <f>SUM(0.6*(R314-M314),M314)</f>
        <v>12.76</v>
      </c>
      <c r="Q314" s="74">
        <f>SUM(0.8*(R314-M314),M314)</f>
        <v>14.88</v>
      </c>
      <c r="R314" s="114">
        <v>17</v>
      </c>
      <c r="S314" s="129"/>
      <c r="T314" s="117">
        <f>SUM((CX20+CW19+CW18+CV17+CV16+CU15+CU14+CT13+CT12+CS11+CS10+CR9)*0.132,(CQ8+CP8+CO8+CN8+CM8+CL7+CK7+CJ7+CI7+CH7)*0.132/5,(CG6+CF6+CE6+CD6+CC5+CB5+CA5+BZ5+BY4+BX4+BW4+BV4)*0.132/4,17)</f>
        <v>16.707738461538462</v>
      </c>
      <c r="U314" s="117"/>
      <c r="V314" s="129"/>
      <c r="W314" s="114"/>
    </row>
    <row r="315" spans="2:23">
      <c r="B315" s="114">
        <v>4</v>
      </c>
      <c r="C315" s="74">
        <f t="shared" si="158"/>
        <v>4</v>
      </c>
      <c r="D315" s="74">
        <f t="shared" si="159"/>
        <v>4</v>
      </c>
      <c r="E315" s="74">
        <f t="shared" si="160"/>
        <v>4</v>
      </c>
      <c r="F315" s="114">
        <v>4</v>
      </c>
      <c r="G315" s="74">
        <f t="shared" si="161"/>
        <v>4</v>
      </c>
      <c r="H315" s="74">
        <f t="shared" si="162"/>
        <v>4</v>
      </c>
      <c r="I315" s="74">
        <f t="shared" si="163"/>
        <v>4</v>
      </c>
      <c r="J315" s="114">
        <f t="shared" si="164"/>
        <v>4</v>
      </c>
      <c r="K315" s="74">
        <f t="shared" si="167"/>
        <v>4.6493500000000001</v>
      </c>
      <c r="L315" s="74">
        <f t="shared" si="166"/>
        <v>5.2987000000000002</v>
      </c>
      <c r="M315" s="114">
        <f>SUM(J315,-F315,J315,0.2*ABS(J315-F315),0.15*(17-F315))</f>
        <v>5.95</v>
      </c>
      <c r="N315" s="115">
        <f>SUM(0.2*(R315-M315),M315)</f>
        <v>8.16</v>
      </c>
      <c r="O315" s="74">
        <f>SUM(0.4*(R315-M315),M315)</f>
        <v>10.370000000000001</v>
      </c>
      <c r="P315" s="74">
        <f>SUM(0.6*(R315-M315),M315)</f>
        <v>12.58</v>
      </c>
      <c r="Q315" s="74">
        <f>SUM(0.8*(R315-M315),M315)</f>
        <v>14.790000000000003</v>
      </c>
      <c r="R315" s="114">
        <v>17</v>
      </c>
      <c r="S315" s="129"/>
      <c r="T315" s="117">
        <f>SUM((CV20+CV19+CV18+CV17+CV16+CV15+CV14+CV13+CV12+CU11+CT10)*0.132,(CS9+CR9)*0.132/2,(CQ8+CP8+CO8+CN8+CM8+CL7+CK7+CJ7+CI7+CH7)*0.132/5,(CG6+CF6+CE6+CD6+CC5+CB5+CA5+BZ5+BY4+BX4+BW4+BV4)*0.132/4,17)</f>
        <v>17.23573846153846</v>
      </c>
      <c r="U315" s="117"/>
      <c r="V315" s="129"/>
      <c r="W315" s="114"/>
    </row>
    <row r="316" spans="2:23">
      <c r="B316" s="114">
        <v>5</v>
      </c>
      <c r="C316" s="74">
        <f t="shared" si="158"/>
        <v>4.75</v>
      </c>
      <c r="D316" s="74">
        <f t="shared" si="159"/>
        <v>4.5</v>
      </c>
      <c r="E316" s="74">
        <f t="shared" si="160"/>
        <v>4.25</v>
      </c>
      <c r="F316" s="114">
        <v>4</v>
      </c>
      <c r="G316" s="74">
        <f t="shared" si="161"/>
        <v>3.75</v>
      </c>
      <c r="H316" s="74">
        <f t="shared" si="162"/>
        <v>3.5</v>
      </c>
      <c r="I316" s="74">
        <f t="shared" si="163"/>
        <v>3.25</v>
      </c>
      <c r="J316" s="114">
        <f t="shared" si="164"/>
        <v>3</v>
      </c>
      <c r="K316" s="74">
        <f t="shared" si="167"/>
        <v>2.8001999999999998</v>
      </c>
      <c r="L316" s="74">
        <f t="shared" si="166"/>
        <v>2.6004</v>
      </c>
      <c r="M316" s="114">
        <f>SUM(J316,-F316,J316,0.4*ABS(J316-F316))</f>
        <v>2.4</v>
      </c>
      <c r="N316" s="115">
        <f>SUM(0.2*(R316-M316),M316)</f>
        <v>5.32</v>
      </c>
      <c r="O316" s="74">
        <f>SUM(0.4*(R316-M316),M316)</f>
        <v>8.24</v>
      </c>
      <c r="P316" s="74">
        <f>SUM(0.6*(R316-M316),M316)</f>
        <v>11.16</v>
      </c>
      <c r="Q316" s="74">
        <f>SUM(0.8*(R316-M316),M316)</f>
        <v>14.08</v>
      </c>
      <c r="R316" s="114">
        <v>17</v>
      </c>
      <c r="S316" s="129"/>
      <c r="T316" s="117">
        <f>SUM((CT20+CU19+CU18+CV17+CV16+CW15+CW14+CX13+CX12+CY11+CY10+CZ9)*0.132,(CY8+CX8+CW8+CV8+CU8+CT8+CS7+CR7+CQ7+CP7+CO7+CN7+CM6+CL6+CK6+CJ6+CI6+CH6+CG5+CF5+CE5+CD5+CC5+CB5+CA4+BZ4+BY4+BX4+BW4+BV4)*0.132/6,17)</f>
        <v>16.59553846153846</v>
      </c>
      <c r="U316" s="117"/>
      <c r="V316" s="129"/>
      <c r="W316" s="114"/>
    </row>
    <row r="317" spans="2:23">
      <c r="B317" s="114"/>
      <c r="C317" s="74"/>
      <c r="D317" s="74"/>
      <c r="E317" s="74"/>
      <c r="F317" s="114"/>
      <c r="G317" s="74"/>
      <c r="H317" s="74"/>
      <c r="I317" s="74"/>
      <c r="J317" s="114"/>
      <c r="K317" s="74"/>
      <c r="L317" s="74"/>
      <c r="M317" s="114"/>
      <c r="N317" s="115"/>
      <c r="O317" s="74"/>
      <c r="P317" s="74"/>
      <c r="Q317" s="74"/>
      <c r="R317" s="114"/>
      <c r="S317" s="129"/>
      <c r="T317" s="117"/>
      <c r="U317" s="117"/>
      <c r="V317" s="129"/>
      <c r="W317" s="114"/>
    </row>
    <row r="318" spans="2:23">
      <c r="B318" s="114">
        <v>1</v>
      </c>
      <c r="C318" s="74">
        <f t="shared" si="158"/>
        <v>2</v>
      </c>
      <c r="D318" s="74">
        <f t="shared" si="159"/>
        <v>3</v>
      </c>
      <c r="E318" s="74">
        <f t="shared" si="160"/>
        <v>4</v>
      </c>
      <c r="F318" s="114">
        <v>5</v>
      </c>
      <c r="G318" s="74">
        <f t="shared" si="161"/>
        <v>6</v>
      </c>
      <c r="H318" s="74">
        <f t="shared" si="162"/>
        <v>7</v>
      </c>
      <c r="I318" s="74">
        <f t="shared" si="163"/>
        <v>8</v>
      </c>
      <c r="J318" s="114">
        <f t="shared" si="164"/>
        <v>9</v>
      </c>
      <c r="K318" s="74">
        <f t="shared" si="167"/>
        <v>9.9990000000000006</v>
      </c>
      <c r="L318" s="74">
        <f t="shared" si="166"/>
        <v>10.998000000000001</v>
      </c>
      <c r="M318" s="114">
        <f>SUM(J318,J318-G318)</f>
        <v>12</v>
      </c>
      <c r="N318" s="115">
        <f t="shared" ref="N318:N324" si="168">SUM(0.2*(R318-M318),M318)</f>
        <v>13</v>
      </c>
      <c r="O318" s="74">
        <f t="shared" ref="O318:O324" si="169">SUM(0.4*(R318-M318),M318)</f>
        <v>14</v>
      </c>
      <c r="P318" s="74">
        <f t="shared" ref="P318:P324" si="170">SUM(0.6*(R318-M318),M318)</f>
        <v>15</v>
      </c>
      <c r="Q318" s="74">
        <f t="shared" ref="Q318:Q324" si="171">SUM(0.8*(R318-M318),M318)</f>
        <v>16</v>
      </c>
      <c r="R318" s="114">
        <v>17</v>
      </c>
      <c r="S318" s="129"/>
      <c r="T318" s="117">
        <f>SUM(DB20*0.132,(DA19+CZ19+CY18+CX18+CW17+CV17+CU16+CT16+CS15+CR15+CQ14+CP14+CO13+CN13+CM12+CL12+CK11+CJ11+CI10+CH10+CG9+CF9+CE8+CD8+CC7+CB7+CA6+BZ6+BY5+BX5+BW4+BV4)*0.132/2,17)</f>
        <v>17.651538461538461</v>
      </c>
      <c r="U318" s="117"/>
      <c r="V318" s="129"/>
      <c r="W318" s="114"/>
    </row>
    <row r="319" spans="2:23">
      <c r="B319" s="114">
        <v>2</v>
      </c>
      <c r="C319" s="74">
        <f t="shared" si="158"/>
        <v>2.75</v>
      </c>
      <c r="D319" s="74">
        <f t="shared" si="159"/>
        <v>3.5</v>
      </c>
      <c r="E319" s="74">
        <f t="shared" si="160"/>
        <v>4.25</v>
      </c>
      <c r="F319" s="114">
        <v>5</v>
      </c>
      <c r="G319" s="74">
        <f t="shared" si="161"/>
        <v>5.75</v>
      </c>
      <c r="H319" s="74">
        <f t="shared" si="162"/>
        <v>6.5</v>
      </c>
      <c r="I319" s="74">
        <f t="shared" si="163"/>
        <v>7.25</v>
      </c>
      <c r="J319" s="114">
        <f t="shared" si="164"/>
        <v>8</v>
      </c>
      <c r="K319" s="74">
        <f t="shared" si="167"/>
        <v>9.3986000000000001</v>
      </c>
      <c r="L319" s="74">
        <f t="shared" si="166"/>
        <v>10.7972</v>
      </c>
      <c r="M319" s="114">
        <f>SUM(J319,-F319,J319,0.4*ABS(J319-F319))</f>
        <v>12.2</v>
      </c>
      <c r="N319" s="115">
        <f t="shared" si="168"/>
        <v>13.16</v>
      </c>
      <c r="O319" s="74">
        <f t="shared" si="169"/>
        <v>14.12</v>
      </c>
      <c r="P319" s="74">
        <f t="shared" si="170"/>
        <v>15.08</v>
      </c>
      <c r="Q319" s="74">
        <f t="shared" si="171"/>
        <v>16.04</v>
      </c>
      <c r="R319" s="114">
        <v>17</v>
      </c>
      <c r="S319" s="129"/>
      <c r="T319" s="117">
        <f>SUM((CZ20+CW18+CT16+CQ14+CN12)*0.132,(CY19+CX19+CV17+CU17+CS15+CR15+CP13+CO13+CM11+CL11+CK10+CJ10)*0.132/2,(CI9+CH9+CG9+CF8+CE8+CD8)*0.132/3,(CC7+CB7+CA6+BZ6+BY5+BX5+BW4+BV4)*0.132/2,17)</f>
        <v>17.607538461538461</v>
      </c>
      <c r="U319" s="117"/>
      <c r="V319" s="129"/>
      <c r="W319" s="114"/>
    </row>
    <row r="320" spans="2:23">
      <c r="B320" s="114">
        <v>3</v>
      </c>
      <c r="C320" s="74">
        <f t="shared" si="158"/>
        <v>3.5</v>
      </c>
      <c r="D320" s="74">
        <f t="shared" si="159"/>
        <v>4</v>
      </c>
      <c r="E320" s="74">
        <f t="shared" si="160"/>
        <v>4.5</v>
      </c>
      <c r="F320" s="114">
        <v>5</v>
      </c>
      <c r="G320" s="74">
        <f t="shared" si="161"/>
        <v>5.5</v>
      </c>
      <c r="H320" s="74">
        <f t="shared" si="162"/>
        <v>6</v>
      </c>
      <c r="I320" s="74">
        <f t="shared" si="163"/>
        <v>6.5</v>
      </c>
      <c r="J320" s="114">
        <f t="shared" si="164"/>
        <v>7</v>
      </c>
      <c r="K320" s="74">
        <f t="shared" si="167"/>
        <v>7.9324000000000003</v>
      </c>
      <c r="L320" s="74">
        <f t="shared" si="166"/>
        <v>8.8648000000000007</v>
      </c>
      <c r="M320" s="114">
        <f>SUM(J320,-F320,J320,0.4*ABS(J320-F320))</f>
        <v>9.8000000000000007</v>
      </c>
      <c r="N320" s="115">
        <f t="shared" si="168"/>
        <v>11.24</v>
      </c>
      <c r="O320" s="74">
        <f t="shared" si="169"/>
        <v>12.68</v>
      </c>
      <c r="P320" s="74">
        <f t="shared" si="170"/>
        <v>14.120000000000001</v>
      </c>
      <c r="Q320" s="74">
        <f t="shared" si="171"/>
        <v>15.56</v>
      </c>
      <c r="R320" s="114">
        <v>17</v>
      </c>
      <c r="S320" s="129"/>
      <c r="T320" s="117">
        <f>SUM((CX20+CW19+CV18+CU17+CT16+CS15+CR14+CQ13+CP12+CO11)*0.132,(CN10+CM10+CL9+CK9)*0.132/2,(CJ8+CI8+CH8+CG7+CF7+CE7+CD6+CC6+CB6+CA5+BZ5+BY5+BX4+BW4+BV4)*0.132/3,17)</f>
        <v>17.36553846153846</v>
      </c>
      <c r="U320" s="117"/>
      <c r="V320" s="129"/>
      <c r="W320" s="114"/>
    </row>
    <row r="321" spans="2:23">
      <c r="B321" s="114">
        <v>4</v>
      </c>
      <c r="C321" s="74">
        <f t="shared" si="158"/>
        <v>4.25</v>
      </c>
      <c r="D321" s="74">
        <f t="shared" si="159"/>
        <v>4.5</v>
      </c>
      <c r="E321" s="74">
        <f t="shared" si="160"/>
        <v>4.75</v>
      </c>
      <c r="F321" s="114">
        <v>5</v>
      </c>
      <c r="G321" s="74">
        <f t="shared" si="161"/>
        <v>5.25</v>
      </c>
      <c r="H321" s="74">
        <f t="shared" si="162"/>
        <v>5.5</v>
      </c>
      <c r="I321" s="74">
        <f t="shared" si="163"/>
        <v>5.75</v>
      </c>
      <c r="J321" s="114">
        <f t="shared" si="164"/>
        <v>6</v>
      </c>
      <c r="K321" s="74">
        <f t="shared" si="167"/>
        <v>6.4662000000000006</v>
      </c>
      <c r="L321" s="74">
        <f t="shared" si="166"/>
        <v>6.9324000000000003</v>
      </c>
      <c r="M321" s="114">
        <f>SUM(J321,-F321,J321,0.4*ABS(J321-F321))</f>
        <v>7.4</v>
      </c>
      <c r="N321" s="115">
        <f t="shared" si="168"/>
        <v>9.32</v>
      </c>
      <c r="O321" s="74">
        <f t="shared" si="169"/>
        <v>11.24</v>
      </c>
      <c r="P321" s="74">
        <f t="shared" si="170"/>
        <v>13.16</v>
      </c>
      <c r="Q321" s="74">
        <f t="shared" si="171"/>
        <v>15.08</v>
      </c>
      <c r="R321" s="114">
        <v>17</v>
      </c>
      <c r="S321" s="129"/>
      <c r="T321" s="117">
        <f>SUM((CV20+CU19+CU18+CT17+CT16+CS15+CS14+CR13+CR12+CQ11+CQ10+CP9)*0.132,(CO8+CN8+CM8+CL8+CK7+CJ7+CI7+CH7+CG6+CF6+CE6+CD6+CC5+CB5+CA5+BZ5+BY4+BX4+BW4+BV4)*0.132/4,17)</f>
        <v>18.014538461538461</v>
      </c>
      <c r="U321" s="117"/>
      <c r="V321" s="129"/>
      <c r="W321" s="114"/>
    </row>
    <row r="322" spans="2:23">
      <c r="B322" s="114">
        <v>5</v>
      </c>
      <c r="C322" s="74">
        <f t="shared" si="158"/>
        <v>5</v>
      </c>
      <c r="D322" s="74">
        <f t="shared" si="159"/>
        <v>5</v>
      </c>
      <c r="E322" s="74">
        <f t="shared" si="160"/>
        <v>5</v>
      </c>
      <c r="F322" s="114">
        <v>5</v>
      </c>
      <c r="G322" s="74">
        <f t="shared" si="161"/>
        <v>5</v>
      </c>
      <c r="H322" s="74">
        <f t="shared" si="162"/>
        <v>5</v>
      </c>
      <c r="I322" s="74">
        <f t="shared" si="163"/>
        <v>5</v>
      </c>
      <c r="J322" s="114">
        <f t="shared" si="164"/>
        <v>5</v>
      </c>
      <c r="K322" s="74">
        <f t="shared" si="167"/>
        <v>5.5994000000000002</v>
      </c>
      <c r="L322" s="74">
        <f t="shared" si="166"/>
        <v>6.1988000000000003</v>
      </c>
      <c r="M322" s="114">
        <f>SUM(J322,-F322,J322,0.2*ABS(J322-F322),0.15*(17-F322))</f>
        <v>6.8</v>
      </c>
      <c r="N322" s="115">
        <f t="shared" si="168"/>
        <v>8.84</v>
      </c>
      <c r="O322" s="74">
        <f t="shared" si="169"/>
        <v>10.879999999999999</v>
      </c>
      <c r="P322" s="74">
        <f t="shared" si="170"/>
        <v>12.919999999999998</v>
      </c>
      <c r="Q322" s="74">
        <f t="shared" si="171"/>
        <v>14.96</v>
      </c>
      <c r="R322" s="114">
        <v>17</v>
      </c>
      <c r="S322" s="129"/>
      <c r="T322" s="117">
        <f>SUM((CT20+CT19+CT18+CT17+CT16+CT15+CT14+CT13+CT12+CS11+CR10+CQ9)*0.132,(CP8+CO8+CN8+CM8+CL8)*0.132/5,(CK7+CJ7+CI7+CH7+CG6+CF6+CE6+CD6+CC5+CB5+CA5+BZ5+BY4+BX4+BW4+BV4)*0.132/4,17)</f>
        <v>17.631738461538461</v>
      </c>
      <c r="U322" s="117"/>
      <c r="V322" s="129"/>
      <c r="W322" s="114"/>
    </row>
    <row r="323" spans="2:23">
      <c r="B323" s="114">
        <v>6</v>
      </c>
      <c r="C323" s="74">
        <f t="shared" si="158"/>
        <v>5.75</v>
      </c>
      <c r="D323" s="74">
        <f t="shared" si="159"/>
        <v>5.5</v>
      </c>
      <c r="E323" s="74">
        <f t="shared" si="160"/>
        <v>5.25</v>
      </c>
      <c r="F323" s="114">
        <v>5</v>
      </c>
      <c r="G323" s="74">
        <f t="shared" si="161"/>
        <v>4.75</v>
      </c>
      <c r="H323" s="74">
        <f t="shared" si="162"/>
        <v>4.5</v>
      </c>
      <c r="I323" s="74">
        <f t="shared" si="163"/>
        <v>4.25</v>
      </c>
      <c r="J323" s="114">
        <f t="shared" si="164"/>
        <v>4</v>
      </c>
      <c r="K323" s="74">
        <f t="shared" si="167"/>
        <v>3.8001999999999998</v>
      </c>
      <c r="L323" s="74">
        <f t="shared" si="166"/>
        <v>3.6004</v>
      </c>
      <c r="M323" s="114">
        <f>SUM(J323,-F323,J323,0.4*ABS(J323-F323))</f>
        <v>3.4</v>
      </c>
      <c r="N323" s="115">
        <f t="shared" si="168"/>
        <v>6.12</v>
      </c>
      <c r="O323" s="74">
        <f t="shared" si="169"/>
        <v>8.84</v>
      </c>
      <c r="P323" s="74">
        <f t="shared" si="170"/>
        <v>11.56</v>
      </c>
      <c r="Q323" s="74">
        <f t="shared" si="171"/>
        <v>14.280000000000001</v>
      </c>
      <c r="R323" s="114">
        <v>17</v>
      </c>
      <c r="S323" s="129"/>
      <c r="T323" s="117">
        <f>SUM((CR20+CS19+CS18+CT17+CT16+CU15+CU14+CV13+CV12+CW11+CW10+CX9)*0.132,(CW8+CV8+CU8+CT8+CS8+CR8+CQ7+CP7+CO7+CN7+CM7+CL7+CK6+CJ6+CI6+CH6+CG6+CF6)*0.132/6,(CE5+CD5+CC5+CB5+CA5+BZ4+BY4+BX4+BW4+BV4)*0.132/5,17)</f>
        <v>17.52393846153846</v>
      </c>
      <c r="U323" s="117"/>
      <c r="V323" s="129"/>
      <c r="W323" s="114"/>
    </row>
    <row r="324" spans="2:23">
      <c r="B324" s="114">
        <v>7</v>
      </c>
      <c r="C324" s="74">
        <f t="shared" si="158"/>
        <v>6.5</v>
      </c>
      <c r="D324" s="74">
        <f t="shared" si="159"/>
        <v>6</v>
      </c>
      <c r="E324" s="74">
        <f t="shared" si="160"/>
        <v>5.5</v>
      </c>
      <c r="F324" s="114">
        <v>5</v>
      </c>
      <c r="G324" s="74">
        <f t="shared" si="161"/>
        <v>4.5</v>
      </c>
      <c r="H324" s="74">
        <f t="shared" si="162"/>
        <v>4</v>
      </c>
      <c r="I324" s="74">
        <f t="shared" si="163"/>
        <v>3.5</v>
      </c>
      <c r="J324" s="114">
        <f t="shared" si="164"/>
        <v>3</v>
      </c>
      <c r="K324" s="74">
        <f t="shared" si="167"/>
        <v>2.6004</v>
      </c>
      <c r="L324" s="74">
        <f t="shared" si="166"/>
        <v>2.2008000000000001</v>
      </c>
      <c r="M324" s="114">
        <f>SUM(J324,-F324,J324,0.4*ABS(J324-F324))</f>
        <v>1.8</v>
      </c>
      <c r="N324" s="115">
        <f t="shared" si="168"/>
        <v>4.84</v>
      </c>
      <c r="O324" s="74">
        <f t="shared" si="169"/>
        <v>7.88</v>
      </c>
      <c r="P324" s="74">
        <f t="shared" si="170"/>
        <v>10.92</v>
      </c>
      <c r="Q324" s="74">
        <f t="shared" si="171"/>
        <v>13.96</v>
      </c>
      <c r="R324" s="114">
        <v>17</v>
      </c>
      <c r="S324" s="129"/>
      <c r="T324" s="117">
        <f>SUM((CP20+CQ19+CR18+CS17+CT16+CU15+CV14+CW13+CX12+CY11+CZ10+DA9)*0.132,(CZ8+CY8+CX8+CW8+CV8+CU8+CT8)*0.132/7,(CS7+CR7+CQ7+CP7+CO7+CN7+CM6+CL6+CK6+CJ6+CI6+CH6+CG5+CF5+CE5+CD5+CC5+CB5+CA4+BZ4+BY4+BX4+BW4+BV4)*0.132/6,17)</f>
        <v>17.629538461538463</v>
      </c>
      <c r="U324" s="117"/>
      <c r="V324" s="129"/>
      <c r="W324" s="114"/>
    </row>
    <row r="325" spans="2:23">
      <c r="B325" s="114"/>
      <c r="C325" s="74"/>
      <c r="D325" s="74"/>
      <c r="E325" s="74"/>
      <c r="F325" s="114"/>
      <c r="G325" s="74"/>
      <c r="H325" s="74"/>
      <c r="I325" s="74"/>
      <c r="J325" s="114"/>
      <c r="K325" s="74"/>
      <c r="L325" s="74"/>
      <c r="M325" s="114"/>
      <c r="N325" s="115"/>
      <c r="O325" s="74"/>
      <c r="P325" s="74"/>
      <c r="Q325" s="74"/>
      <c r="R325" s="114"/>
      <c r="S325" s="129"/>
      <c r="T325" s="117"/>
      <c r="U325" s="117"/>
      <c r="V325" s="129"/>
      <c r="W325" s="114"/>
    </row>
    <row r="326" spans="2:23">
      <c r="B326" s="114">
        <v>3</v>
      </c>
      <c r="C326" s="74">
        <f t="shared" si="158"/>
        <v>3.75</v>
      </c>
      <c r="D326" s="74">
        <f t="shared" si="159"/>
        <v>4.5</v>
      </c>
      <c r="E326" s="74">
        <f t="shared" si="160"/>
        <v>5.25</v>
      </c>
      <c r="F326" s="114">
        <v>6</v>
      </c>
      <c r="G326" s="74">
        <f t="shared" si="161"/>
        <v>6.75</v>
      </c>
      <c r="H326" s="74">
        <f t="shared" si="162"/>
        <v>7.5</v>
      </c>
      <c r="I326" s="74">
        <f t="shared" si="163"/>
        <v>8.25</v>
      </c>
      <c r="J326" s="114">
        <f t="shared" si="164"/>
        <v>9</v>
      </c>
      <c r="K326" s="74">
        <f t="shared" si="167"/>
        <v>10.3986</v>
      </c>
      <c r="L326" s="74">
        <f t="shared" si="166"/>
        <v>11.7972</v>
      </c>
      <c r="M326" s="114">
        <f>SUM(J326,-F326,J326,0.4*ABS(J326-F326))</f>
        <v>13.2</v>
      </c>
      <c r="N326" s="115">
        <f t="shared" ref="N326:N332" si="172">SUM(0.2*(R326-M326),M326)</f>
        <v>13.959999999999999</v>
      </c>
      <c r="O326" s="74">
        <f t="shared" ref="O326:O332" si="173">SUM(0.4*(R326-M326),M326)</f>
        <v>14.719999999999999</v>
      </c>
      <c r="P326" s="74">
        <f t="shared" ref="P326:P332" si="174">SUM(0.6*(R326-M326),M326)</f>
        <v>15.48</v>
      </c>
      <c r="Q326" s="74">
        <f t="shared" ref="Q326:Q332" si="175">SUM(0.8*(R326-M326),M326)</f>
        <v>16.240000000000002</v>
      </c>
      <c r="R326" s="114">
        <v>17</v>
      </c>
      <c r="S326" s="129"/>
      <c r="T326" s="117">
        <f>SUM((CX20+CU18+CR16+CO14+CL12)*0.132,(CW19+CV19+CT17+CS17+CQ15+CP15+CN13+CM13+CK11+CJ11+CI10+CH10+CG9+CF9+CE8+CD8+CC7+CB7+CA6+BZ6+BY5+BX5+BW4+BV4)*0.132/2,17)</f>
        <v>18.113538461538461</v>
      </c>
      <c r="U326" s="117"/>
      <c r="V326" s="129"/>
      <c r="W326" s="114"/>
    </row>
    <row r="327" spans="2:23">
      <c r="B327" s="114">
        <v>4</v>
      </c>
      <c r="C327" s="74">
        <f t="shared" si="158"/>
        <v>4.5</v>
      </c>
      <c r="D327" s="74">
        <f t="shared" si="159"/>
        <v>5</v>
      </c>
      <c r="E327" s="74">
        <f t="shared" si="160"/>
        <v>5.5</v>
      </c>
      <c r="F327" s="114">
        <v>6</v>
      </c>
      <c r="G327" s="74">
        <f t="shared" si="161"/>
        <v>6.5</v>
      </c>
      <c r="H327" s="74">
        <f t="shared" si="162"/>
        <v>7</v>
      </c>
      <c r="I327" s="74">
        <f t="shared" si="163"/>
        <v>7.5</v>
      </c>
      <c r="J327" s="114">
        <f t="shared" si="164"/>
        <v>8</v>
      </c>
      <c r="K327" s="74">
        <f t="shared" si="167"/>
        <v>8.9324000000000012</v>
      </c>
      <c r="L327" s="74">
        <f t="shared" si="166"/>
        <v>9.8648000000000007</v>
      </c>
      <c r="M327" s="114">
        <f>SUM(J327,-F327,J327,0.4*ABS(J327-F327))</f>
        <v>10.8</v>
      </c>
      <c r="N327" s="115">
        <f t="shared" si="172"/>
        <v>12.040000000000001</v>
      </c>
      <c r="O327" s="74">
        <f t="shared" si="173"/>
        <v>13.280000000000001</v>
      </c>
      <c r="P327" s="74">
        <f t="shared" si="174"/>
        <v>14.52</v>
      </c>
      <c r="Q327" s="74">
        <f t="shared" si="175"/>
        <v>15.760000000000002</v>
      </c>
      <c r="R327" s="114">
        <v>17</v>
      </c>
      <c r="S327" s="129"/>
      <c r="T327" s="117">
        <f>SUM((CV20+CU19+CT18+CS17+CR16+CQ15+CP14+CO13+CN12+CM11)*0.132,(CL10+CK10+CJ9+CI9+BY5+BX5+BW4+BV4)*0.132/2,(CH8+CG8+CF8+CE7+CD7+CC7+CB6+CA6+BZ6)*0.132/3,17)</f>
        <v>18.157538461538461</v>
      </c>
      <c r="U327" s="117"/>
      <c r="V327" s="129"/>
      <c r="W327" s="114"/>
    </row>
    <row r="328" spans="2:23">
      <c r="B328" s="114">
        <v>5</v>
      </c>
      <c r="C328" s="74">
        <f t="shared" si="158"/>
        <v>5.25</v>
      </c>
      <c r="D328" s="74">
        <f t="shared" si="159"/>
        <v>5.5</v>
      </c>
      <c r="E328" s="74">
        <f t="shared" si="160"/>
        <v>5.75</v>
      </c>
      <c r="F328" s="114">
        <v>6</v>
      </c>
      <c r="G328" s="74">
        <f t="shared" si="161"/>
        <v>6.25</v>
      </c>
      <c r="H328" s="74">
        <f t="shared" si="162"/>
        <v>6.5</v>
      </c>
      <c r="I328" s="74">
        <f t="shared" si="163"/>
        <v>6.75</v>
      </c>
      <c r="J328" s="114">
        <f t="shared" si="164"/>
        <v>7</v>
      </c>
      <c r="K328" s="74">
        <f t="shared" si="167"/>
        <v>7.4662000000000006</v>
      </c>
      <c r="L328" s="74">
        <f t="shared" si="166"/>
        <v>7.9324000000000003</v>
      </c>
      <c r="M328" s="114">
        <f>SUM(J328,-F328,J328,0.4*ABS(J328-F328))</f>
        <v>8.4</v>
      </c>
      <c r="N328" s="115">
        <f t="shared" si="172"/>
        <v>10.120000000000001</v>
      </c>
      <c r="O328" s="74">
        <f t="shared" si="173"/>
        <v>11.84</v>
      </c>
      <c r="P328" s="74">
        <f t="shared" si="174"/>
        <v>13.559999999999999</v>
      </c>
      <c r="Q328" s="74">
        <f t="shared" si="175"/>
        <v>15.280000000000001</v>
      </c>
      <c r="R328" s="114">
        <v>17</v>
      </c>
      <c r="S328" s="129"/>
      <c r="T328" s="117">
        <f>SUM((CT20+CS19+CS18+CR17+CR16+CQ15+CQ14+CP13+CP12+CO11+CO10+CN9)*0.132,(CM8+CL8+CK8+CJ8+CI7+CH7+CG7+CF7+CE6+CD6+CC6+CB6)*0.132/4,(CA5+BZ5+BY5+BX4+BW4+BV4)*0.132/3,17)</f>
        <v>18.058538461538461</v>
      </c>
      <c r="U328" s="117"/>
      <c r="V328" s="129"/>
      <c r="W328" s="114"/>
    </row>
    <row r="329" spans="2:23">
      <c r="B329" s="114">
        <v>6</v>
      </c>
      <c r="C329" s="74">
        <f t="shared" si="158"/>
        <v>6</v>
      </c>
      <c r="D329" s="74">
        <f t="shared" si="159"/>
        <v>6</v>
      </c>
      <c r="E329" s="74">
        <f t="shared" si="160"/>
        <v>6</v>
      </c>
      <c r="F329" s="114">
        <v>6</v>
      </c>
      <c r="G329" s="74">
        <f t="shared" si="161"/>
        <v>6</v>
      </c>
      <c r="H329" s="74">
        <f t="shared" si="162"/>
        <v>6</v>
      </c>
      <c r="I329" s="74">
        <f t="shared" si="163"/>
        <v>6</v>
      </c>
      <c r="J329" s="114">
        <f t="shared" si="164"/>
        <v>6</v>
      </c>
      <c r="K329" s="74">
        <f t="shared" si="167"/>
        <v>6.5494500000000002</v>
      </c>
      <c r="L329" s="74">
        <f t="shared" si="166"/>
        <v>7.0989000000000004</v>
      </c>
      <c r="M329" s="114">
        <f>SUM(J329,-F329,J329,0.2*ABS(J329-F329),0.15*(17-F329))</f>
        <v>7.65</v>
      </c>
      <c r="N329" s="115">
        <f t="shared" si="172"/>
        <v>9.52</v>
      </c>
      <c r="O329" s="74">
        <f t="shared" si="173"/>
        <v>11.39</v>
      </c>
      <c r="P329" s="74">
        <f t="shared" si="174"/>
        <v>13.26</v>
      </c>
      <c r="Q329" s="74">
        <f t="shared" si="175"/>
        <v>15.13</v>
      </c>
      <c r="R329" s="114">
        <v>17</v>
      </c>
      <c r="S329" s="129"/>
      <c r="T329" s="117">
        <f>SUM((CR20+CR19+CR18+CR17+CR16+CR15+CR14+CR13+CR12+CQ11+CP10+CO9)*0.132,(CN8+CM8+CL8+CK8+CJ7+CI7+CH7+CG7+CF6+CE6+CD6+CC6+CB5+CA5+BZ5+BY5)*0.132/4,(BX4+BW4+BV4)*0.132/3,17)</f>
        <v>17.50853846153846</v>
      </c>
      <c r="U329" s="117"/>
      <c r="V329" s="129"/>
      <c r="W329" s="114"/>
    </row>
    <row r="330" spans="2:23">
      <c r="B330" s="114">
        <v>7</v>
      </c>
      <c r="C330" s="74">
        <f t="shared" si="158"/>
        <v>6.75</v>
      </c>
      <c r="D330" s="74">
        <f t="shared" si="159"/>
        <v>6.5</v>
      </c>
      <c r="E330" s="74">
        <f t="shared" si="160"/>
        <v>6.25</v>
      </c>
      <c r="F330" s="114">
        <v>6</v>
      </c>
      <c r="G330" s="74">
        <f t="shared" si="161"/>
        <v>5.75</v>
      </c>
      <c r="H330" s="74">
        <f t="shared" si="162"/>
        <v>5.5</v>
      </c>
      <c r="I330" s="74">
        <f t="shared" si="163"/>
        <v>5.25</v>
      </c>
      <c r="J330" s="114">
        <f t="shared" si="164"/>
        <v>5</v>
      </c>
      <c r="K330" s="74">
        <f t="shared" si="167"/>
        <v>4.8002000000000002</v>
      </c>
      <c r="L330" s="74">
        <f t="shared" si="166"/>
        <v>4.6004000000000005</v>
      </c>
      <c r="M330" s="114">
        <f>SUM(J330,-F330,J330,0.4*ABS(J330-F330))</f>
        <v>4.4000000000000004</v>
      </c>
      <c r="N330" s="115">
        <f t="shared" si="172"/>
        <v>6.92</v>
      </c>
      <c r="O330" s="74">
        <f t="shared" si="173"/>
        <v>9.4400000000000013</v>
      </c>
      <c r="P330" s="74">
        <f t="shared" si="174"/>
        <v>11.96</v>
      </c>
      <c r="Q330" s="74">
        <f t="shared" si="175"/>
        <v>14.48</v>
      </c>
      <c r="R330" s="114">
        <v>17</v>
      </c>
      <c r="S330" s="129"/>
      <c r="T330" s="117">
        <f>SUM((CP20+CQ19+CQ18+CR17+CR16+CS15+CS14+CT13+CT12+CU11+CU10+CV9)*0.132,(CU8+CT8+CS8+CR8+CQ8+CP8)*0.132/6,(CO7+CN7+CM7+CL7+CK7+CJ6+CI6+CH6+CG6+CF6+CE5+CD5+CC5+CB5+CA5+BZ4+BY4+BX4+BW4+BV4)*0.132/5,17)</f>
        <v>18.06513846153846</v>
      </c>
      <c r="U330" s="117"/>
      <c r="V330" s="129"/>
      <c r="W330" s="114"/>
    </row>
    <row r="331" spans="2:23">
      <c r="B331" s="114">
        <v>8</v>
      </c>
      <c r="C331" s="74">
        <f t="shared" si="158"/>
        <v>7.5</v>
      </c>
      <c r="D331" s="74">
        <f t="shared" si="159"/>
        <v>7</v>
      </c>
      <c r="E331" s="74">
        <f t="shared" si="160"/>
        <v>6.5</v>
      </c>
      <c r="F331" s="114">
        <v>6</v>
      </c>
      <c r="G331" s="74">
        <f t="shared" si="161"/>
        <v>5.5</v>
      </c>
      <c r="H331" s="74">
        <f t="shared" si="162"/>
        <v>5</v>
      </c>
      <c r="I331" s="74">
        <f t="shared" si="163"/>
        <v>4.5</v>
      </c>
      <c r="J331" s="114">
        <f t="shared" si="164"/>
        <v>4</v>
      </c>
      <c r="K331" s="74">
        <f t="shared" si="167"/>
        <v>3.6004</v>
      </c>
      <c r="L331" s="74">
        <f t="shared" si="166"/>
        <v>3.2008000000000001</v>
      </c>
      <c r="M331" s="114">
        <f>SUM(J331,-F331,J331,0.4*ABS(J331-F331))</f>
        <v>2.8</v>
      </c>
      <c r="N331" s="115">
        <f t="shared" si="172"/>
        <v>5.64</v>
      </c>
      <c r="O331" s="74">
        <f t="shared" si="173"/>
        <v>8.48</v>
      </c>
      <c r="P331" s="74">
        <f t="shared" si="174"/>
        <v>11.32</v>
      </c>
      <c r="Q331" s="74">
        <f t="shared" si="175"/>
        <v>14.16</v>
      </c>
      <c r="R331" s="114">
        <v>17</v>
      </c>
      <c r="S331" s="129"/>
      <c r="T331" s="117">
        <f>SUM((CN20+CO19+CP18+CQ17+CR16+CS15+CT14+CU13+CV12+CW11+CX10+CY9)*0.132,(CX8+CW8+CV8+CU8+CT8+CS8+CR7+CQ7+CP7+CO7+CN7+CM7+CL6+CK6+CJ6+CI6+CH6+CG6+CF5+CE5+CD5+CC5+CB5+CA5)*0.132/6,(BZ4+BY4+BX4+BW4+BV4)*0.132/5,17)</f>
        <v>18.016738461538463</v>
      </c>
      <c r="U331" s="117"/>
      <c r="V331" s="129"/>
      <c r="W331" s="114"/>
    </row>
    <row r="332" spans="2:23">
      <c r="B332" s="114">
        <v>9</v>
      </c>
      <c r="C332" s="74">
        <f t="shared" si="158"/>
        <v>8.25</v>
      </c>
      <c r="D332" s="74">
        <f t="shared" si="159"/>
        <v>7.5</v>
      </c>
      <c r="E332" s="74">
        <f t="shared" si="160"/>
        <v>6.75</v>
      </c>
      <c r="F332" s="114">
        <v>6</v>
      </c>
      <c r="G332" s="74">
        <f t="shared" si="161"/>
        <v>5.25</v>
      </c>
      <c r="H332" s="74">
        <f t="shared" si="162"/>
        <v>4.5</v>
      </c>
      <c r="I332" s="74">
        <f t="shared" si="163"/>
        <v>3.75</v>
      </c>
      <c r="J332" s="114">
        <f t="shared" si="164"/>
        <v>3</v>
      </c>
      <c r="K332" s="74">
        <f t="shared" si="167"/>
        <v>2.4005999999999998</v>
      </c>
      <c r="L332" s="74">
        <f t="shared" si="166"/>
        <v>1.8012000000000001</v>
      </c>
      <c r="M332" s="114">
        <f>SUM(J332,-F332,J332,0.4*ABS(J332-F332))</f>
        <v>1.2000000000000002</v>
      </c>
      <c r="N332" s="115">
        <f t="shared" si="172"/>
        <v>4.3600000000000003</v>
      </c>
      <c r="O332" s="74">
        <f t="shared" si="173"/>
        <v>7.5200000000000005</v>
      </c>
      <c r="P332" s="74">
        <f t="shared" si="174"/>
        <v>10.68</v>
      </c>
      <c r="Q332" s="74">
        <f t="shared" si="175"/>
        <v>13.84</v>
      </c>
      <c r="R332" s="114">
        <v>17</v>
      </c>
      <c r="S332" s="129"/>
      <c r="T332" s="131">
        <f>SUM((CL20+CO18+CR16+CU14+CX12+CY11+CZ10+DA9)*0.132,(CM19+CN19+CP17+CQ17+CS15+CT15+CV13+CW13)*0.132/2,(CZ8+CY8+CX8+CW8+CV8+CU8+CT8)*0.132/7,(CS7+CR7+CQ7+CP7+CO7+CN7+CM6+CL6+CK6+CJ6+CI6+CH6+CG5+CF5+CE5+CD5+CC5+CB5+CA4+BZ4+BY4+BX4+BW4+BV4)*0.132/6,17)</f>
        <v>18.02553846153846</v>
      </c>
      <c r="U332" s="131"/>
      <c r="V332" s="129"/>
      <c r="W332" s="114"/>
    </row>
    <row r="333" spans="2:23">
      <c r="B333" s="114"/>
      <c r="C333" s="74"/>
      <c r="D333" s="74"/>
      <c r="E333" s="74"/>
      <c r="F333" s="114"/>
      <c r="G333" s="74"/>
      <c r="H333" s="74"/>
      <c r="I333" s="74"/>
      <c r="J333" s="114"/>
      <c r="K333" s="74"/>
      <c r="L333" s="74"/>
      <c r="M333" s="114"/>
      <c r="N333" s="115"/>
      <c r="O333" s="74"/>
      <c r="P333" s="74"/>
      <c r="Q333" s="74"/>
      <c r="R333" s="114"/>
      <c r="S333" s="129"/>
      <c r="T333" s="126"/>
      <c r="U333" s="126"/>
      <c r="V333" s="129"/>
      <c r="W333" s="114"/>
    </row>
    <row r="334" spans="2:23">
      <c r="B334" s="114">
        <v>4</v>
      </c>
      <c r="C334" s="74">
        <f t="shared" si="158"/>
        <v>4.75</v>
      </c>
      <c r="D334" s="74">
        <f t="shared" si="159"/>
        <v>5.5</v>
      </c>
      <c r="E334" s="74">
        <f t="shared" si="160"/>
        <v>6.25</v>
      </c>
      <c r="F334" s="114">
        <v>7</v>
      </c>
      <c r="G334" s="74">
        <f t="shared" si="161"/>
        <v>7.75</v>
      </c>
      <c r="H334" s="74">
        <f t="shared" si="162"/>
        <v>8.5</v>
      </c>
      <c r="I334" s="74">
        <f t="shared" si="163"/>
        <v>9.25</v>
      </c>
      <c r="J334" s="114">
        <f t="shared" si="164"/>
        <v>10</v>
      </c>
      <c r="K334" s="74">
        <f t="shared" si="167"/>
        <v>11.3986</v>
      </c>
      <c r="L334" s="74">
        <f t="shared" si="166"/>
        <v>12.7972</v>
      </c>
      <c r="M334" s="114">
        <f>SUM(J334,-F334,J334,0.4*ABS(J334-F334))</f>
        <v>14.2</v>
      </c>
      <c r="N334" s="115">
        <f t="shared" ref="N334:N340" si="176">SUM(0.2*(R334-M334),M334)</f>
        <v>14.76</v>
      </c>
      <c r="O334" s="74">
        <f t="shared" ref="O334:O340" si="177">SUM(0.4*(R334-M334),M334)</f>
        <v>15.32</v>
      </c>
      <c r="P334" s="74">
        <f t="shared" ref="P334:P340" si="178">SUM(0.6*(R334-M334),M334)</f>
        <v>15.879999999999999</v>
      </c>
      <c r="Q334" s="74">
        <f t="shared" ref="Q334:Q340" si="179">SUM(0.8*(R334-M334),M334)</f>
        <v>16.440000000000001</v>
      </c>
      <c r="R334" s="114">
        <v>17</v>
      </c>
      <c r="S334" s="129"/>
      <c r="T334" s="117">
        <f>SUM((CV20+CS18+CP16+CM14+CJ12)*0.132,(CU19+CT19+CR17+CQ17+CO15+CN15+CL13+CK13+CI11+CH11+CG10+CF10+CE9+CD9+CC8+CB8+CA7+BZ7+BY6+BX6)*0.132/2,(BW5+BV4)*0.132,17)</f>
        <v>18.37753846153846</v>
      </c>
      <c r="U334" s="117"/>
      <c r="V334" s="129"/>
      <c r="W334" s="114"/>
    </row>
    <row r="335" spans="2:23">
      <c r="B335" s="114">
        <v>5</v>
      </c>
      <c r="C335" s="74">
        <f t="shared" si="158"/>
        <v>5.5</v>
      </c>
      <c r="D335" s="74">
        <f t="shared" si="159"/>
        <v>6</v>
      </c>
      <c r="E335" s="74">
        <f t="shared" si="160"/>
        <v>6.5</v>
      </c>
      <c r="F335" s="114">
        <v>7</v>
      </c>
      <c r="G335" s="74">
        <f t="shared" si="161"/>
        <v>7.5</v>
      </c>
      <c r="H335" s="74">
        <f t="shared" si="162"/>
        <v>8</v>
      </c>
      <c r="I335" s="74">
        <f t="shared" si="163"/>
        <v>8.5</v>
      </c>
      <c r="J335" s="114">
        <f t="shared" si="164"/>
        <v>9</v>
      </c>
      <c r="K335" s="74">
        <f t="shared" si="167"/>
        <v>9.9324000000000012</v>
      </c>
      <c r="L335" s="74">
        <f t="shared" si="166"/>
        <v>10.864800000000001</v>
      </c>
      <c r="M335" s="114">
        <f>SUM(J335,-F335,J335,0.4*ABS(J335-F335))</f>
        <v>11.8</v>
      </c>
      <c r="N335" s="115">
        <f t="shared" si="176"/>
        <v>12.84</v>
      </c>
      <c r="O335" s="74">
        <f t="shared" si="177"/>
        <v>13.88</v>
      </c>
      <c r="P335" s="74">
        <f t="shared" si="178"/>
        <v>14.92</v>
      </c>
      <c r="Q335" s="74">
        <f t="shared" si="179"/>
        <v>15.96</v>
      </c>
      <c r="R335" s="114">
        <v>17</v>
      </c>
      <c r="S335" s="129"/>
      <c r="T335" s="117">
        <f>SUM((CT20+CS19+CR18+CQ17+CP16+CO15+CN14+CM13+CL12+CK11)*0.132,(CJ10+CI10+CH9+CG9+CC7+CB7+CA6+BZ6+BY5+BX5+BW4+BV4)*0.132/2,(CF8+CE8+CD8)*0.132/3,17)</f>
        <v>18.22353846153846</v>
      </c>
      <c r="U335" s="117"/>
      <c r="V335" s="129"/>
      <c r="W335" s="114"/>
    </row>
    <row r="336" spans="2:23">
      <c r="B336" s="114">
        <v>6</v>
      </c>
      <c r="C336" s="74">
        <f t="shared" si="158"/>
        <v>6.25</v>
      </c>
      <c r="D336" s="74">
        <f t="shared" si="159"/>
        <v>6.5</v>
      </c>
      <c r="E336" s="74">
        <f t="shared" si="160"/>
        <v>6.75</v>
      </c>
      <c r="F336" s="114">
        <v>7</v>
      </c>
      <c r="G336" s="74">
        <f t="shared" si="161"/>
        <v>7.25</v>
      </c>
      <c r="H336" s="74">
        <f t="shared" si="162"/>
        <v>7.5</v>
      </c>
      <c r="I336" s="74">
        <f t="shared" si="163"/>
        <v>7.75</v>
      </c>
      <c r="J336" s="114">
        <f t="shared" si="164"/>
        <v>8</v>
      </c>
      <c r="K336" s="74">
        <f t="shared" si="167"/>
        <v>8.4662000000000006</v>
      </c>
      <c r="L336" s="74">
        <f t="shared" si="166"/>
        <v>8.9324000000000012</v>
      </c>
      <c r="M336" s="114">
        <f>SUM(J336,-F336,J336,0.4*ABS(J336-F336))</f>
        <v>9.4</v>
      </c>
      <c r="N336" s="115">
        <f t="shared" si="176"/>
        <v>10.92</v>
      </c>
      <c r="O336" s="74">
        <f t="shared" si="177"/>
        <v>12.440000000000001</v>
      </c>
      <c r="P336" s="74">
        <f t="shared" si="178"/>
        <v>13.96</v>
      </c>
      <c r="Q336" s="74">
        <f t="shared" si="179"/>
        <v>15.48</v>
      </c>
      <c r="R336" s="114">
        <v>17</v>
      </c>
      <c r="S336" s="129"/>
      <c r="T336" s="117">
        <f>SUM((CR20+CQ19+CQ18+CP17+CP16+CO15+CO14+CN13+CN12+CM11+CM10+CL9)*0.132,(CK8+CJ8+CI8+CH8)*0.132/4,(CG7+CF7+CE7+CD6+CC6+CB6+CA5+BZ5+BY5+BX4+BW4+BV4)*0.132/3,17)</f>
        <v>18.12453846153846</v>
      </c>
      <c r="U336" s="117"/>
      <c r="V336" s="129"/>
      <c r="W336" s="114"/>
    </row>
    <row r="337" spans="2:23">
      <c r="B337" s="114">
        <v>7</v>
      </c>
      <c r="C337" s="74">
        <f t="shared" si="158"/>
        <v>7</v>
      </c>
      <c r="D337" s="74">
        <f t="shared" si="159"/>
        <v>7</v>
      </c>
      <c r="E337" s="74">
        <f t="shared" si="160"/>
        <v>7</v>
      </c>
      <c r="F337" s="114">
        <v>7</v>
      </c>
      <c r="G337" s="74">
        <f t="shared" si="161"/>
        <v>7</v>
      </c>
      <c r="H337" s="74">
        <f t="shared" si="162"/>
        <v>7</v>
      </c>
      <c r="I337" s="74">
        <f t="shared" si="163"/>
        <v>7</v>
      </c>
      <c r="J337" s="114">
        <f t="shared" si="164"/>
        <v>7</v>
      </c>
      <c r="K337" s="74">
        <f t="shared" si="167"/>
        <v>7.4995000000000003</v>
      </c>
      <c r="L337" s="74">
        <f t="shared" si="166"/>
        <v>7.9990000000000006</v>
      </c>
      <c r="M337" s="114">
        <f>SUM(J337,-F337,J337,0.2*ABS(J337-F337),0.15*(17-F337))</f>
        <v>8.5</v>
      </c>
      <c r="N337" s="115">
        <f t="shared" si="176"/>
        <v>10.199999999999999</v>
      </c>
      <c r="O337" s="74">
        <f t="shared" si="177"/>
        <v>11.9</v>
      </c>
      <c r="P337" s="74">
        <f t="shared" si="178"/>
        <v>13.6</v>
      </c>
      <c r="Q337" s="74">
        <f t="shared" si="179"/>
        <v>15.3</v>
      </c>
      <c r="R337" s="114">
        <v>17</v>
      </c>
      <c r="S337" s="129"/>
      <c r="T337" s="117">
        <f>SUM((CP20+CP19+CP18+CP17+CP16+CP15+CP14+CP13+CP12+CO11+CN10+CM9)*0.132,(CL8+CK8+CJ8+CI8+CH7+CG7+CF7+CE7)*0.132/4,(CD6+CC6+CB6+CA5+BZ5+BY5+BX4+BW4+BV4)*0.132/3,17)</f>
        <v>18.619538461538461</v>
      </c>
      <c r="U337" s="117"/>
      <c r="V337" s="129"/>
      <c r="W337" s="114"/>
    </row>
    <row r="338" spans="2:23">
      <c r="B338" s="114">
        <v>8</v>
      </c>
      <c r="C338" s="74">
        <f t="shared" si="158"/>
        <v>7.75</v>
      </c>
      <c r="D338" s="74">
        <f t="shared" si="159"/>
        <v>7.5</v>
      </c>
      <c r="E338" s="74">
        <f t="shared" si="160"/>
        <v>7.25</v>
      </c>
      <c r="F338" s="114">
        <v>7</v>
      </c>
      <c r="G338" s="74">
        <f t="shared" si="161"/>
        <v>6.75</v>
      </c>
      <c r="H338" s="74">
        <f t="shared" si="162"/>
        <v>6.5</v>
      </c>
      <c r="I338" s="74">
        <f t="shared" si="163"/>
        <v>6.25</v>
      </c>
      <c r="J338" s="114">
        <f t="shared" si="164"/>
        <v>6</v>
      </c>
      <c r="K338" s="74">
        <f t="shared" si="167"/>
        <v>5.8002000000000002</v>
      </c>
      <c r="L338" s="74">
        <f t="shared" si="166"/>
        <v>5.6004000000000005</v>
      </c>
      <c r="M338" s="114">
        <f>SUM(J338,-F338,J338,0.4*ABS(J338-F338))</f>
        <v>5.4</v>
      </c>
      <c r="N338" s="115">
        <f t="shared" si="176"/>
        <v>7.7200000000000006</v>
      </c>
      <c r="O338" s="74">
        <f t="shared" si="177"/>
        <v>10.039999999999999</v>
      </c>
      <c r="P338" s="74">
        <f t="shared" si="178"/>
        <v>12.36</v>
      </c>
      <c r="Q338" s="74">
        <f t="shared" si="179"/>
        <v>14.68</v>
      </c>
      <c r="R338" s="114">
        <v>17</v>
      </c>
      <c r="S338" s="129"/>
      <c r="T338" s="117">
        <f>SUM((CN20+CO19+CO18+CP17+CP16+CQ15+CQ14+CR13+CR12+CS11+CS10+CT9)*0.132,(CS8+CR8+CQ8+CP8+CO8+CN7+CM7+CL7+CK7+CJ7+CI6+CH6+CG6+CF6+CE6+CD5+CC5+CB5+CA5+BZ5)*0.132/5,(BY4+BX4+BW4+BV4)*0.132/4,17)</f>
        <v>17.585538461538462</v>
      </c>
      <c r="U338" s="117"/>
      <c r="V338" s="129"/>
      <c r="W338" s="114"/>
    </row>
    <row r="339" spans="2:23">
      <c r="B339" s="114">
        <v>9</v>
      </c>
      <c r="C339" s="74">
        <f t="shared" si="158"/>
        <v>8.5</v>
      </c>
      <c r="D339" s="74">
        <f t="shared" si="159"/>
        <v>8</v>
      </c>
      <c r="E339" s="74">
        <f t="shared" si="160"/>
        <v>7.5</v>
      </c>
      <c r="F339" s="114">
        <v>7</v>
      </c>
      <c r="G339" s="74">
        <f t="shared" si="161"/>
        <v>6.5</v>
      </c>
      <c r="H339" s="74">
        <f t="shared" si="162"/>
        <v>6</v>
      </c>
      <c r="I339" s="74">
        <f t="shared" si="163"/>
        <v>5.5</v>
      </c>
      <c r="J339" s="114">
        <f t="shared" si="164"/>
        <v>5</v>
      </c>
      <c r="K339" s="74">
        <f t="shared" si="167"/>
        <v>4.6003999999999996</v>
      </c>
      <c r="L339" s="74">
        <f t="shared" si="166"/>
        <v>4.2008000000000001</v>
      </c>
      <c r="M339" s="114">
        <f>SUM(J339,-F339,J339,0.4*ABS(J339-F339))</f>
        <v>3.8</v>
      </c>
      <c r="N339" s="115">
        <f t="shared" si="176"/>
        <v>6.4399999999999995</v>
      </c>
      <c r="O339" s="74">
        <f t="shared" si="177"/>
        <v>9.08</v>
      </c>
      <c r="P339" s="74">
        <f t="shared" si="178"/>
        <v>11.719999999999999</v>
      </c>
      <c r="Q339" s="74">
        <f t="shared" si="179"/>
        <v>14.36</v>
      </c>
      <c r="R339" s="114">
        <v>17</v>
      </c>
      <c r="S339" s="129"/>
      <c r="T339" s="117">
        <f>SUM((CL20+CM19+CN18+CO17+CP16+CQ15+CR14+CS13+CT12+CU11+CV10+CW9)*0.132,(CV8+CU8+CT8+CS8+CR8+CQ8+CP7+CO7+CN7+CM7+CL7+CK7)*0.132/6,(CJ6+CI6+CH6+CG6+CF6+CE5+CD5+CC5+CB5+CA5+BZ4+BY4+BX4+BW4+BV4)*0.132/5,17)</f>
        <v>17.919938461538461</v>
      </c>
      <c r="U339" s="117"/>
      <c r="V339" s="129"/>
      <c r="W339" s="114"/>
    </row>
    <row r="340" spans="2:23">
      <c r="B340" s="114">
        <v>10</v>
      </c>
      <c r="C340" s="74">
        <f t="shared" si="158"/>
        <v>9.25</v>
      </c>
      <c r="D340" s="74">
        <f t="shared" si="159"/>
        <v>8.5</v>
      </c>
      <c r="E340" s="74">
        <f t="shared" si="160"/>
        <v>7.75</v>
      </c>
      <c r="F340" s="114">
        <v>7</v>
      </c>
      <c r="G340" s="74">
        <f t="shared" si="161"/>
        <v>6.25</v>
      </c>
      <c r="H340" s="74">
        <f t="shared" si="162"/>
        <v>5.5</v>
      </c>
      <c r="I340" s="74">
        <f t="shared" si="163"/>
        <v>4.75</v>
      </c>
      <c r="J340" s="114">
        <f t="shared" si="164"/>
        <v>4</v>
      </c>
      <c r="K340" s="74">
        <f t="shared" si="167"/>
        <v>3.4005999999999998</v>
      </c>
      <c r="L340" s="74">
        <f t="shared" si="166"/>
        <v>2.8012000000000001</v>
      </c>
      <c r="M340" s="114">
        <f>SUM(J340,-F340,J340,0.4*ABS(J340-F340))</f>
        <v>2.2000000000000002</v>
      </c>
      <c r="N340" s="115">
        <f t="shared" si="176"/>
        <v>5.16</v>
      </c>
      <c r="O340" s="74">
        <f t="shared" si="177"/>
        <v>8.120000000000001</v>
      </c>
      <c r="P340" s="74">
        <f t="shared" si="178"/>
        <v>11.080000000000002</v>
      </c>
      <c r="Q340" s="74">
        <f t="shared" si="179"/>
        <v>14.040000000000003</v>
      </c>
      <c r="R340" s="114">
        <v>17</v>
      </c>
      <c r="S340" s="129"/>
      <c r="T340" s="117">
        <f>SUM((CJ20+CM18+CP16+CS14+CV12+CY10+CZ9)*0.132,(CK19+CL19+CN17+CO17+CQ15+CR15+CT13+CU13+CW11+CX11)*0.132/2,(CY8+CX8+CW8+CV8+CU8+CT8+CS7+CR7+CQ7+CP7+CO7+CN7+CM6+CL6+CK6+CJ6+CI6+CH6+CG5+CF5+CE5+CD5+CC5+CB5+CA4+BZ4+BY4+BX4+BW4+BV4)*0.132/6,17)</f>
        <v>17.71753846153846</v>
      </c>
      <c r="U340" s="117"/>
      <c r="V340" s="129"/>
      <c r="W340" s="114"/>
    </row>
    <row r="341" spans="2:23">
      <c r="B341" s="114"/>
      <c r="C341" s="74"/>
      <c r="D341" s="74"/>
      <c r="E341" s="74"/>
      <c r="F341" s="114"/>
      <c r="G341" s="74"/>
      <c r="H341" s="74"/>
      <c r="I341" s="74"/>
      <c r="J341" s="114"/>
      <c r="K341" s="74"/>
      <c r="L341" s="74"/>
      <c r="M341" s="114"/>
      <c r="N341" s="115"/>
      <c r="O341" s="74"/>
      <c r="P341" s="74"/>
      <c r="Q341" s="74"/>
      <c r="R341" s="114"/>
      <c r="S341" s="129"/>
      <c r="T341" s="117"/>
      <c r="U341" s="117"/>
      <c r="V341" s="129"/>
      <c r="W341" s="114"/>
    </row>
    <row r="342" spans="2:23">
      <c r="B342" s="114">
        <v>5</v>
      </c>
      <c r="C342" s="74">
        <f t="shared" si="158"/>
        <v>5.75</v>
      </c>
      <c r="D342" s="74">
        <f t="shared" si="159"/>
        <v>6.5</v>
      </c>
      <c r="E342" s="74">
        <f t="shared" si="160"/>
        <v>7.25</v>
      </c>
      <c r="F342" s="114">
        <v>8</v>
      </c>
      <c r="G342" s="74">
        <f t="shared" si="161"/>
        <v>8.75</v>
      </c>
      <c r="H342" s="74">
        <f t="shared" si="162"/>
        <v>9.5</v>
      </c>
      <c r="I342" s="74">
        <f t="shared" si="163"/>
        <v>10.25</v>
      </c>
      <c r="J342" s="114">
        <f t="shared" si="164"/>
        <v>11</v>
      </c>
      <c r="K342" s="74">
        <f t="shared" si="167"/>
        <v>11.74925</v>
      </c>
      <c r="L342" s="74">
        <f t="shared" si="166"/>
        <v>12.4985</v>
      </c>
      <c r="M342" s="114">
        <f>SUM(J342,J342-G342)</f>
        <v>13.25</v>
      </c>
      <c r="N342" s="115">
        <f t="shared" ref="N342:N349" si="180">SUM(0.2*(R342-M342),M342)</f>
        <v>14</v>
      </c>
      <c r="O342" s="74">
        <f t="shared" ref="O342:O349" si="181">SUM(0.4*(R342-M342),M342)</f>
        <v>14.75</v>
      </c>
      <c r="P342" s="74">
        <f t="shared" ref="P342:P349" si="182">SUM(0.6*(R342-M342),M342)</f>
        <v>15.5</v>
      </c>
      <c r="Q342" s="74">
        <f t="shared" ref="Q342:Q349" si="183">SUM(0.8*(R342-M342),M342)</f>
        <v>16.25</v>
      </c>
      <c r="R342" s="114">
        <v>17</v>
      </c>
      <c r="S342" s="129"/>
      <c r="T342" s="117">
        <f>SUM((CT20+CQ18+CN16+CK14+CH12+CG11+BX6+BW5+BV4)*0.132,(CS19+CR19+CP17+CO17+CM15+CL15+CJ13+CI13+CF10+CE10+CD9+CC9+CB8+CA8+BZ7+BY7)*0.132/2,17)</f>
        <v>18.971538461538461</v>
      </c>
      <c r="U342" s="117"/>
      <c r="V342" s="129"/>
      <c r="W342" s="114"/>
    </row>
    <row r="343" spans="2:23">
      <c r="B343" s="114">
        <v>6</v>
      </c>
      <c r="C343" s="74">
        <f t="shared" si="158"/>
        <v>6.5</v>
      </c>
      <c r="D343" s="74">
        <f t="shared" si="159"/>
        <v>7</v>
      </c>
      <c r="E343" s="74">
        <f t="shared" si="160"/>
        <v>7.5</v>
      </c>
      <c r="F343" s="114">
        <v>8</v>
      </c>
      <c r="G343" s="74">
        <f t="shared" si="161"/>
        <v>8.5</v>
      </c>
      <c r="H343" s="74">
        <f t="shared" si="162"/>
        <v>9</v>
      </c>
      <c r="I343" s="74">
        <f t="shared" si="163"/>
        <v>9.5</v>
      </c>
      <c r="J343" s="114">
        <f t="shared" si="164"/>
        <v>10</v>
      </c>
      <c r="K343" s="74">
        <f t="shared" si="167"/>
        <v>10.932400000000001</v>
      </c>
      <c r="L343" s="74">
        <f t="shared" si="166"/>
        <v>11.864800000000001</v>
      </c>
      <c r="M343" s="114">
        <f>SUM(J343,-F343,J343,0.4*ABS(J343-F343))</f>
        <v>12.8</v>
      </c>
      <c r="N343" s="115">
        <f t="shared" si="180"/>
        <v>13.64</v>
      </c>
      <c r="O343" s="74">
        <f t="shared" si="181"/>
        <v>14.48</v>
      </c>
      <c r="P343" s="74">
        <f t="shared" si="182"/>
        <v>15.32</v>
      </c>
      <c r="Q343" s="74">
        <f t="shared" si="183"/>
        <v>16.16</v>
      </c>
      <c r="R343" s="114">
        <v>17</v>
      </c>
      <c r="S343" s="129"/>
      <c r="T343" s="117">
        <f>SUM((CR20+CQ19+CP18+CO17+CN16+CM15+CL14+CK13+CJ12+CI11+BV4)*0.132,(+CH10+CG10+CF9+CE9+CD8+CC8+CB7+CA7+BZ6+BY6+BX5+BW5)*0.132/2,17)</f>
        <v>18.575538461538461</v>
      </c>
      <c r="U343" s="117"/>
      <c r="V343" s="129"/>
      <c r="W343" s="114"/>
    </row>
    <row r="344" spans="2:23">
      <c r="B344" s="114">
        <v>7</v>
      </c>
      <c r="C344" s="74">
        <f t="shared" si="158"/>
        <v>7.25</v>
      </c>
      <c r="D344" s="74">
        <f t="shared" si="159"/>
        <v>7.5</v>
      </c>
      <c r="E344" s="74">
        <f t="shared" si="160"/>
        <v>7.75</v>
      </c>
      <c r="F344" s="114">
        <v>8</v>
      </c>
      <c r="G344" s="74">
        <f t="shared" si="161"/>
        <v>8.25</v>
      </c>
      <c r="H344" s="74">
        <f t="shared" si="162"/>
        <v>8.5</v>
      </c>
      <c r="I344" s="74">
        <f t="shared" si="163"/>
        <v>8.75</v>
      </c>
      <c r="J344" s="114">
        <f t="shared" si="164"/>
        <v>9</v>
      </c>
      <c r="K344" s="74">
        <f t="shared" si="167"/>
        <v>9.4662000000000006</v>
      </c>
      <c r="L344" s="74">
        <f t="shared" si="166"/>
        <v>9.9324000000000012</v>
      </c>
      <c r="M344" s="114">
        <f>SUM(J344,-F344,J344,0.4*ABS(J344-F344))</f>
        <v>10.4</v>
      </c>
      <c r="N344" s="115">
        <f t="shared" si="180"/>
        <v>11.72</v>
      </c>
      <c r="O344" s="74">
        <f t="shared" si="181"/>
        <v>13.040000000000001</v>
      </c>
      <c r="P344" s="74">
        <f t="shared" si="182"/>
        <v>14.36</v>
      </c>
      <c r="Q344" s="74">
        <f t="shared" si="183"/>
        <v>15.68</v>
      </c>
      <c r="R344" s="114">
        <v>17</v>
      </c>
      <c r="S344" s="129"/>
      <c r="T344" s="117">
        <f>SUM((CP20+CO19+CO18+CN17+CN16+CM15+CM14+CL13+CL12+CK12+CJ10+CI9)*0.132,(CH8+CG8+CF8+CE7+CD7+CC7+CB6+CA6+BZ6)*0.132/3,(BY5+BX5+BW4+BV4)*0.132/2,17)</f>
        <v>19.110307692307693</v>
      </c>
      <c r="U344" s="117"/>
      <c r="V344" s="129"/>
      <c r="W344" s="114"/>
    </row>
    <row r="345" spans="2:23">
      <c r="B345" s="114">
        <v>8</v>
      </c>
      <c r="C345" s="74">
        <f t="shared" si="158"/>
        <v>8</v>
      </c>
      <c r="D345" s="74">
        <f t="shared" si="159"/>
        <v>8</v>
      </c>
      <c r="E345" s="74">
        <f t="shared" si="160"/>
        <v>8</v>
      </c>
      <c r="F345" s="114">
        <v>8</v>
      </c>
      <c r="G345" s="74">
        <f t="shared" si="161"/>
        <v>8</v>
      </c>
      <c r="H345" s="74">
        <f t="shared" si="162"/>
        <v>8</v>
      </c>
      <c r="I345" s="74">
        <f t="shared" si="163"/>
        <v>8</v>
      </c>
      <c r="J345" s="114">
        <f t="shared" si="164"/>
        <v>8</v>
      </c>
      <c r="K345" s="74">
        <f t="shared" si="167"/>
        <v>8.4495500000000003</v>
      </c>
      <c r="L345" s="74">
        <f t="shared" si="166"/>
        <v>8.8991000000000007</v>
      </c>
      <c r="M345" s="114">
        <f>SUM(J345,-F345,J345,0.2*ABS(J345-F345),0.15*(17-F345))</f>
        <v>9.35</v>
      </c>
      <c r="N345" s="115">
        <f t="shared" si="180"/>
        <v>10.879999999999999</v>
      </c>
      <c r="O345" s="74">
        <f t="shared" si="181"/>
        <v>12.41</v>
      </c>
      <c r="P345" s="74">
        <f t="shared" si="182"/>
        <v>13.94</v>
      </c>
      <c r="Q345" s="74">
        <f t="shared" si="183"/>
        <v>15.47</v>
      </c>
      <c r="R345" s="114">
        <v>17</v>
      </c>
      <c r="S345" s="129"/>
      <c r="T345" s="117">
        <f>SUM((CN20+CN19+CN18+CN17+CN16+CN15+CN14+CN13+CN12+CM11+CL10+CK9)*0.132,(CJ8+CI8+CH8+CG7+CF7+CE7+CD6+CC6+CB6+CA5+BZ5+BY5+BX4+BW4+BV4)*0.132/3,17)</f>
        <v>17.82753846153846</v>
      </c>
      <c r="U345" s="117"/>
      <c r="V345" s="129"/>
      <c r="W345" s="114"/>
    </row>
    <row r="346" spans="2:23">
      <c r="B346" s="114">
        <v>9</v>
      </c>
      <c r="C346" s="74">
        <f t="shared" si="158"/>
        <v>8.75</v>
      </c>
      <c r="D346" s="74">
        <f t="shared" si="159"/>
        <v>8.5</v>
      </c>
      <c r="E346" s="74">
        <f t="shared" si="160"/>
        <v>8.25</v>
      </c>
      <c r="F346" s="114">
        <v>8</v>
      </c>
      <c r="G346" s="74">
        <f t="shared" si="161"/>
        <v>7.75</v>
      </c>
      <c r="H346" s="74">
        <f t="shared" si="162"/>
        <v>7.5</v>
      </c>
      <c r="I346" s="74">
        <f t="shared" si="163"/>
        <v>7.25</v>
      </c>
      <c r="J346" s="114">
        <f t="shared" si="164"/>
        <v>7</v>
      </c>
      <c r="K346" s="74">
        <f t="shared" si="167"/>
        <v>6.8002000000000002</v>
      </c>
      <c r="L346" s="74">
        <f t="shared" si="166"/>
        <v>6.6004000000000005</v>
      </c>
      <c r="M346" s="114">
        <f>SUM(J346,-F346,J346,0.4*ABS(J346-F346))</f>
        <v>6.4</v>
      </c>
      <c r="N346" s="115">
        <f t="shared" si="180"/>
        <v>8.52</v>
      </c>
      <c r="O346" s="74">
        <f t="shared" si="181"/>
        <v>10.64</v>
      </c>
      <c r="P346" s="74">
        <f t="shared" si="182"/>
        <v>12.76</v>
      </c>
      <c r="Q346" s="74">
        <f t="shared" si="183"/>
        <v>14.88</v>
      </c>
      <c r="R346" s="114">
        <v>17</v>
      </c>
      <c r="S346" s="129"/>
      <c r="T346" s="117">
        <f>SUM((CL20+CM19+CM18+CN17+CN16+CO15+CO14+CP13+CP12+CQ11+CQ10+CQ9)*0.132,(CP8+CO8+CN8+CM8+CL8)*0.132/5,(CK7+CJ7+CI7+CH7+CG6+CF6+CE6+CD6+CC5+CB5+CA5+BZ5+BY4+BX4+BW4+BV4)*0.132/4,17)</f>
        <v>18.555738461538461</v>
      </c>
      <c r="U346" s="117"/>
      <c r="V346" s="129"/>
      <c r="W346" s="114"/>
    </row>
    <row r="347" spans="2:23">
      <c r="B347" s="114">
        <v>10</v>
      </c>
      <c r="C347" s="74">
        <f t="shared" si="158"/>
        <v>9.5</v>
      </c>
      <c r="D347" s="74">
        <f t="shared" si="159"/>
        <v>9</v>
      </c>
      <c r="E347" s="74">
        <f t="shared" si="160"/>
        <v>8.5</v>
      </c>
      <c r="F347" s="114">
        <v>8</v>
      </c>
      <c r="G347" s="74">
        <f t="shared" si="161"/>
        <v>7.5</v>
      </c>
      <c r="H347" s="74">
        <f t="shared" si="162"/>
        <v>7</v>
      </c>
      <c r="I347" s="74">
        <f t="shared" si="163"/>
        <v>6.5</v>
      </c>
      <c r="J347" s="114">
        <f t="shared" si="164"/>
        <v>6</v>
      </c>
      <c r="K347" s="74">
        <f t="shared" si="167"/>
        <v>5.6003999999999996</v>
      </c>
      <c r="L347" s="74">
        <f t="shared" si="166"/>
        <v>5.2008000000000001</v>
      </c>
      <c r="M347" s="114">
        <f>SUM(J347,-F347,J347,0.4*ABS(J347-F347))</f>
        <v>4.8</v>
      </c>
      <c r="N347" s="115">
        <f t="shared" si="180"/>
        <v>7.24</v>
      </c>
      <c r="O347" s="74">
        <f t="shared" si="181"/>
        <v>9.68</v>
      </c>
      <c r="P347" s="74">
        <f t="shared" si="182"/>
        <v>12.12</v>
      </c>
      <c r="Q347" s="74">
        <f t="shared" si="183"/>
        <v>14.559999999999999</v>
      </c>
      <c r="R347" s="114">
        <v>17</v>
      </c>
      <c r="S347" s="129"/>
      <c r="T347" s="117">
        <f>SUM((CJ20+CK19+CL18+CM17+CN16+CO15+CP14+CQ13+CR12+CS11+CT10+CU9)*0.132,(CT8+CS8+CR8+CQ8+CP8+CO7+CN7+CM7+CL7+CK7+CJ6+CI6+CH6+CG6+CF6+CE5+CD5+CC5+CB5+CA5+BZ4+BY4+BX4+BW4+BV4)*0.132/5,17)</f>
        <v>18.073938461538461</v>
      </c>
      <c r="U347" s="117"/>
      <c r="V347" s="129"/>
      <c r="W347" s="114"/>
    </row>
    <row r="348" spans="2:23">
      <c r="B348" s="114">
        <v>11</v>
      </c>
      <c r="C348" s="74">
        <f t="shared" si="158"/>
        <v>10.25</v>
      </c>
      <c r="D348" s="74">
        <f t="shared" si="159"/>
        <v>9.5</v>
      </c>
      <c r="E348" s="74">
        <f t="shared" si="160"/>
        <v>8.75</v>
      </c>
      <c r="F348" s="114">
        <v>8</v>
      </c>
      <c r="G348" s="74">
        <f t="shared" si="161"/>
        <v>7.25</v>
      </c>
      <c r="H348" s="74">
        <f t="shared" si="162"/>
        <v>6.5</v>
      </c>
      <c r="I348" s="74">
        <f t="shared" si="163"/>
        <v>5.75</v>
      </c>
      <c r="J348" s="114">
        <f t="shared" si="164"/>
        <v>5</v>
      </c>
      <c r="K348" s="74">
        <f t="shared" si="167"/>
        <v>4.4005999999999998</v>
      </c>
      <c r="L348" s="74">
        <f t="shared" si="166"/>
        <v>3.8012000000000001</v>
      </c>
      <c r="M348" s="114">
        <f>SUM(J348,-F348,J348,0.4*ABS(J348-F348))</f>
        <v>3.2</v>
      </c>
      <c r="N348" s="115">
        <f t="shared" si="180"/>
        <v>5.9600000000000009</v>
      </c>
      <c r="O348" s="74">
        <f t="shared" si="181"/>
        <v>8.7200000000000006</v>
      </c>
      <c r="P348" s="74">
        <f t="shared" si="182"/>
        <v>11.48</v>
      </c>
      <c r="Q348" s="74">
        <f t="shared" si="183"/>
        <v>14.240000000000002</v>
      </c>
      <c r="R348" s="114">
        <v>17</v>
      </c>
      <c r="S348" s="129"/>
      <c r="T348" s="117">
        <f>SUM((CH20+CK18+CN16+CQ14+CT12+CW10+CX9)*0.132,(CI19+CJ19+CL17+CM17+CO15+CP15+CR13+CS13+CU11+CV11)*0.132/2,(CW8+CV8+CU8+CT8+CS8+CR8+CQ7+CP7+CO7+CN7+CM7+CL7+CK6+CJ6+CI6+CH6+CG6+CF6)*0.132/6,(CE5+CD5+CC5+CB5+CA5+BZ4+BY4+BX4+BW4+BV4)*0.132/5,17)</f>
        <v>18.513938461538462</v>
      </c>
      <c r="U348" s="117"/>
      <c r="V348" s="129"/>
      <c r="W348" s="114"/>
    </row>
    <row r="349" spans="2:23">
      <c r="B349" s="114">
        <v>12</v>
      </c>
      <c r="C349" s="74">
        <f t="shared" si="158"/>
        <v>11</v>
      </c>
      <c r="D349" s="74">
        <f t="shared" si="159"/>
        <v>10</v>
      </c>
      <c r="E349" s="74">
        <f t="shared" si="160"/>
        <v>9</v>
      </c>
      <c r="F349" s="114">
        <v>8</v>
      </c>
      <c r="G349" s="74">
        <f t="shared" si="161"/>
        <v>7</v>
      </c>
      <c r="H349" s="74">
        <f t="shared" si="162"/>
        <v>6</v>
      </c>
      <c r="I349" s="74">
        <f t="shared" si="163"/>
        <v>5</v>
      </c>
      <c r="J349" s="114">
        <f t="shared" si="164"/>
        <v>4</v>
      </c>
      <c r="K349" s="74">
        <f t="shared" si="167"/>
        <v>3.2008000000000001</v>
      </c>
      <c r="L349" s="74">
        <f t="shared" si="166"/>
        <v>2.4016000000000002</v>
      </c>
      <c r="M349" s="114">
        <f>SUM(J349,-F349,J349,0.4*ABS(J349-F349))</f>
        <v>1.6</v>
      </c>
      <c r="N349" s="115">
        <f t="shared" si="180"/>
        <v>4.68</v>
      </c>
      <c r="O349" s="74">
        <f t="shared" si="181"/>
        <v>7.76</v>
      </c>
      <c r="P349" s="74">
        <f t="shared" si="182"/>
        <v>10.84</v>
      </c>
      <c r="Q349" s="74">
        <f t="shared" si="183"/>
        <v>13.92</v>
      </c>
      <c r="R349" s="114">
        <v>17</v>
      </c>
      <c r="S349" s="129"/>
      <c r="T349" s="131">
        <f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18.685538461538464</v>
      </c>
      <c r="U349" s="131"/>
      <c r="V349" s="129"/>
      <c r="W349" s="114"/>
    </row>
    <row r="350" spans="2:23">
      <c r="B350" s="114"/>
      <c r="C350" s="74"/>
      <c r="D350" s="74"/>
      <c r="E350" s="74"/>
      <c r="F350" s="114"/>
      <c r="G350" s="74"/>
      <c r="H350" s="74"/>
      <c r="I350" s="74"/>
      <c r="J350" s="114"/>
      <c r="K350" s="74"/>
      <c r="L350" s="74"/>
      <c r="M350" s="114"/>
      <c r="N350" s="115"/>
      <c r="O350" s="74"/>
      <c r="P350" s="74"/>
      <c r="Q350" s="74"/>
      <c r="R350" s="114"/>
      <c r="S350" s="129"/>
      <c r="T350" s="117"/>
      <c r="U350" s="117"/>
      <c r="V350" s="129"/>
      <c r="W350" s="114"/>
    </row>
    <row r="351" spans="2:23">
      <c r="B351" s="114">
        <v>7</v>
      </c>
      <c r="C351" s="74">
        <f t="shared" si="158"/>
        <v>7.5</v>
      </c>
      <c r="D351" s="74">
        <f t="shared" si="159"/>
        <v>8</v>
      </c>
      <c r="E351" s="74">
        <f t="shared" si="160"/>
        <v>8.5</v>
      </c>
      <c r="F351" s="114">
        <v>9</v>
      </c>
      <c r="G351" s="74">
        <f t="shared" si="161"/>
        <v>9.5</v>
      </c>
      <c r="H351" s="74">
        <f t="shared" si="162"/>
        <v>10</v>
      </c>
      <c r="I351" s="74">
        <f t="shared" si="163"/>
        <v>10.5</v>
      </c>
      <c r="J351" s="114">
        <f t="shared" si="164"/>
        <v>11</v>
      </c>
      <c r="K351" s="74">
        <f t="shared" si="167"/>
        <v>11.932400000000001</v>
      </c>
      <c r="L351" s="74">
        <f t="shared" si="166"/>
        <v>12.864800000000001</v>
      </c>
      <c r="M351" s="114">
        <f>SUM(J351,-F351,J351,0.4*ABS(J351-F351))</f>
        <v>13.8</v>
      </c>
      <c r="N351" s="115">
        <f t="shared" ref="N351:N358" si="184">SUM(0.2*(R351-M351),M351)</f>
        <v>14.440000000000001</v>
      </c>
      <c r="O351" s="74">
        <f t="shared" ref="O351:O358" si="185">SUM(0.4*(R351-M351),M351)</f>
        <v>15.08</v>
      </c>
      <c r="P351" s="74">
        <f t="shared" ref="P351:P358" si="186">SUM(0.6*(R351-M351),M351)</f>
        <v>15.72</v>
      </c>
      <c r="Q351" s="74">
        <f t="shared" ref="Q351:Q358" si="187">SUM(0.8*(R351-M351),M351)</f>
        <v>16.36</v>
      </c>
      <c r="R351" s="114">
        <v>17</v>
      </c>
      <c r="S351" s="129"/>
      <c r="T351" s="117">
        <f>SUM((CP20+CO19+CN18+CM17+CL16+CK15+CJ14+CI13+CH12+BY7+BX6+BW5+BV4)*0.132,(CG11+CF11+CE10+CD10+CC9+CB9+CA8+BZ8)*0.132/2,17)</f>
        <v>19.169538461538462</v>
      </c>
      <c r="U351" s="117"/>
      <c r="V351" s="129"/>
      <c r="W351" s="114"/>
    </row>
    <row r="352" spans="2:23">
      <c r="B352" s="114">
        <v>8</v>
      </c>
      <c r="C352" s="74">
        <f t="shared" si="158"/>
        <v>8.25</v>
      </c>
      <c r="D352" s="74">
        <f t="shared" si="159"/>
        <v>8.5</v>
      </c>
      <c r="E352" s="74">
        <f t="shared" si="160"/>
        <v>8.75</v>
      </c>
      <c r="F352" s="114">
        <v>9</v>
      </c>
      <c r="G352" s="74">
        <f t="shared" si="161"/>
        <v>9.25</v>
      </c>
      <c r="H352" s="74">
        <f t="shared" si="162"/>
        <v>9.5</v>
      </c>
      <c r="I352" s="74">
        <f t="shared" si="163"/>
        <v>9.75</v>
      </c>
      <c r="J352" s="114">
        <f t="shared" si="164"/>
        <v>10</v>
      </c>
      <c r="K352" s="74">
        <f t="shared" si="167"/>
        <v>10.466200000000001</v>
      </c>
      <c r="L352" s="74">
        <f t="shared" si="166"/>
        <v>10.932400000000001</v>
      </c>
      <c r="M352" s="114">
        <f>SUM(J352,-F352,J352,0.4*ABS(J352-F352))</f>
        <v>11.4</v>
      </c>
      <c r="N352" s="115">
        <f t="shared" si="184"/>
        <v>12.52</v>
      </c>
      <c r="O352" s="74">
        <f t="shared" si="185"/>
        <v>13.64</v>
      </c>
      <c r="P352" s="74">
        <f t="shared" si="186"/>
        <v>14.76</v>
      </c>
      <c r="Q352" s="74">
        <f t="shared" si="187"/>
        <v>15.879999999999999</v>
      </c>
      <c r="R352" s="114">
        <v>17</v>
      </c>
      <c r="S352" s="129"/>
      <c r="T352" s="117">
        <f>SUM((CN20+CM19+CM18+CL17+CL16+CK15+CK14+CJ13+CJ12+CI11+CH10+CG9)*0.132,(CF8+CE8+CD8)*0.132/3,(CC7+CB7+CA6+BZ6+BY5+BX5+BW4+BV4)*0.132/2,17)</f>
        <v>19.015538461538462</v>
      </c>
      <c r="U352" s="117"/>
      <c r="V352" s="129"/>
      <c r="W352" s="114"/>
    </row>
    <row r="353" spans="2:23">
      <c r="B353" s="114">
        <v>9</v>
      </c>
      <c r="C353" s="74">
        <f t="shared" si="158"/>
        <v>9</v>
      </c>
      <c r="D353" s="74">
        <f t="shared" si="159"/>
        <v>9</v>
      </c>
      <c r="E353" s="74">
        <f t="shared" si="160"/>
        <v>9</v>
      </c>
      <c r="F353" s="114">
        <v>9</v>
      </c>
      <c r="G353" s="74">
        <f t="shared" si="161"/>
        <v>9</v>
      </c>
      <c r="H353" s="74">
        <f t="shared" si="162"/>
        <v>9</v>
      </c>
      <c r="I353" s="74">
        <f t="shared" si="163"/>
        <v>9</v>
      </c>
      <c r="J353" s="114">
        <f t="shared" si="164"/>
        <v>9</v>
      </c>
      <c r="K353" s="74">
        <f t="shared" si="167"/>
        <v>9.3995999999999995</v>
      </c>
      <c r="L353" s="74">
        <f t="shared" si="166"/>
        <v>9.799199999999999</v>
      </c>
      <c r="M353" s="114">
        <f>SUM(J353,-F353,J353,0.2*ABS(J353-F353),0.15*(17-F353))</f>
        <v>10.199999999999999</v>
      </c>
      <c r="N353" s="115">
        <f t="shared" si="184"/>
        <v>11.559999999999999</v>
      </c>
      <c r="O353" s="74">
        <f t="shared" si="185"/>
        <v>12.92</v>
      </c>
      <c r="P353" s="74">
        <f t="shared" si="186"/>
        <v>14.28</v>
      </c>
      <c r="Q353" s="74">
        <f t="shared" si="187"/>
        <v>15.64</v>
      </c>
      <c r="R353" s="114">
        <v>17</v>
      </c>
      <c r="S353" s="129"/>
      <c r="T353" s="117">
        <f>SUM((CL20+CL19+CL18+CL17+CL16+CL15+CL14+CL13+CL12+CK11+CK10+CJ9)*0.132,(CI8+CH8+CG8+CF7+CE7+CD7+CC6+CB6+CA6+BZ5+BY5+BX5)*0.132/3,(BW4+BV4)*0.132/2,17)</f>
        <v>19.125538461538461</v>
      </c>
      <c r="U353" s="117"/>
      <c r="V353" s="129"/>
      <c r="W353" s="114"/>
    </row>
    <row r="354" spans="2:23">
      <c r="B354" s="114">
        <v>10</v>
      </c>
      <c r="C354" s="74">
        <f t="shared" si="158"/>
        <v>9.75</v>
      </c>
      <c r="D354" s="74">
        <f t="shared" si="159"/>
        <v>9.5</v>
      </c>
      <c r="E354" s="74">
        <f t="shared" si="160"/>
        <v>9.25</v>
      </c>
      <c r="F354" s="114">
        <v>9</v>
      </c>
      <c r="G354" s="74">
        <f t="shared" si="161"/>
        <v>8.75</v>
      </c>
      <c r="H354" s="74">
        <f t="shared" si="162"/>
        <v>8.5</v>
      </c>
      <c r="I354" s="74">
        <f t="shared" si="163"/>
        <v>8.25</v>
      </c>
      <c r="J354" s="114">
        <f t="shared" si="164"/>
        <v>8</v>
      </c>
      <c r="K354" s="74">
        <f t="shared" si="167"/>
        <v>7.8002000000000002</v>
      </c>
      <c r="L354" s="74">
        <f t="shared" si="166"/>
        <v>7.6004000000000005</v>
      </c>
      <c r="M354" s="114">
        <f>SUM(J354,-F354,J354,0.4*ABS(J354-F354))</f>
        <v>7.4</v>
      </c>
      <c r="N354" s="115">
        <f t="shared" si="184"/>
        <v>9.32</v>
      </c>
      <c r="O354" s="74">
        <f t="shared" si="185"/>
        <v>11.24</v>
      </c>
      <c r="P354" s="74">
        <f t="shared" si="186"/>
        <v>13.16</v>
      </c>
      <c r="Q354" s="74">
        <f t="shared" si="187"/>
        <v>15.08</v>
      </c>
      <c r="R354" s="114">
        <v>17</v>
      </c>
      <c r="S354" s="129"/>
      <c r="T354" s="117">
        <f>SUM((CJ20+CK19+CK18+CL17+CL16+CM15+CM14+CN13+CN12+CO11+CO10+CP9)*0.132,(CO8+CN8+CM8+CL8+CK7+CJ7+CI7+CH7+CG6+CF6+CE6+CD6+CC5+CB5+CA5+BZ5+BY4+BX4+BW4+BV4)*0.132/4,17)</f>
        <v>18.806538461538462</v>
      </c>
      <c r="U354" s="117"/>
      <c r="V354" s="129"/>
      <c r="W354" s="114"/>
    </row>
    <row r="355" spans="2:23">
      <c r="B355" s="114">
        <v>11</v>
      </c>
      <c r="C355" s="74">
        <f t="shared" si="158"/>
        <v>10.5</v>
      </c>
      <c r="D355" s="74">
        <f t="shared" si="159"/>
        <v>10</v>
      </c>
      <c r="E355" s="74">
        <f t="shared" si="160"/>
        <v>9.5</v>
      </c>
      <c r="F355" s="114">
        <v>9</v>
      </c>
      <c r="G355" s="74">
        <f t="shared" si="161"/>
        <v>8.5</v>
      </c>
      <c r="H355" s="74">
        <f t="shared" si="162"/>
        <v>8</v>
      </c>
      <c r="I355" s="74">
        <f t="shared" si="163"/>
        <v>7.5</v>
      </c>
      <c r="J355" s="114">
        <f t="shared" si="164"/>
        <v>7</v>
      </c>
      <c r="K355" s="74">
        <f t="shared" si="167"/>
        <v>6.6003999999999996</v>
      </c>
      <c r="L355" s="74">
        <f t="shared" si="166"/>
        <v>6.2008000000000001</v>
      </c>
      <c r="M355" s="114">
        <f>SUM(J355,-F355,J355,0.4*ABS(J355-F355))</f>
        <v>5.8</v>
      </c>
      <c r="N355" s="115">
        <f t="shared" si="184"/>
        <v>8.0399999999999991</v>
      </c>
      <c r="O355" s="74">
        <f t="shared" si="185"/>
        <v>10.28</v>
      </c>
      <c r="P355" s="74">
        <f t="shared" si="186"/>
        <v>12.52</v>
      </c>
      <c r="Q355" s="74">
        <f t="shared" si="187"/>
        <v>14.759999999999998</v>
      </c>
      <c r="R355" s="114">
        <v>17</v>
      </c>
      <c r="S355" s="129"/>
      <c r="T355" s="117">
        <f>SUM((CH20+CI19+CJ18+CK17+CL16+CM15+CN14+CO13+CP12+CQ11+CR10+CR9)*0.132,(CQ8+CP8+CO8+CN8+CM8+CL7+CK7+CJ7+CI7+CH7)*0.132/5,(CG6+CF6+CE6+CD6+CC5+CB5+CA5+BZ5+BY4+BX4+BW4+BV4)*0.132/4,17)</f>
        <v>18.951738461538461</v>
      </c>
      <c r="U355" s="117"/>
      <c r="V355" s="129"/>
      <c r="W355" s="114"/>
    </row>
    <row r="356" spans="2:23">
      <c r="B356" s="114">
        <v>12</v>
      </c>
      <c r="C356" s="74">
        <f t="shared" si="158"/>
        <v>11.25</v>
      </c>
      <c r="D356" s="74">
        <f t="shared" si="159"/>
        <v>10.5</v>
      </c>
      <c r="E356" s="74">
        <f t="shared" si="160"/>
        <v>9.75</v>
      </c>
      <c r="F356" s="114">
        <v>9</v>
      </c>
      <c r="G356" s="74">
        <f t="shared" si="161"/>
        <v>8.25</v>
      </c>
      <c r="H356" s="74">
        <f t="shared" si="162"/>
        <v>7.5</v>
      </c>
      <c r="I356" s="74">
        <f t="shared" si="163"/>
        <v>6.75</v>
      </c>
      <c r="J356" s="114">
        <f t="shared" si="164"/>
        <v>6</v>
      </c>
      <c r="K356" s="74">
        <f t="shared" si="167"/>
        <v>5.4005999999999998</v>
      </c>
      <c r="L356" s="74">
        <f t="shared" si="166"/>
        <v>4.8011999999999997</v>
      </c>
      <c r="M356" s="114">
        <f>SUM(J356,-F356,J356,0.4*ABS(J356-F356))</f>
        <v>4.2</v>
      </c>
      <c r="N356" s="115">
        <f t="shared" si="184"/>
        <v>6.7600000000000007</v>
      </c>
      <c r="O356" s="74">
        <f t="shared" si="185"/>
        <v>9.32</v>
      </c>
      <c r="P356" s="74">
        <f t="shared" si="186"/>
        <v>11.879999999999999</v>
      </c>
      <c r="Q356" s="74">
        <f t="shared" si="187"/>
        <v>14.440000000000001</v>
      </c>
      <c r="R356" s="114">
        <v>17</v>
      </c>
      <c r="S356" s="129"/>
      <c r="T356" s="117">
        <f>SUM((CF20+CI18+CL16+CO14+CR12+CU10+CV9)*0.132,(CG19+CH19+CJ17+CK17+CM15+CN15+CP13+CQ13+CS11+CT11)*0.132/2,(CU8+CT8+CS8+CR8+CQ8+CP8)*0.132/6,(CO7+CN7+CM7+CL7+CK7+CJ6+CI6+CH6+CG6+CF6+CE5+CD5+CC5+CB5+CA5+BZ4+BY4+BX4+BW4+BV4)*0.132/5,17)</f>
        <v>18.659138461538461</v>
      </c>
      <c r="U356" s="117"/>
      <c r="V356" s="129"/>
      <c r="W356" s="114"/>
    </row>
    <row r="357" spans="2:23">
      <c r="B357" s="114">
        <v>13</v>
      </c>
      <c r="C357" s="74">
        <f t="shared" si="158"/>
        <v>12</v>
      </c>
      <c r="D357" s="74">
        <f t="shared" si="159"/>
        <v>11</v>
      </c>
      <c r="E357" s="74">
        <f t="shared" si="160"/>
        <v>10</v>
      </c>
      <c r="F357" s="114">
        <v>9</v>
      </c>
      <c r="G357" s="74">
        <f t="shared" si="161"/>
        <v>8</v>
      </c>
      <c r="H357" s="74">
        <f t="shared" si="162"/>
        <v>7</v>
      </c>
      <c r="I357" s="74">
        <f t="shared" si="163"/>
        <v>6</v>
      </c>
      <c r="J357" s="114">
        <f t="shared" si="164"/>
        <v>5</v>
      </c>
      <c r="K357" s="74">
        <f t="shared" si="167"/>
        <v>4.2008000000000001</v>
      </c>
      <c r="L357" s="74">
        <f t="shared" si="166"/>
        <v>3.4016000000000002</v>
      </c>
      <c r="M357" s="114">
        <f>SUM(J357,-F357,J357,0.4*ABS(J357-F357))</f>
        <v>2.6</v>
      </c>
      <c r="N357" s="115">
        <f t="shared" si="184"/>
        <v>5.48</v>
      </c>
      <c r="O357" s="74">
        <f t="shared" si="185"/>
        <v>8.3600000000000012</v>
      </c>
      <c r="P357" s="74">
        <f t="shared" si="186"/>
        <v>11.24</v>
      </c>
      <c r="Q357" s="74">
        <f t="shared" si="187"/>
        <v>14.120000000000001</v>
      </c>
      <c r="R357" s="114">
        <v>17</v>
      </c>
      <c r="S357" s="129"/>
      <c r="T357" s="117">
        <f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18.874738461538463</v>
      </c>
      <c r="U357" s="117"/>
      <c r="V357" s="129"/>
      <c r="W357" s="114"/>
    </row>
    <row r="358" spans="2:23">
      <c r="B358" s="114">
        <v>14</v>
      </c>
      <c r="C358" s="74">
        <f t="shared" si="158"/>
        <v>12.75</v>
      </c>
      <c r="D358" s="74">
        <f t="shared" si="159"/>
        <v>11.5</v>
      </c>
      <c r="E358" s="74">
        <f t="shared" si="160"/>
        <v>10.25</v>
      </c>
      <c r="F358" s="114">
        <v>9</v>
      </c>
      <c r="G358" s="74">
        <f t="shared" si="161"/>
        <v>7.75</v>
      </c>
      <c r="H358" s="74">
        <f t="shared" si="162"/>
        <v>6.5</v>
      </c>
      <c r="I358" s="74">
        <f t="shared" si="163"/>
        <v>5.25</v>
      </c>
      <c r="J358" s="114">
        <f t="shared" si="164"/>
        <v>4</v>
      </c>
      <c r="K358" s="74">
        <f t="shared" si="167"/>
        <v>3.0009999999999999</v>
      </c>
      <c r="L358" s="74">
        <f t="shared" si="166"/>
        <v>2.0019999999999998</v>
      </c>
      <c r="M358" s="114">
        <f>SUM(J358,-F358,J358,0.4*ABS(J358-F358))</f>
        <v>1</v>
      </c>
      <c r="N358" s="115">
        <f t="shared" si="184"/>
        <v>4.2</v>
      </c>
      <c r="O358" s="74">
        <f t="shared" si="185"/>
        <v>7.4</v>
      </c>
      <c r="P358" s="74">
        <f t="shared" si="186"/>
        <v>10.6</v>
      </c>
      <c r="Q358" s="74">
        <f t="shared" si="187"/>
        <v>13.8</v>
      </c>
      <c r="R358" s="114">
        <v>17</v>
      </c>
      <c r="S358" s="129"/>
      <c r="T358" s="131">
        <f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18.754681318681321</v>
      </c>
      <c r="U358" s="131"/>
      <c r="V358" s="129"/>
      <c r="W358" s="114"/>
    </row>
    <row r="359" spans="2:23">
      <c r="B359" s="114"/>
      <c r="C359" s="74"/>
      <c r="D359" s="74"/>
      <c r="E359" s="74"/>
      <c r="F359" s="114"/>
      <c r="G359" s="74"/>
      <c r="H359" s="74"/>
      <c r="I359" s="74"/>
      <c r="J359" s="114"/>
      <c r="K359" s="74"/>
      <c r="L359" s="74"/>
      <c r="M359" s="114"/>
      <c r="N359" s="115"/>
      <c r="O359" s="74"/>
      <c r="P359" s="74"/>
      <c r="Q359" s="74"/>
      <c r="R359" s="114"/>
      <c r="S359" s="129"/>
      <c r="T359" s="117"/>
      <c r="U359" s="117"/>
      <c r="V359" s="129"/>
      <c r="W359" s="114"/>
    </row>
    <row r="360" spans="2:23">
      <c r="B360" s="114">
        <v>8</v>
      </c>
      <c r="C360" s="74">
        <f>SUM(0.25*(F360-B360),B360)</f>
        <v>8.5</v>
      </c>
      <c r="D360" s="74">
        <f>SUM(0.5*(F360-B360)+B360)</f>
        <v>9</v>
      </c>
      <c r="E360" s="74">
        <f>SUM(0.75*(F360-B360),B360)</f>
        <v>9.5</v>
      </c>
      <c r="F360" s="114">
        <v>10</v>
      </c>
      <c r="G360" s="74">
        <f>SUM(0.25*(J360-F360),F360)</f>
        <v>10.5</v>
      </c>
      <c r="H360" s="74">
        <f>SUM(0.5*(J360-F360),F360)</f>
        <v>11</v>
      </c>
      <c r="I360" s="74">
        <f>SUM(0.75*(J360-F360),F360)</f>
        <v>11.5</v>
      </c>
      <c r="J360" s="114">
        <f>SUM(F360,-B360,F360)</f>
        <v>12</v>
      </c>
      <c r="K360" s="74">
        <f t="shared" si="167"/>
        <v>12.932400000000001</v>
      </c>
      <c r="L360" s="74">
        <f t="shared" si="166"/>
        <v>13.864800000000001</v>
      </c>
      <c r="M360" s="114">
        <f>SUM(J360,-F360,J360,0.4*ABS(J360-F360))</f>
        <v>14.8</v>
      </c>
      <c r="N360" s="115">
        <f t="shared" ref="N360:N367" si="188">SUM(0.2*(R360-M360),M360)</f>
        <v>15.24</v>
      </c>
      <c r="O360" s="74">
        <f t="shared" ref="O360:O367" si="189">SUM(0.4*(R360-M360),M360)</f>
        <v>15.68</v>
      </c>
      <c r="P360" s="74">
        <f t="shared" ref="P360:P367" si="190">SUM(0.6*(R360-M360),M360)</f>
        <v>16.12</v>
      </c>
      <c r="Q360" s="74">
        <f t="shared" ref="Q360:Q367" si="191">SUM(0.8*(R360-M360),M360)</f>
        <v>16.559999999999999</v>
      </c>
      <c r="R360" s="114">
        <v>17</v>
      </c>
      <c r="S360" s="129"/>
      <c r="T360" s="117">
        <f>SUM((CN20+CM19+CL18+CK17+CJ16+CI15+CH14+CG13+CF12+CE11+BZ8+BY7+BX6+BW5+BV4)*0.132,(CD10+CC10+CB9+CA9)*0.132/2,17)</f>
        <v>19.103538461538463</v>
      </c>
      <c r="U360" s="117"/>
      <c r="V360" s="129"/>
      <c r="W360" s="114"/>
    </row>
    <row r="361" spans="2:23">
      <c r="B361" s="114">
        <v>9</v>
      </c>
      <c r="C361" s="74">
        <f t="shared" ref="C361:C428" si="192">SUM(0.25*(F361-B361),B361)</f>
        <v>9.25</v>
      </c>
      <c r="D361" s="74">
        <f t="shared" ref="D361:D428" si="193">SUM(0.5*(F361-B361)+B361)</f>
        <v>9.5</v>
      </c>
      <c r="E361" s="74">
        <f t="shared" ref="E361:E428" si="194">SUM(0.75*(F361-B361),B361)</f>
        <v>9.75</v>
      </c>
      <c r="F361" s="114">
        <v>10</v>
      </c>
      <c r="G361" s="74">
        <f t="shared" ref="G361:G428" si="195">SUM(0.25*(J361-F361),F361)</f>
        <v>10.25</v>
      </c>
      <c r="H361" s="74">
        <f t="shared" ref="H361:H428" si="196">SUM(0.5*(J361-F361),F361)</f>
        <v>10.5</v>
      </c>
      <c r="I361" s="74">
        <f t="shared" ref="I361:I428" si="197">SUM(0.75*(J361-F361),F361)</f>
        <v>10.75</v>
      </c>
      <c r="J361" s="114">
        <f t="shared" ref="J361:J428" si="198">SUM(F361,-B361,F361)</f>
        <v>11</v>
      </c>
      <c r="K361" s="74">
        <f t="shared" si="167"/>
        <v>11.466200000000001</v>
      </c>
      <c r="L361" s="74">
        <f t="shared" si="166"/>
        <v>11.932400000000001</v>
      </c>
      <c r="M361" s="114">
        <f>SUM(J361,-F361,J361,0.4*ABS(J361-F361))</f>
        <v>12.4</v>
      </c>
      <c r="N361" s="115">
        <f t="shared" si="188"/>
        <v>13.32</v>
      </c>
      <c r="O361" s="74">
        <f t="shared" si="189"/>
        <v>14.24</v>
      </c>
      <c r="P361" s="74">
        <f t="shared" si="190"/>
        <v>15.16</v>
      </c>
      <c r="Q361" s="74">
        <f t="shared" si="191"/>
        <v>16.079999999999998</v>
      </c>
      <c r="R361" s="114">
        <v>17</v>
      </c>
      <c r="S361" s="129"/>
      <c r="T361" s="117">
        <f>SUM((CL20+CK19+CK18+CJ17+CJ16+CI15+CI14+CH13+CH12+CG11+CF10+CE9+BV4)*0.132,(CD8+CC8+CB7+CA7+BZ6+BY6+BX5+BW5)*0.132/2,17)</f>
        <v>19.49953846153846</v>
      </c>
      <c r="U361" s="117"/>
      <c r="V361" s="129"/>
      <c r="W361" s="114"/>
    </row>
    <row r="362" spans="2:23">
      <c r="B362" s="114">
        <v>10</v>
      </c>
      <c r="C362" s="74">
        <f t="shared" si="192"/>
        <v>10</v>
      </c>
      <c r="D362" s="74">
        <f t="shared" si="193"/>
        <v>10</v>
      </c>
      <c r="E362" s="74">
        <f t="shared" si="194"/>
        <v>10</v>
      </c>
      <c r="F362" s="114">
        <v>10</v>
      </c>
      <c r="G362" s="74">
        <f t="shared" si="195"/>
        <v>10</v>
      </c>
      <c r="H362" s="74">
        <f t="shared" si="196"/>
        <v>10</v>
      </c>
      <c r="I362" s="74">
        <f t="shared" si="197"/>
        <v>10</v>
      </c>
      <c r="J362" s="114">
        <f t="shared" si="198"/>
        <v>10</v>
      </c>
      <c r="K362" s="74">
        <f t="shared" si="167"/>
        <v>10.34965</v>
      </c>
      <c r="L362" s="74">
        <f t="shared" si="166"/>
        <v>10.699300000000001</v>
      </c>
      <c r="M362" s="114">
        <f>SUM(J362,-F362,J362,0.2*ABS(J362-F362),0.15*(17-F362))</f>
        <v>11.05</v>
      </c>
      <c r="N362" s="115">
        <f t="shared" si="188"/>
        <v>12.24</v>
      </c>
      <c r="O362" s="74">
        <f t="shared" si="189"/>
        <v>13.43</v>
      </c>
      <c r="P362" s="74">
        <f t="shared" si="190"/>
        <v>14.620000000000001</v>
      </c>
      <c r="Q362" s="74">
        <f t="shared" si="191"/>
        <v>15.81</v>
      </c>
      <c r="R362" s="114">
        <v>17</v>
      </c>
      <c r="S362" s="129"/>
      <c r="T362" s="117">
        <f>SUM((CJ20+CJ19+CJ18+CJ17+CJ16+CJ15+CJ14+CJ13+CJ12+CI11+CI10+CH9)*0.132,(CG8+CF8+CE8+CD7+CC7+CB7)*0.132/3,(CA6+BZ6+BY5+BX5+BW4+BV4)*0.132/2,17)</f>
        <v>20.335538461538462</v>
      </c>
      <c r="U362" s="117"/>
      <c r="V362" s="129"/>
      <c r="W362" s="114"/>
    </row>
    <row r="363" spans="2:23">
      <c r="B363" s="114">
        <v>11</v>
      </c>
      <c r="C363" s="74">
        <f t="shared" si="192"/>
        <v>10.75</v>
      </c>
      <c r="D363" s="74">
        <f t="shared" si="193"/>
        <v>10.5</v>
      </c>
      <c r="E363" s="74">
        <f t="shared" si="194"/>
        <v>10.25</v>
      </c>
      <c r="F363" s="114">
        <v>10</v>
      </c>
      <c r="G363" s="74">
        <f t="shared" si="195"/>
        <v>9.75</v>
      </c>
      <c r="H363" s="74">
        <f t="shared" si="196"/>
        <v>9.5</v>
      </c>
      <c r="I363" s="74">
        <f t="shared" si="197"/>
        <v>9.25</v>
      </c>
      <c r="J363" s="114">
        <f t="shared" si="198"/>
        <v>9</v>
      </c>
      <c r="K363" s="74">
        <f t="shared" si="167"/>
        <v>8.8002000000000002</v>
      </c>
      <c r="L363" s="74">
        <f t="shared" si="166"/>
        <v>8.6004000000000005</v>
      </c>
      <c r="M363" s="114">
        <f>SUM(J363,-F363,J363,0.4*ABS(J363-F363))</f>
        <v>8.4</v>
      </c>
      <c r="N363" s="115">
        <f t="shared" si="188"/>
        <v>10.120000000000001</v>
      </c>
      <c r="O363" s="74">
        <f t="shared" si="189"/>
        <v>11.84</v>
      </c>
      <c r="P363" s="74">
        <f t="shared" si="190"/>
        <v>13.559999999999999</v>
      </c>
      <c r="Q363" s="74">
        <f t="shared" si="191"/>
        <v>15.280000000000001</v>
      </c>
      <c r="R363" s="114">
        <v>17</v>
      </c>
      <c r="S363" s="129"/>
      <c r="T363" s="117">
        <f>SUM((CH20+CI19+CI18+CJ17+CJ16+CK15+CK14+CL13+CL12+CM11+CM10+CM9)*0.132,(CL8+CK8+CJ8+CI8+CH7+CG7+CF7+CE7)*0.132/4,(CD6+CC6+CB6+CA5+BZ5+BY5+BX4+BW4+BV4)*0.132/3,17)</f>
        <v>19.411538461538459</v>
      </c>
      <c r="U363" s="117"/>
      <c r="V363" s="129"/>
      <c r="W363" s="114"/>
    </row>
    <row r="364" spans="2:23">
      <c r="B364" s="114">
        <v>12</v>
      </c>
      <c r="C364" s="74">
        <f t="shared" si="192"/>
        <v>11.5</v>
      </c>
      <c r="D364" s="74">
        <f t="shared" si="193"/>
        <v>11</v>
      </c>
      <c r="E364" s="74">
        <f t="shared" si="194"/>
        <v>10.5</v>
      </c>
      <c r="F364" s="114">
        <v>10</v>
      </c>
      <c r="G364" s="74">
        <f t="shared" si="195"/>
        <v>9.5</v>
      </c>
      <c r="H364" s="74">
        <f t="shared" si="196"/>
        <v>9</v>
      </c>
      <c r="I364" s="74">
        <f t="shared" si="197"/>
        <v>8.5</v>
      </c>
      <c r="J364" s="114">
        <f t="shared" si="198"/>
        <v>8</v>
      </c>
      <c r="K364" s="74">
        <f t="shared" si="167"/>
        <v>7.6003999999999996</v>
      </c>
      <c r="L364" s="74">
        <f t="shared" si="166"/>
        <v>7.2008000000000001</v>
      </c>
      <c r="M364" s="114">
        <f>SUM(J364,-F364,J364,0.4*ABS(J364-F364))</f>
        <v>6.8</v>
      </c>
      <c r="N364" s="115">
        <f t="shared" si="188"/>
        <v>8.84</v>
      </c>
      <c r="O364" s="74">
        <f t="shared" si="189"/>
        <v>10.879999999999999</v>
      </c>
      <c r="P364" s="74">
        <f t="shared" si="190"/>
        <v>12.919999999999998</v>
      </c>
      <c r="Q364" s="74">
        <f t="shared" si="191"/>
        <v>14.96</v>
      </c>
      <c r="R364" s="114">
        <v>17</v>
      </c>
      <c r="S364" s="129"/>
      <c r="T364" s="117">
        <f>SUM((CF20+CG19+CH18+CI17+CJ16+CK15+CL14+CM13+CN12+CO11+CP10+CP9)*0.132,(CO8+CN8+CM8+CL8+CK7+CJ7+CI7+CH7+CG6+CF6+CE6+CD6+CC5+CB5+CA5+BZ5+BY4+BX4+BW4+BV4)*0.132/4,17)</f>
        <v>19.466538461538462</v>
      </c>
      <c r="U364" s="117"/>
      <c r="V364" s="129"/>
      <c r="W364" s="114"/>
    </row>
    <row r="365" spans="2:23">
      <c r="B365" s="114">
        <v>13</v>
      </c>
      <c r="C365" s="74">
        <f t="shared" si="192"/>
        <v>12.25</v>
      </c>
      <c r="D365" s="74">
        <f t="shared" si="193"/>
        <v>11.5</v>
      </c>
      <c r="E365" s="74">
        <f t="shared" si="194"/>
        <v>10.75</v>
      </c>
      <c r="F365" s="114">
        <v>10</v>
      </c>
      <c r="G365" s="74">
        <f t="shared" si="195"/>
        <v>9.25</v>
      </c>
      <c r="H365" s="74">
        <f t="shared" si="196"/>
        <v>8.5</v>
      </c>
      <c r="I365" s="74">
        <f t="shared" si="197"/>
        <v>7.75</v>
      </c>
      <c r="J365" s="114">
        <f t="shared" si="198"/>
        <v>7</v>
      </c>
      <c r="K365" s="74">
        <f t="shared" si="167"/>
        <v>6.4005999999999998</v>
      </c>
      <c r="L365" s="74">
        <f t="shared" si="166"/>
        <v>5.8011999999999997</v>
      </c>
      <c r="M365" s="114">
        <f>SUM(J365,-F365,J365,0.4*ABS(J365-F365))</f>
        <v>5.2</v>
      </c>
      <c r="N365" s="115">
        <f t="shared" si="188"/>
        <v>7.5600000000000005</v>
      </c>
      <c r="O365" s="74">
        <f t="shared" si="189"/>
        <v>9.9200000000000017</v>
      </c>
      <c r="P365" s="74">
        <f t="shared" si="190"/>
        <v>12.280000000000001</v>
      </c>
      <c r="Q365" s="74">
        <f t="shared" si="191"/>
        <v>14.64</v>
      </c>
      <c r="R365" s="114">
        <v>17</v>
      </c>
      <c r="S365" s="129"/>
      <c r="T365" s="117">
        <f>SUM((CD20+CG18+CJ16+CM14+CP12+CS10+CT9)*0.132,(CE19+CF19+CH17+CI17+CK15+CL15+CN13+CO13+CQ11+CR11)*0.132/2,(CS8+CR8+CQ8+CP8+CO8+CN7+CM7+CL7+CK7+CJ7+CI6+CH6+CG6+CF6+CE6+CD5+CC5+CB5+CA5+BZ5)*0.132/5,(BY4+BX4+BW4+BV4)*0.132/4,17)</f>
        <v>19.03753846153846</v>
      </c>
      <c r="U365" s="117"/>
      <c r="V365" s="129"/>
      <c r="W365" s="114"/>
    </row>
    <row r="366" spans="2:23">
      <c r="B366" s="114">
        <v>14</v>
      </c>
      <c r="C366" s="74">
        <f t="shared" si="192"/>
        <v>13</v>
      </c>
      <c r="D366" s="74">
        <f t="shared" si="193"/>
        <v>12</v>
      </c>
      <c r="E366" s="74">
        <f t="shared" si="194"/>
        <v>11</v>
      </c>
      <c r="F366" s="114">
        <v>10</v>
      </c>
      <c r="G366" s="74">
        <f t="shared" si="195"/>
        <v>9</v>
      </c>
      <c r="H366" s="74">
        <f t="shared" si="196"/>
        <v>8</v>
      </c>
      <c r="I366" s="74">
        <f t="shared" si="197"/>
        <v>7</v>
      </c>
      <c r="J366" s="114">
        <f t="shared" si="198"/>
        <v>6</v>
      </c>
      <c r="K366" s="74">
        <f t="shared" si="167"/>
        <v>5.2008000000000001</v>
      </c>
      <c r="L366" s="74">
        <f t="shared" si="166"/>
        <v>4.4016000000000002</v>
      </c>
      <c r="M366" s="114">
        <f>SUM(J366,-F366,J366,0.4*ABS(J366-F366))</f>
        <v>3.6</v>
      </c>
      <c r="N366" s="115">
        <f t="shared" si="188"/>
        <v>6.28</v>
      </c>
      <c r="O366" s="74">
        <f t="shared" si="189"/>
        <v>8.9600000000000009</v>
      </c>
      <c r="P366" s="74">
        <f t="shared" si="190"/>
        <v>11.639999999999999</v>
      </c>
      <c r="Q366" s="74">
        <f t="shared" si="191"/>
        <v>14.32</v>
      </c>
      <c r="R366" s="114">
        <v>17</v>
      </c>
      <c r="S366" s="129"/>
      <c r="T366" s="117">
        <f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18.711938461538463</v>
      </c>
      <c r="U366" s="117"/>
      <c r="V366" s="129"/>
      <c r="W366" s="114"/>
    </row>
    <row r="367" spans="2:23">
      <c r="B367" s="114">
        <v>15</v>
      </c>
      <c r="C367" s="74">
        <f t="shared" si="192"/>
        <v>13.75</v>
      </c>
      <c r="D367" s="74">
        <f t="shared" si="193"/>
        <v>12.5</v>
      </c>
      <c r="E367" s="74">
        <f t="shared" si="194"/>
        <v>11.25</v>
      </c>
      <c r="F367" s="114">
        <v>10</v>
      </c>
      <c r="G367" s="74">
        <f t="shared" si="195"/>
        <v>8.75</v>
      </c>
      <c r="H367" s="74">
        <f t="shared" si="196"/>
        <v>7.5</v>
      </c>
      <c r="I367" s="74">
        <f t="shared" si="197"/>
        <v>6.25</v>
      </c>
      <c r="J367" s="114">
        <f t="shared" si="198"/>
        <v>5</v>
      </c>
      <c r="K367" s="74">
        <f t="shared" si="167"/>
        <v>4.0009999999999994</v>
      </c>
      <c r="L367" s="74">
        <f t="shared" si="166"/>
        <v>3.0019999999999998</v>
      </c>
      <c r="M367" s="114">
        <f>SUM(J367,-F367,J367,0.4*ABS(J367-F367))</f>
        <v>2</v>
      </c>
      <c r="N367" s="115">
        <f t="shared" si="188"/>
        <v>5</v>
      </c>
      <c r="O367" s="74">
        <f t="shared" si="189"/>
        <v>8</v>
      </c>
      <c r="P367" s="74">
        <f t="shared" si="190"/>
        <v>11</v>
      </c>
      <c r="Q367" s="74">
        <f t="shared" si="191"/>
        <v>14</v>
      </c>
      <c r="R367" s="114">
        <v>17</v>
      </c>
      <c r="S367" s="129"/>
      <c r="T367" s="117">
        <f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18.729538461538461</v>
      </c>
      <c r="U367" s="117"/>
      <c r="V367" s="129"/>
      <c r="W367" s="114"/>
    </row>
    <row r="368" spans="2:23">
      <c r="B368" s="114"/>
      <c r="C368" s="74"/>
      <c r="D368" s="74"/>
      <c r="E368" s="74"/>
      <c r="F368" s="114"/>
      <c r="G368" s="74"/>
      <c r="H368" s="74"/>
      <c r="I368" s="74"/>
      <c r="J368" s="114"/>
      <c r="K368" s="74"/>
      <c r="L368" s="74"/>
      <c r="M368" s="114"/>
      <c r="N368" s="115"/>
      <c r="O368" s="74"/>
      <c r="P368" s="74"/>
      <c r="Q368" s="74"/>
      <c r="R368" s="114"/>
      <c r="S368" s="129"/>
      <c r="T368" s="117"/>
      <c r="U368" s="117"/>
      <c r="V368" s="129"/>
      <c r="W368" s="114"/>
    </row>
    <row r="369" spans="2:23">
      <c r="B369" s="114">
        <v>9</v>
      </c>
      <c r="C369" s="74">
        <f t="shared" si="192"/>
        <v>9.5</v>
      </c>
      <c r="D369" s="74">
        <f t="shared" si="193"/>
        <v>10</v>
      </c>
      <c r="E369" s="74">
        <f t="shared" si="194"/>
        <v>10.5</v>
      </c>
      <c r="F369" s="114">
        <v>11</v>
      </c>
      <c r="G369" s="74">
        <f t="shared" si="195"/>
        <v>11.5</v>
      </c>
      <c r="H369" s="74">
        <f t="shared" si="196"/>
        <v>12</v>
      </c>
      <c r="I369" s="74">
        <f t="shared" si="197"/>
        <v>12.5</v>
      </c>
      <c r="J369" s="114">
        <f t="shared" si="198"/>
        <v>13</v>
      </c>
      <c r="K369" s="74">
        <f t="shared" si="167"/>
        <v>13.499499999999999</v>
      </c>
      <c r="L369" s="74">
        <f t="shared" ref="L369:L428" si="199">SUM(0.666*(M369-J369),J369)</f>
        <v>13.999000000000001</v>
      </c>
      <c r="M369" s="114">
        <f>SUM(J369,J369-G369)</f>
        <v>14.5</v>
      </c>
      <c r="N369" s="115">
        <f t="shared" ref="N369:N377" si="200">SUM(0.2*(R369-M369),M369)</f>
        <v>15</v>
      </c>
      <c r="O369" s="74">
        <f t="shared" ref="O369:O377" si="201">SUM(0.4*(R369-M369),M369)</f>
        <v>15.5</v>
      </c>
      <c r="P369" s="74">
        <f t="shared" ref="P369:P377" si="202">SUM(0.6*(R369-M369),M369)</f>
        <v>16</v>
      </c>
      <c r="Q369" s="74">
        <f t="shared" ref="Q369:Q377" si="203">SUM(0.8*(R369-M369),M369)</f>
        <v>16.5</v>
      </c>
      <c r="R369" s="114">
        <v>17</v>
      </c>
      <c r="S369" s="129"/>
      <c r="T369" s="117">
        <f>SUM((CL20+CK19+CJ18+CI17+CH16+CG15+CF14+CE13+CD12+CC11+CB10+CA9+BZ8+BY7+BX6+BW5+BV4)*0.132,17)</f>
        <v>18.971538461538461</v>
      </c>
      <c r="U369" s="117"/>
      <c r="V369" s="129"/>
      <c r="W369" s="114"/>
    </row>
    <row r="370" spans="2:23">
      <c r="B370" s="114">
        <v>10</v>
      </c>
      <c r="C370" s="74">
        <f t="shared" si="192"/>
        <v>10.25</v>
      </c>
      <c r="D370" s="74">
        <f t="shared" si="193"/>
        <v>10.5</v>
      </c>
      <c r="E370" s="74">
        <f t="shared" si="194"/>
        <v>10.75</v>
      </c>
      <c r="F370" s="114">
        <v>11</v>
      </c>
      <c r="G370" s="74">
        <f t="shared" si="195"/>
        <v>11.25</v>
      </c>
      <c r="H370" s="74">
        <f t="shared" si="196"/>
        <v>11.5</v>
      </c>
      <c r="I370" s="74">
        <f t="shared" si="197"/>
        <v>11.75</v>
      </c>
      <c r="J370" s="114">
        <f t="shared" si="198"/>
        <v>12</v>
      </c>
      <c r="K370" s="74">
        <f t="shared" si="167"/>
        <v>12.466200000000001</v>
      </c>
      <c r="L370" s="74">
        <f t="shared" si="199"/>
        <v>12.932400000000001</v>
      </c>
      <c r="M370" s="114">
        <f>SUM(J370,-F370,J370,0.4*ABS(J370-F370))</f>
        <v>13.4</v>
      </c>
      <c r="N370" s="115">
        <f t="shared" si="200"/>
        <v>14.120000000000001</v>
      </c>
      <c r="O370" s="74">
        <f t="shared" si="201"/>
        <v>14.84</v>
      </c>
      <c r="P370" s="74">
        <f t="shared" si="202"/>
        <v>15.56</v>
      </c>
      <c r="Q370" s="74">
        <f t="shared" si="203"/>
        <v>16.28</v>
      </c>
      <c r="R370" s="114">
        <v>17</v>
      </c>
      <c r="S370" s="129"/>
      <c r="T370" s="117">
        <f>SUM((CJ20+CI19+CI18+CH17+CH16+CG15+CG14+CF13+CF12+CE11+CD10+CC9)*0.132,(CB8+CA8+BZ7+BY7)*0.132/2,(BX6+BW5+BV4)*0.132,17)</f>
        <v>19.301538461538463</v>
      </c>
      <c r="U370" s="117"/>
      <c r="V370" s="129"/>
      <c r="W370" s="114"/>
    </row>
    <row r="371" spans="2:23">
      <c r="B371" s="114">
        <v>11</v>
      </c>
      <c r="C371" s="74">
        <f t="shared" si="192"/>
        <v>11</v>
      </c>
      <c r="D371" s="74">
        <f t="shared" si="193"/>
        <v>11</v>
      </c>
      <c r="E371" s="74">
        <f t="shared" si="194"/>
        <v>11</v>
      </c>
      <c r="F371" s="114">
        <v>11</v>
      </c>
      <c r="G371" s="74">
        <f t="shared" si="195"/>
        <v>11</v>
      </c>
      <c r="H371" s="74">
        <f t="shared" si="196"/>
        <v>11</v>
      </c>
      <c r="I371" s="74">
        <f t="shared" si="197"/>
        <v>11</v>
      </c>
      <c r="J371" s="114">
        <f t="shared" si="198"/>
        <v>11</v>
      </c>
      <c r="K371" s="74">
        <f t="shared" si="167"/>
        <v>11.2997</v>
      </c>
      <c r="L371" s="74">
        <f t="shared" si="199"/>
        <v>11.599400000000001</v>
      </c>
      <c r="M371" s="114">
        <f>SUM(J371,-F371,J371,0.2*ABS(J371-F371),0.15*(17-F371))</f>
        <v>11.9</v>
      </c>
      <c r="N371" s="115">
        <f t="shared" si="200"/>
        <v>12.92</v>
      </c>
      <c r="O371" s="74">
        <f t="shared" si="201"/>
        <v>13.940000000000001</v>
      </c>
      <c r="P371" s="74">
        <f t="shared" si="202"/>
        <v>14.96</v>
      </c>
      <c r="Q371" s="74">
        <f t="shared" si="203"/>
        <v>15.98</v>
      </c>
      <c r="R371" s="114">
        <v>17</v>
      </c>
      <c r="S371" s="129"/>
      <c r="T371" s="117">
        <f>SUM((CH20+CH19+CH18+CH17+CH16+CH15+CH14+CH13+CH12+CG11+CG10+CF9)*0.132,(CE8+CD8+CC7+CB7+CA6+BZ6+BY5+BX5+BW4+BV4)*0.132/2,17)</f>
        <v>19.763538461538463</v>
      </c>
      <c r="U371" s="117"/>
      <c r="V371" s="129"/>
      <c r="W371" s="114"/>
    </row>
    <row r="372" spans="2:23">
      <c r="B372" s="114">
        <v>12</v>
      </c>
      <c r="C372" s="74">
        <f t="shared" si="192"/>
        <v>11.75</v>
      </c>
      <c r="D372" s="74">
        <f t="shared" si="193"/>
        <v>11.5</v>
      </c>
      <c r="E372" s="74">
        <f t="shared" si="194"/>
        <v>11.25</v>
      </c>
      <c r="F372" s="114">
        <v>11</v>
      </c>
      <c r="G372" s="74">
        <f t="shared" si="195"/>
        <v>10.75</v>
      </c>
      <c r="H372" s="74">
        <f t="shared" si="196"/>
        <v>10.5</v>
      </c>
      <c r="I372" s="74">
        <f t="shared" si="197"/>
        <v>10.25</v>
      </c>
      <c r="J372" s="114">
        <f t="shared" si="198"/>
        <v>10</v>
      </c>
      <c r="K372" s="74">
        <f t="shared" si="167"/>
        <v>9.8002000000000002</v>
      </c>
      <c r="L372" s="74">
        <f t="shared" si="199"/>
        <v>9.6004000000000005</v>
      </c>
      <c r="M372" s="114">
        <f t="shared" ref="M372:M377" si="204">SUM(J372,-F372,J372,0.4*ABS(J372-F372))</f>
        <v>9.4</v>
      </c>
      <c r="N372" s="115">
        <f t="shared" si="200"/>
        <v>10.92</v>
      </c>
      <c r="O372" s="74">
        <f t="shared" si="201"/>
        <v>12.440000000000001</v>
      </c>
      <c r="P372" s="74">
        <f t="shared" si="202"/>
        <v>13.96</v>
      </c>
      <c r="Q372" s="74">
        <f t="shared" si="203"/>
        <v>15.48</v>
      </c>
      <c r="R372" s="114">
        <v>17</v>
      </c>
      <c r="S372" s="129"/>
      <c r="T372" s="117">
        <f>SUM((CF20+CG19+CG18+CH17+CH16+CI15+CI14+CJ13+CJ12+CK11+CK10+CK9)*0.132,(CJ8+CI8+CH8+CG7+CF7+CE7+CD6+CC6+CB6+CA5+BZ5+BY5+BX4+BW4+BV4)*0.132/3,17)</f>
        <v>20.071538461538459</v>
      </c>
      <c r="U372" s="117"/>
      <c r="V372" s="129"/>
      <c r="W372" s="114"/>
    </row>
    <row r="373" spans="2:23">
      <c r="B373" s="114">
        <v>13</v>
      </c>
      <c r="C373" s="74">
        <f t="shared" si="192"/>
        <v>12.5</v>
      </c>
      <c r="D373" s="74">
        <f t="shared" si="193"/>
        <v>12</v>
      </c>
      <c r="E373" s="74">
        <f t="shared" si="194"/>
        <v>11.5</v>
      </c>
      <c r="F373" s="114">
        <v>11</v>
      </c>
      <c r="G373" s="74">
        <f t="shared" si="195"/>
        <v>10.5</v>
      </c>
      <c r="H373" s="74">
        <f t="shared" si="196"/>
        <v>10</v>
      </c>
      <c r="I373" s="74">
        <f t="shared" si="197"/>
        <v>9.5</v>
      </c>
      <c r="J373" s="114">
        <f t="shared" si="198"/>
        <v>9</v>
      </c>
      <c r="K373" s="74">
        <f t="shared" si="167"/>
        <v>8.6004000000000005</v>
      </c>
      <c r="L373" s="74">
        <f t="shared" si="199"/>
        <v>8.2007999999999992</v>
      </c>
      <c r="M373" s="114">
        <f t="shared" si="204"/>
        <v>7.8</v>
      </c>
      <c r="N373" s="115">
        <f t="shared" si="200"/>
        <v>9.64</v>
      </c>
      <c r="O373" s="74">
        <f t="shared" si="201"/>
        <v>11.48</v>
      </c>
      <c r="P373" s="74">
        <f t="shared" si="202"/>
        <v>13.32</v>
      </c>
      <c r="Q373" s="74">
        <f t="shared" si="203"/>
        <v>15.16</v>
      </c>
      <c r="R373" s="114">
        <v>17</v>
      </c>
      <c r="S373" s="129"/>
      <c r="T373" s="117">
        <f>SUM((CD20+CE19+CF18+CG17+CH16+CI15+CJ14+CK13+CL12+CM11+CN10+CN9)*0.132,(CM8+CL8+CK8+CJ8+CI7+CH7+CG7+CF7+CE6+CD6+CC6+CB6)*0.132/4,(CA5+BZ5+BY5+BX4+BW4+BV4)*0.132/3,17)</f>
        <v>19.510538461538459</v>
      </c>
      <c r="U373" s="117"/>
      <c r="V373" s="129"/>
      <c r="W373" s="114"/>
    </row>
    <row r="374" spans="2:23">
      <c r="B374" s="114">
        <v>14</v>
      </c>
      <c r="C374" s="74">
        <f t="shared" si="192"/>
        <v>13.25</v>
      </c>
      <c r="D374" s="74">
        <f t="shared" si="193"/>
        <v>12.5</v>
      </c>
      <c r="E374" s="74">
        <f t="shared" si="194"/>
        <v>11.75</v>
      </c>
      <c r="F374" s="114">
        <v>11</v>
      </c>
      <c r="G374" s="74">
        <f t="shared" si="195"/>
        <v>10.25</v>
      </c>
      <c r="H374" s="74">
        <f t="shared" si="196"/>
        <v>9.5</v>
      </c>
      <c r="I374" s="74">
        <f t="shared" si="197"/>
        <v>8.75</v>
      </c>
      <c r="J374" s="114">
        <f t="shared" si="198"/>
        <v>8</v>
      </c>
      <c r="K374" s="74">
        <f t="shared" ref="K374:K428" si="205">SUM(0.333*(M374-J374),J374)</f>
        <v>7.4005999999999998</v>
      </c>
      <c r="L374" s="74">
        <f t="shared" si="199"/>
        <v>6.8011999999999997</v>
      </c>
      <c r="M374" s="114">
        <f t="shared" si="204"/>
        <v>6.2</v>
      </c>
      <c r="N374" s="115">
        <f t="shared" si="200"/>
        <v>8.36</v>
      </c>
      <c r="O374" s="74">
        <f t="shared" si="201"/>
        <v>10.52</v>
      </c>
      <c r="P374" s="74">
        <f t="shared" si="202"/>
        <v>12.68</v>
      </c>
      <c r="Q374" s="74">
        <f t="shared" si="203"/>
        <v>14.84</v>
      </c>
      <c r="R374" s="114">
        <v>17</v>
      </c>
      <c r="S374" s="129"/>
      <c r="T374" s="117">
        <f>SUM((CB20+CE18+CH16+CK14+CN12+CQ10+CR9)*0.132,(CC19+CD19+CF17+CG17+CI15+CJ15+CL13+CM13+CO11+CP11)*0.132/2,(CQ8+CP8+CO8+CN8+CM8+CL7+CK7+CJ7+CI7+CH7)*0.132/5,(CG6+CF6+CE6+CD6+CC5+CB5+CA5+BZ5+BY4+BX4+BW4+BV4)*0.132/4,17)</f>
        <v>18.951738461538461</v>
      </c>
      <c r="U374" s="117"/>
      <c r="V374" s="129"/>
      <c r="W374" s="114"/>
    </row>
    <row r="375" spans="2:23">
      <c r="B375" s="114">
        <v>15</v>
      </c>
      <c r="C375" s="74">
        <f t="shared" si="192"/>
        <v>14</v>
      </c>
      <c r="D375" s="74">
        <f t="shared" si="193"/>
        <v>13</v>
      </c>
      <c r="E375" s="74">
        <f t="shared" si="194"/>
        <v>12</v>
      </c>
      <c r="F375" s="114">
        <v>11</v>
      </c>
      <c r="G375" s="74">
        <f t="shared" si="195"/>
        <v>10</v>
      </c>
      <c r="H375" s="74">
        <f t="shared" si="196"/>
        <v>9</v>
      </c>
      <c r="I375" s="74">
        <f t="shared" si="197"/>
        <v>8</v>
      </c>
      <c r="J375" s="114">
        <f t="shared" si="198"/>
        <v>7</v>
      </c>
      <c r="K375" s="74">
        <f t="shared" si="205"/>
        <v>6.2008000000000001</v>
      </c>
      <c r="L375" s="74">
        <f t="shared" si="199"/>
        <v>5.4016000000000002</v>
      </c>
      <c r="M375" s="114">
        <f t="shared" si="204"/>
        <v>4.5999999999999996</v>
      </c>
      <c r="N375" s="115">
        <f t="shared" si="200"/>
        <v>7.08</v>
      </c>
      <c r="O375" s="74">
        <f t="shared" si="201"/>
        <v>9.56</v>
      </c>
      <c r="P375" s="74">
        <f t="shared" si="202"/>
        <v>12.04</v>
      </c>
      <c r="Q375" s="74">
        <f t="shared" si="203"/>
        <v>14.520000000000001</v>
      </c>
      <c r="R375" s="114">
        <v>17</v>
      </c>
      <c r="S375" s="129"/>
      <c r="T375" s="117">
        <f>SUM((CA19+CB19+CC18+CD18+CE17+CF17+CG16+CH16+CI15+CJ15+CK14+CL14+CM13+CN13+CO12+CP12+CQ11+CR11+CS10+CT10)*0.132/2,(BZ20+CU9)*0.132,(CT8+CS8+CR8+CQ8+CP8+CO7+CN7+CM7+CL7+CK7+CJ6+CI6+CH6+CG6+CF6+CE5+CD5+CC5+CB5+CA5+BZ4+BY4+BX4+BW4+BV4)*0.132/5,17)</f>
        <v>19.129938461538462</v>
      </c>
      <c r="U375" s="117"/>
      <c r="V375" s="129"/>
      <c r="W375" s="114"/>
    </row>
    <row r="376" spans="2:23">
      <c r="B376" s="114">
        <v>16</v>
      </c>
      <c r="C376" s="74">
        <f t="shared" si="192"/>
        <v>14.75</v>
      </c>
      <c r="D376" s="74">
        <f t="shared" si="193"/>
        <v>13.5</v>
      </c>
      <c r="E376" s="74">
        <f t="shared" si="194"/>
        <v>12.25</v>
      </c>
      <c r="F376" s="114">
        <v>11</v>
      </c>
      <c r="G376" s="74">
        <f t="shared" si="195"/>
        <v>9.75</v>
      </c>
      <c r="H376" s="74">
        <f t="shared" si="196"/>
        <v>8.5</v>
      </c>
      <c r="I376" s="74">
        <f t="shared" si="197"/>
        <v>7.25</v>
      </c>
      <c r="J376" s="114">
        <f t="shared" si="198"/>
        <v>6</v>
      </c>
      <c r="K376" s="74">
        <f t="shared" si="205"/>
        <v>5.0009999999999994</v>
      </c>
      <c r="L376" s="74">
        <f t="shared" si="199"/>
        <v>4.0019999999999998</v>
      </c>
      <c r="M376" s="114">
        <f t="shared" si="204"/>
        <v>3</v>
      </c>
      <c r="N376" s="115">
        <f t="shared" si="200"/>
        <v>5.8000000000000007</v>
      </c>
      <c r="O376" s="74">
        <f t="shared" si="201"/>
        <v>8.6000000000000014</v>
      </c>
      <c r="P376" s="74">
        <f t="shared" si="202"/>
        <v>11.4</v>
      </c>
      <c r="Q376" s="74">
        <f t="shared" si="203"/>
        <v>14.200000000000001</v>
      </c>
      <c r="R376" s="114">
        <v>17</v>
      </c>
      <c r="S376" s="129"/>
      <c r="T376" s="117">
        <f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18.865938461538462</v>
      </c>
      <c r="U376" s="117"/>
      <c r="V376" s="129"/>
      <c r="W376" s="114"/>
    </row>
    <row r="377" spans="2:23">
      <c r="B377" s="114">
        <v>17</v>
      </c>
      <c r="C377" s="74">
        <f t="shared" si="192"/>
        <v>15.5</v>
      </c>
      <c r="D377" s="74">
        <f t="shared" si="193"/>
        <v>14</v>
      </c>
      <c r="E377" s="74">
        <f t="shared" si="194"/>
        <v>12.5</v>
      </c>
      <c r="F377" s="114">
        <v>11</v>
      </c>
      <c r="G377" s="74">
        <f t="shared" si="195"/>
        <v>9.5</v>
      </c>
      <c r="H377" s="74">
        <f t="shared" si="196"/>
        <v>8</v>
      </c>
      <c r="I377" s="74">
        <f t="shared" si="197"/>
        <v>6.5</v>
      </c>
      <c r="J377" s="114">
        <f t="shared" si="198"/>
        <v>5</v>
      </c>
      <c r="K377" s="74">
        <f t="shared" si="205"/>
        <v>3.8012000000000001</v>
      </c>
      <c r="L377" s="74">
        <f t="shared" si="199"/>
        <v>2.6024000000000003</v>
      </c>
      <c r="M377" s="114">
        <f t="shared" si="204"/>
        <v>1.4000000000000004</v>
      </c>
      <c r="N377" s="115">
        <f t="shared" si="200"/>
        <v>4.5200000000000005</v>
      </c>
      <c r="O377" s="74">
        <f t="shared" si="201"/>
        <v>7.6400000000000006</v>
      </c>
      <c r="P377" s="74">
        <f t="shared" si="202"/>
        <v>10.76</v>
      </c>
      <c r="Q377" s="74">
        <f t="shared" si="203"/>
        <v>13.88</v>
      </c>
      <c r="R377" s="114">
        <v>17</v>
      </c>
      <c r="S377" s="129"/>
      <c r="T377" s="131">
        <f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18.861538461538458</v>
      </c>
      <c r="U377" s="131"/>
      <c r="V377" s="129"/>
      <c r="W377" s="114"/>
    </row>
    <row r="378" spans="2:23">
      <c r="B378" s="114"/>
      <c r="C378" s="74"/>
      <c r="D378" s="74"/>
      <c r="E378" s="74"/>
      <c r="F378" s="114"/>
      <c r="G378" s="74"/>
      <c r="H378" s="74"/>
      <c r="I378" s="74"/>
      <c r="J378" s="114"/>
      <c r="K378" s="74"/>
      <c r="L378" s="74"/>
      <c r="M378" s="114"/>
      <c r="N378" s="115"/>
      <c r="O378" s="74"/>
      <c r="P378" s="74"/>
      <c r="Q378" s="74"/>
      <c r="R378" s="114"/>
      <c r="S378" s="129"/>
      <c r="T378" s="117"/>
      <c r="U378" s="117"/>
      <c r="V378" s="129"/>
      <c r="W378" s="114"/>
    </row>
    <row r="379" spans="2:23">
      <c r="B379" s="114">
        <v>11</v>
      </c>
      <c r="C379" s="74">
        <f t="shared" si="192"/>
        <v>11.25</v>
      </c>
      <c r="D379" s="74">
        <f t="shared" si="193"/>
        <v>11.5</v>
      </c>
      <c r="E379" s="74">
        <f t="shared" si="194"/>
        <v>11.75</v>
      </c>
      <c r="F379" s="114">
        <v>12</v>
      </c>
      <c r="G379" s="74">
        <f t="shared" si="195"/>
        <v>12.25</v>
      </c>
      <c r="H379" s="74">
        <f t="shared" si="196"/>
        <v>12.5</v>
      </c>
      <c r="I379" s="74">
        <f t="shared" si="197"/>
        <v>12.75</v>
      </c>
      <c r="J379" s="114">
        <f t="shared" si="198"/>
        <v>13</v>
      </c>
      <c r="K379" s="74">
        <f t="shared" si="205"/>
        <v>13.466200000000001</v>
      </c>
      <c r="L379" s="74">
        <f t="shared" si="199"/>
        <v>13.932400000000001</v>
      </c>
      <c r="M379" s="114">
        <f>SUM(J379,-F379,J379,0.4*ABS(J379-F379))</f>
        <v>14.4</v>
      </c>
      <c r="N379" s="115">
        <f t="shared" ref="N379:N386" si="206">SUM(0.2*(R379-M379),M379)</f>
        <v>14.92</v>
      </c>
      <c r="O379" s="74">
        <f t="shared" ref="O379:O386" si="207">SUM(0.4*(R379-M379),M379)</f>
        <v>15.44</v>
      </c>
      <c r="P379" s="74">
        <f t="shared" ref="P379:P386" si="208">SUM(0.6*(R379-M379),M379)</f>
        <v>15.96</v>
      </c>
      <c r="Q379" s="74">
        <f t="shared" ref="Q379:Q386" si="209">SUM(0.8*(R379-M379),M379)</f>
        <v>16.48</v>
      </c>
      <c r="R379" s="114">
        <v>17</v>
      </c>
      <c r="S379" s="129"/>
      <c r="T379" s="117">
        <f>SUM((CH20+CG19+CG18+CF17+CF16+CE15+CE14+CD13+CD12+CC11+CB10+CA9+BZ8+BY7+BX6+BW5+BV4)*0.132,17)</f>
        <v>18.83953846153846</v>
      </c>
      <c r="U379" s="117"/>
      <c r="V379" s="129"/>
      <c r="W379" s="114"/>
    </row>
    <row r="380" spans="2:23">
      <c r="B380" s="114">
        <v>12</v>
      </c>
      <c r="C380" s="74">
        <f t="shared" si="192"/>
        <v>12</v>
      </c>
      <c r="D380" s="74">
        <f t="shared" si="193"/>
        <v>12</v>
      </c>
      <c r="E380" s="74">
        <f t="shared" si="194"/>
        <v>12</v>
      </c>
      <c r="F380" s="114">
        <v>12</v>
      </c>
      <c r="G380" s="74">
        <f t="shared" si="195"/>
        <v>12</v>
      </c>
      <c r="H380" s="74">
        <f t="shared" si="196"/>
        <v>12</v>
      </c>
      <c r="I380" s="74">
        <f t="shared" si="197"/>
        <v>12</v>
      </c>
      <c r="J380" s="114">
        <f t="shared" si="198"/>
        <v>12</v>
      </c>
      <c r="K380" s="74">
        <f t="shared" si="205"/>
        <v>12.249750000000001</v>
      </c>
      <c r="L380" s="74">
        <f t="shared" si="199"/>
        <v>12.499499999999999</v>
      </c>
      <c r="M380" s="114">
        <f>SUM(J380,-F380,J380,0.2*ABS(J380-F380),0.15*(17-F380))</f>
        <v>12.75</v>
      </c>
      <c r="N380" s="115">
        <f t="shared" si="206"/>
        <v>13.6</v>
      </c>
      <c r="O380" s="74">
        <f t="shared" si="207"/>
        <v>14.45</v>
      </c>
      <c r="P380" s="74">
        <f t="shared" si="208"/>
        <v>15.3</v>
      </c>
      <c r="Q380" s="74">
        <f t="shared" si="209"/>
        <v>16.149999999999999</v>
      </c>
      <c r="R380" s="114">
        <v>17</v>
      </c>
      <c r="S380" s="129"/>
      <c r="T380" s="117">
        <f>SUM((CF20+CF19+CF18+CF17+CF16+CF15+CF14+CF13+CF12+CF11+CE10+CD9)*0.132,(CC8+CB8+CA7+BZ7+BY6+BX6)*0.132/2,(BW5+BV4)*0.132,17)</f>
        <v>19.631538461538462</v>
      </c>
      <c r="U380" s="117"/>
      <c r="V380" s="129"/>
      <c r="W380" s="114"/>
    </row>
    <row r="381" spans="2:23">
      <c r="B381" s="114">
        <v>13</v>
      </c>
      <c r="C381" s="74">
        <f t="shared" si="192"/>
        <v>12.75</v>
      </c>
      <c r="D381" s="74">
        <f t="shared" si="193"/>
        <v>12.5</v>
      </c>
      <c r="E381" s="74">
        <f t="shared" si="194"/>
        <v>12.25</v>
      </c>
      <c r="F381" s="114">
        <v>12</v>
      </c>
      <c r="G381" s="74">
        <f t="shared" si="195"/>
        <v>11.75</v>
      </c>
      <c r="H381" s="74">
        <f t="shared" si="196"/>
        <v>11.5</v>
      </c>
      <c r="I381" s="74">
        <f t="shared" si="197"/>
        <v>11.25</v>
      </c>
      <c r="J381" s="114">
        <f t="shared" si="198"/>
        <v>11</v>
      </c>
      <c r="K381" s="74">
        <f t="shared" si="205"/>
        <v>10.8002</v>
      </c>
      <c r="L381" s="74">
        <f t="shared" si="199"/>
        <v>10.6004</v>
      </c>
      <c r="M381" s="114">
        <f t="shared" ref="M381:M386" si="210">SUM(J381,-F381,J381,0.4*ABS(J381-F381))</f>
        <v>10.4</v>
      </c>
      <c r="N381" s="115">
        <f t="shared" si="206"/>
        <v>11.72</v>
      </c>
      <c r="O381" s="74">
        <f t="shared" si="207"/>
        <v>13.040000000000001</v>
      </c>
      <c r="P381" s="74">
        <f t="shared" si="208"/>
        <v>14.36</v>
      </c>
      <c r="Q381" s="74">
        <f t="shared" si="209"/>
        <v>15.68</v>
      </c>
      <c r="R381" s="114">
        <v>17</v>
      </c>
      <c r="S381" s="129"/>
      <c r="T381" s="117">
        <f>SUM((CD20+CE19+CE18+CF17+CF16+CG15+CG14+CH13+CH12+CI11+CI10+CI9)*0.132,(CH8+CG8+CF8+CE7+CD7+CC7+CB6+CA6+BZ6)*0.132/3,(BY5+BX5+BW4+BV4)*0.132/2,17)</f>
        <v>19.279538461538461</v>
      </c>
      <c r="U381" s="117"/>
      <c r="V381" s="129"/>
      <c r="W381" s="114"/>
    </row>
    <row r="382" spans="2:23">
      <c r="B382" s="114">
        <v>14</v>
      </c>
      <c r="C382" s="74">
        <f t="shared" si="192"/>
        <v>13.5</v>
      </c>
      <c r="D382" s="74">
        <f t="shared" si="193"/>
        <v>13</v>
      </c>
      <c r="E382" s="74">
        <f t="shared" si="194"/>
        <v>12.5</v>
      </c>
      <c r="F382" s="114">
        <v>12</v>
      </c>
      <c r="G382" s="74">
        <f t="shared" si="195"/>
        <v>11.5</v>
      </c>
      <c r="H382" s="74">
        <f t="shared" si="196"/>
        <v>11</v>
      </c>
      <c r="I382" s="74">
        <f t="shared" si="197"/>
        <v>10.5</v>
      </c>
      <c r="J382" s="114">
        <f t="shared" si="198"/>
        <v>10</v>
      </c>
      <c r="K382" s="74">
        <f t="shared" si="205"/>
        <v>9.6004000000000005</v>
      </c>
      <c r="L382" s="74">
        <f t="shared" si="199"/>
        <v>9.200800000000001</v>
      </c>
      <c r="M382" s="114">
        <f t="shared" si="210"/>
        <v>8.8000000000000007</v>
      </c>
      <c r="N382" s="115">
        <f t="shared" si="206"/>
        <v>10.440000000000001</v>
      </c>
      <c r="O382" s="74">
        <f t="shared" si="207"/>
        <v>12.08</v>
      </c>
      <c r="P382" s="74">
        <f t="shared" si="208"/>
        <v>13.719999999999999</v>
      </c>
      <c r="Q382" s="74">
        <f t="shared" si="209"/>
        <v>15.36</v>
      </c>
      <c r="R382" s="114">
        <v>17</v>
      </c>
      <c r="S382" s="129"/>
      <c r="T382" s="117">
        <f>SUM((CB20+CC19+CD18+CE17+CF16+CG15+CH14+CI13+CJ12+CK11+CL10+CL9)*0.132,(CK8+CJ8+CI8+CH8)*0.132/4,(CG7+CF7+CE7+CD6+CC6+CB6+CA5+BZ5+BY5+BX4+BW4+BV4)*0.132/3,17)</f>
        <v>19.312538461538463</v>
      </c>
      <c r="U382" s="117"/>
      <c r="V382" s="129"/>
      <c r="W382" s="114"/>
    </row>
    <row r="383" spans="2:23">
      <c r="B383" s="114">
        <v>15</v>
      </c>
      <c r="C383" s="74">
        <f t="shared" si="192"/>
        <v>14.25</v>
      </c>
      <c r="D383" s="74">
        <f t="shared" si="193"/>
        <v>13.5</v>
      </c>
      <c r="E383" s="74">
        <f t="shared" si="194"/>
        <v>12.75</v>
      </c>
      <c r="F383" s="114">
        <v>12</v>
      </c>
      <c r="G383" s="74">
        <f t="shared" si="195"/>
        <v>11.25</v>
      </c>
      <c r="H383" s="74">
        <f t="shared" si="196"/>
        <v>10.5</v>
      </c>
      <c r="I383" s="74">
        <f t="shared" si="197"/>
        <v>9.75</v>
      </c>
      <c r="J383" s="114">
        <f t="shared" si="198"/>
        <v>9</v>
      </c>
      <c r="K383" s="74">
        <f t="shared" si="205"/>
        <v>8.4006000000000007</v>
      </c>
      <c r="L383" s="74">
        <f t="shared" si="199"/>
        <v>7.8011999999999997</v>
      </c>
      <c r="M383" s="114">
        <f t="shared" si="210"/>
        <v>7.2</v>
      </c>
      <c r="N383" s="115">
        <f t="shared" si="206"/>
        <v>9.16</v>
      </c>
      <c r="O383" s="74">
        <f t="shared" si="207"/>
        <v>11.120000000000001</v>
      </c>
      <c r="P383" s="74">
        <f t="shared" si="208"/>
        <v>13.08</v>
      </c>
      <c r="Q383" s="74">
        <f t="shared" si="209"/>
        <v>15.040000000000001</v>
      </c>
      <c r="R383" s="114">
        <v>17</v>
      </c>
      <c r="S383" s="129"/>
      <c r="T383" s="117">
        <f>SUM((BZ20+CC18+CF16+CI14+CL12+CO10+CP9)*0.132,(CA19+CB19+CD17+CE17+CG15+CH15+CJ13+CK13+CM11+CN11)*0.132/2,(CO8+CN8+CM8+CL8+CK7+CJ7+CI7+CH7+CG6+CF6+CE6+CD6+CC5+CB5+CA5+BZ5+BY4+BX4+BW4+BV4)*0.132/4,17)</f>
        <v>19.664538461538463</v>
      </c>
      <c r="U383" s="117"/>
      <c r="V383" s="129"/>
      <c r="W383" s="114"/>
    </row>
    <row r="384" spans="2:23">
      <c r="B384" s="114">
        <v>16</v>
      </c>
      <c r="C384" s="74">
        <f t="shared" si="192"/>
        <v>15</v>
      </c>
      <c r="D384" s="74">
        <f t="shared" si="193"/>
        <v>14</v>
      </c>
      <c r="E384" s="74">
        <f t="shared" si="194"/>
        <v>13</v>
      </c>
      <c r="F384" s="114">
        <v>12</v>
      </c>
      <c r="G384" s="74">
        <f t="shared" si="195"/>
        <v>11</v>
      </c>
      <c r="H384" s="74">
        <f t="shared" si="196"/>
        <v>10</v>
      </c>
      <c r="I384" s="74">
        <f t="shared" si="197"/>
        <v>9</v>
      </c>
      <c r="J384" s="114">
        <f t="shared" si="198"/>
        <v>8</v>
      </c>
      <c r="K384" s="74">
        <f t="shared" si="205"/>
        <v>7.2008000000000001</v>
      </c>
      <c r="L384" s="74">
        <f t="shared" si="199"/>
        <v>6.4016000000000002</v>
      </c>
      <c r="M384" s="114">
        <f t="shared" si="210"/>
        <v>5.6</v>
      </c>
      <c r="N384" s="115">
        <f t="shared" si="206"/>
        <v>7.88</v>
      </c>
      <c r="O384" s="74">
        <f t="shared" si="207"/>
        <v>10.16</v>
      </c>
      <c r="P384" s="74">
        <f t="shared" si="208"/>
        <v>12.44</v>
      </c>
      <c r="Q384" s="74">
        <f t="shared" si="209"/>
        <v>14.72</v>
      </c>
      <c r="R384" s="114">
        <v>17</v>
      </c>
      <c r="S384" s="129"/>
      <c r="T384" s="117">
        <f>SUM((BY19+BZ19+CA18+CB18+CC17+CD17+CE16+CF16+CG15+CH15+CI14+CJ14+CK13+CL13+CM12+CN12+CO11+CP11+CQ10+CR10)*0.132/2,(BX20+CS9)*0.132,(CR8+CQ8+CP8+CO8+CN8+CM7+CL7+CK7+CJ7+CI7+CH6+CG6+CF6+CE6+CD6)*0.132/5,(CC5+CB5+CA5+BZ5+BY4+BX4+BW4+BV4)*0.132/4,17)</f>
        <v>19.215738461538461</v>
      </c>
      <c r="U384" s="117"/>
      <c r="V384" s="129"/>
      <c r="W384" s="114"/>
    </row>
    <row r="385" spans="2:23">
      <c r="B385" s="114">
        <v>17</v>
      </c>
      <c r="C385" s="74">
        <f t="shared" si="192"/>
        <v>15.75</v>
      </c>
      <c r="D385" s="74">
        <f t="shared" si="193"/>
        <v>14.5</v>
      </c>
      <c r="E385" s="74">
        <f t="shared" si="194"/>
        <v>13.25</v>
      </c>
      <c r="F385" s="114">
        <v>12</v>
      </c>
      <c r="G385" s="74">
        <f t="shared" si="195"/>
        <v>10.75</v>
      </c>
      <c r="H385" s="74">
        <f t="shared" si="196"/>
        <v>9.5</v>
      </c>
      <c r="I385" s="74">
        <f t="shared" si="197"/>
        <v>8.25</v>
      </c>
      <c r="J385" s="114">
        <f t="shared" si="198"/>
        <v>7</v>
      </c>
      <c r="K385" s="74">
        <f t="shared" si="205"/>
        <v>6.0009999999999994</v>
      </c>
      <c r="L385" s="74">
        <f t="shared" si="199"/>
        <v>5.0019999999999998</v>
      </c>
      <c r="M385" s="114">
        <f t="shared" si="210"/>
        <v>4</v>
      </c>
      <c r="N385" s="115">
        <f t="shared" si="206"/>
        <v>6.6</v>
      </c>
      <c r="O385" s="74">
        <f t="shared" si="207"/>
        <v>9.1999999999999993</v>
      </c>
      <c r="P385" s="74">
        <f t="shared" si="208"/>
        <v>11.8</v>
      </c>
      <c r="Q385" s="74">
        <f t="shared" si="209"/>
        <v>14.4</v>
      </c>
      <c r="R385" s="114">
        <v>17</v>
      </c>
      <c r="S385" s="129"/>
      <c r="T385" s="117">
        <f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19.143138461538463</v>
      </c>
      <c r="U385" s="117"/>
      <c r="V385" s="129"/>
      <c r="W385" s="114"/>
    </row>
    <row r="386" spans="2:23">
      <c r="B386" s="114">
        <v>18</v>
      </c>
      <c r="C386" s="74">
        <f t="shared" si="192"/>
        <v>16.5</v>
      </c>
      <c r="D386" s="74">
        <f t="shared" si="193"/>
        <v>15</v>
      </c>
      <c r="E386" s="74">
        <f t="shared" si="194"/>
        <v>13.5</v>
      </c>
      <c r="F386" s="114">
        <v>12</v>
      </c>
      <c r="G386" s="74">
        <f t="shared" si="195"/>
        <v>10.5</v>
      </c>
      <c r="H386" s="74">
        <f t="shared" si="196"/>
        <v>9</v>
      </c>
      <c r="I386" s="74">
        <f t="shared" si="197"/>
        <v>7.5</v>
      </c>
      <c r="J386" s="114">
        <f t="shared" si="198"/>
        <v>6</v>
      </c>
      <c r="K386" s="74">
        <f t="shared" si="205"/>
        <v>4.8011999999999997</v>
      </c>
      <c r="L386" s="74">
        <f t="shared" si="199"/>
        <v>3.6024000000000003</v>
      </c>
      <c r="M386" s="114">
        <f t="shared" si="210"/>
        <v>2.4000000000000004</v>
      </c>
      <c r="N386" s="115">
        <f t="shared" si="206"/>
        <v>5.32</v>
      </c>
      <c r="O386" s="74">
        <f t="shared" si="207"/>
        <v>8.24</v>
      </c>
      <c r="P386" s="74">
        <f t="shared" si="208"/>
        <v>11.16</v>
      </c>
      <c r="Q386" s="74">
        <f t="shared" si="209"/>
        <v>14.08</v>
      </c>
      <c r="R386" s="114">
        <v>17</v>
      </c>
      <c r="S386" s="129"/>
      <c r="T386" s="117">
        <f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18.76473846153846</v>
      </c>
      <c r="U386" s="117"/>
      <c r="V386" s="129"/>
      <c r="W386" s="114"/>
    </row>
    <row r="387" spans="2:23">
      <c r="B387" s="114"/>
      <c r="C387" s="74"/>
      <c r="D387" s="74"/>
      <c r="E387" s="74"/>
      <c r="F387" s="114"/>
      <c r="G387" s="74"/>
      <c r="H387" s="74"/>
      <c r="I387" s="74"/>
      <c r="J387" s="114"/>
      <c r="K387" s="74"/>
      <c r="L387" s="74"/>
      <c r="M387" s="114"/>
      <c r="N387" s="115"/>
      <c r="O387" s="74"/>
      <c r="P387" s="74"/>
      <c r="Q387" s="74"/>
      <c r="R387" s="114"/>
      <c r="S387" s="129"/>
      <c r="T387" s="117"/>
      <c r="U387" s="117"/>
      <c r="V387" s="129"/>
      <c r="W387" s="114"/>
    </row>
    <row r="388" spans="2:23">
      <c r="B388" s="114">
        <v>12</v>
      </c>
      <c r="C388" s="74">
        <f t="shared" si="192"/>
        <v>12.25</v>
      </c>
      <c r="D388" s="74">
        <f t="shared" si="193"/>
        <v>12.5</v>
      </c>
      <c r="E388" s="74">
        <f t="shared" si="194"/>
        <v>12.75</v>
      </c>
      <c r="F388" s="114">
        <v>13</v>
      </c>
      <c r="G388" s="74">
        <f t="shared" si="195"/>
        <v>13.25</v>
      </c>
      <c r="H388" s="74">
        <f t="shared" si="196"/>
        <v>13.5</v>
      </c>
      <c r="I388" s="74">
        <f t="shared" si="197"/>
        <v>13.75</v>
      </c>
      <c r="J388" s="114">
        <f t="shared" si="198"/>
        <v>14</v>
      </c>
      <c r="K388" s="74">
        <f t="shared" si="205"/>
        <v>14.466200000000001</v>
      </c>
      <c r="L388" s="74">
        <f t="shared" si="199"/>
        <v>14.932400000000001</v>
      </c>
      <c r="M388" s="114">
        <f>SUM(J388,-F388,J388,0.4*ABS(J388-F388))</f>
        <v>15.4</v>
      </c>
      <c r="N388" s="115">
        <f t="shared" ref="N388:N396" si="211">SUM(0.2*(R388-M388),M388)</f>
        <v>15.72</v>
      </c>
      <c r="O388" s="74">
        <f t="shared" ref="O388:O396" si="212">SUM(0.4*(R388-M388),M388)</f>
        <v>16.04</v>
      </c>
      <c r="P388" s="74">
        <f t="shared" ref="P388:P396" si="213">SUM(0.6*(R388-M388),M388)</f>
        <v>16.36</v>
      </c>
      <c r="Q388" s="74">
        <f t="shared" ref="Q388:Q396" si="214">SUM(0.8*(R388-M388),M388)</f>
        <v>16.68</v>
      </c>
      <c r="R388" s="114">
        <v>17</v>
      </c>
      <c r="S388" s="129"/>
      <c r="T388" s="117">
        <f>SUM((CF20+CE19+CE18+CD17+CD16+CC15+CC14+CB13+CB12+CA11+BZ10+BY9+BX8+BW7+BW6+BV5+BV4)*0.132,17)</f>
        <v>19.103538461538459</v>
      </c>
      <c r="U388" s="117"/>
      <c r="V388" s="129"/>
      <c r="W388" s="114"/>
    </row>
    <row r="389" spans="2:23">
      <c r="B389" s="114">
        <v>13</v>
      </c>
      <c r="C389" s="74">
        <f t="shared" si="192"/>
        <v>13</v>
      </c>
      <c r="D389" s="74">
        <f t="shared" si="193"/>
        <v>13</v>
      </c>
      <c r="E389" s="74">
        <f t="shared" si="194"/>
        <v>13</v>
      </c>
      <c r="F389" s="114">
        <v>13</v>
      </c>
      <c r="G389" s="74">
        <f t="shared" si="195"/>
        <v>13</v>
      </c>
      <c r="H389" s="74">
        <f t="shared" si="196"/>
        <v>13</v>
      </c>
      <c r="I389" s="74">
        <f t="shared" si="197"/>
        <v>13</v>
      </c>
      <c r="J389" s="114">
        <f t="shared" si="198"/>
        <v>13</v>
      </c>
      <c r="K389" s="74">
        <f t="shared" si="205"/>
        <v>13.1998</v>
      </c>
      <c r="L389" s="74">
        <f t="shared" si="199"/>
        <v>13.3996</v>
      </c>
      <c r="M389" s="114">
        <f>SUM(J389,-F389,J389,0.2*ABS(J389-F389),0.15*(17-F389))</f>
        <v>13.6</v>
      </c>
      <c r="N389" s="115">
        <f t="shared" si="211"/>
        <v>14.28</v>
      </c>
      <c r="O389" s="74">
        <f t="shared" si="212"/>
        <v>14.96</v>
      </c>
      <c r="P389" s="74">
        <f t="shared" si="213"/>
        <v>15.64</v>
      </c>
      <c r="Q389" s="74">
        <f t="shared" si="214"/>
        <v>16.32</v>
      </c>
      <c r="R389" s="114">
        <v>17</v>
      </c>
      <c r="S389" s="129"/>
      <c r="T389" s="117">
        <f>SUM((CD20+CD19+CD18+CD17+CD16+CD15+CD14+CD13+CD12+CD11+CD10+CC9+BX6+BW5+BV4)*0.132,(CB8+CA8+BZ7+BY7)*0.132/2,17)</f>
        <v>19.433538461538461</v>
      </c>
      <c r="U389" s="117"/>
      <c r="V389" s="129"/>
      <c r="W389" s="114"/>
    </row>
    <row r="390" spans="2:23">
      <c r="B390" s="114">
        <v>14</v>
      </c>
      <c r="C390" s="74">
        <f t="shared" si="192"/>
        <v>13.75</v>
      </c>
      <c r="D390" s="74">
        <f t="shared" si="193"/>
        <v>13.5</v>
      </c>
      <c r="E390" s="74">
        <f t="shared" si="194"/>
        <v>13.25</v>
      </c>
      <c r="F390" s="114">
        <v>13</v>
      </c>
      <c r="G390" s="74">
        <f t="shared" si="195"/>
        <v>12.75</v>
      </c>
      <c r="H390" s="74">
        <f t="shared" si="196"/>
        <v>12.5</v>
      </c>
      <c r="I390" s="74">
        <f t="shared" si="197"/>
        <v>12.25</v>
      </c>
      <c r="J390" s="114">
        <f t="shared" si="198"/>
        <v>12</v>
      </c>
      <c r="K390" s="74">
        <f t="shared" si="205"/>
        <v>11.8002</v>
      </c>
      <c r="L390" s="74">
        <f t="shared" si="199"/>
        <v>11.6004</v>
      </c>
      <c r="M390" s="114">
        <f t="shared" ref="M390:M396" si="215">SUM(J390,-F390,J390,0.4*ABS(J390-F390))</f>
        <v>11.4</v>
      </c>
      <c r="N390" s="115">
        <f t="shared" si="211"/>
        <v>12.52</v>
      </c>
      <c r="O390" s="74">
        <f t="shared" si="212"/>
        <v>13.64</v>
      </c>
      <c r="P390" s="74">
        <f t="shared" si="213"/>
        <v>14.76</v>
      </c>
      <c r="Q390" s="74">
        <f t="shared" si="214"/>
        <v>15.879999999999999</v>
      </c>
      <c r="R390" s="114">
        <v>17</v>
      </c>
      <c r="S390" s="129"/>
      <c r="T390" s="117">
        <f>SUM((CB20+CC19+CC18+CD17+CD16+CE15+CE14+CF13+CF12+CG11+CG10+CG9)*0.132,(CF8+CE8+CD8)*0.132/3,(CC7+CB7+CA6+BZ6+BY5+BX5+BW4+BV4)*0.132/2,17)</f>
        <v>19.015538461538462</v>
      </c>
      <c r="U390" s="117"/>
      <c r="V390" s="129"/>
      <c r="W390" s="114"/>
    </row>
    <row r="391" spans="2:23">
      <c r="B391" s="114">
        <v>15</v>
      </c>
      <c r="C391" s="74">
        <f t="shared" si="192"/>
        <v>14.5</v>
      </c>
      <c r="D391" s="74">
        <f t="shared" si="193"/>
        <v>14</v>
      </c>
      <c r="E391" s="74">
        <f t="shared" si="194"/>
        <v>13.5</v>
      </c>
      <c r="F391" s="114">
        <v>13</v>
      </c>
      <c r="G391" s="74">
        <f t="shared" si="195"/>
        <v>12.5</v>
      </c>
      <c r="H391" s="74">
        <f t="shared" si="196"/>
        <v>12</v>
      </c>
      <c r="I391" s="74">
        <f t="shared" si="197"/>
        <v>11.5</v>
      </c>
      <c r="J391" s="114">
        <f t="shared" si="198"/>
        <v>11</v>
      </c>
      <c r="K391" s="74">
        <f t="shared" si="205"/>
        <v>10.6004</v>
      </c>
      <c r="L391" s="74">
        <f t="shared" si="199"/>
        <v>10.200800000000001</v>
      </c>
      <c r="M391" s="114">
        <f t="shared" si="215"/>
        <v>9.8000000000000007</v>
      </c>
      <c r="N391" s="115">
        <f t="shared" si="211"/>
        <v>11.24</v>
      </c>
      <c r="O391" s="74">
        <f t="shared" si="212"/>
        <v>12.68</v>
      </c>
      <c r="P391" s="74">
        <f t="shared" si="213"/>
        <v>14.120000000000001</v>
      </c>
      <c r="Q391" s="74">
        <f t="shared" si="214"/>
        <v>15.56</v>
      </c>
      <c r="R391" s="114">
        <v>17</v>
      </c>
      <c r="S391" s="129"/>
      <c r="T391" s="117">
        <f>SUM((BZ20+CA19+CB18+CC17+CD16+CE15+CF14+CG13+CH12+CI11+CJ10+CJ9)*0.132,(CI8+CH8+CG8+CF7+CE7+CD7+CC6+CB6+CA6+BZ5+BY5+BX5)*0.132/3,(BW4+BV4)*0.132/2,17)</f>
        <v>19.521538461538462</v>
      </c>
      <c r="U391" s="117"/>
      <c r="V391" s="129"/>
      <c r="W391" s="114"/>
    </row>
    <row r="392" spans="2:23">
      <c r="B392" s="114">
        <v>16</v>
      </c>
      <c r="C392" s="74">
        <f t="shared" si="192"/>
        <v>15.25</v>
      </c>
      <c r="D392" s="74">
        <f t="shared" si="193"/>
        <v>14.5</v>
      </c>
      <c r="E392" s="74">
        <f t="shared" si="194"/>
        <v>13.75</v>
      </c>
      <c r="F392" s="114">
        <v>13</v>
      </c>
      <c r="G392" s="74">
        <f t="shared" si="195"/>
        <v>12.25</v>
      </c>
      <c r="H392" s="74">
        <f t="shared" si="196"/>
        <v>11.5</v>
      </c>
      <c r="I392" s="74">
        <f t="shared" si="197"/>
        <v>10.75</v>
      </c>
      <c r="J392" s="114">
        <f t="shared" si="198"/>
        <v>10</v>
      </c>
      <c r="K392" s="74">
        <f t="shared" si="205"/>
        <v>9.400599999999999</v>
      </c>
      <c r="L392" s="74">
        <f t="shared" si="199"/>
        <v>8.8011999999999997</v>
      </c>
      <c r="M392" s="114">
        <f t="shared" si="215"/>
        <v>8.1999999999999993</v>
      </c>
      <c r="N392" s="115">
        <f t="shared" si="211"/>
        <v>9.9599999999999991</v>
      </c>
      <c r="O392" s="74">
        <f t="shared" si="212"/>
        <v>11.719999999999999</v>
      </c>
      <c r="P392" s="74">
        <f t="shared" si="213"/>
        <v>13.48</v>
      </c>
      <c r="Q392" s="74">
        <f t="shared" si="214"/>
        <v>15.24</v>
      </c>
      <c r="R392" s="114">
        <v>17</v>
      </c>
      <c r="S392" s="129"/>
      <c r="T392" s="117">
        <f>SUM((BX20+CA18+CD16+CG14+CJ12+CM10+CN9)*0.132,(BY19+BZ19+CB17+CC17+CE15+CF15+CH13+CI13+CK11+CL11)*0.132/2,(CM8+CL8+CK8+CJ8+CI7+CH7+CG7+CF7+CE6+CD6+CC6+CB6)*0.132/4,(CA5+BZ5+BY5+BX4+BW4+BV4)*0.132/3,17)</f>
        <v>19.24653846153846</v>
      </c>
      <c r="U392" s="117"/>
      <c r="V392" s="129"/>
      <c r="W392" s="114"/>
    </row>
    <row r="393" spans="2:23">
      <c r="B393" s="114">
        <v>17</v>
      </c>
      <c r="C393" s="74">
        <f t="shared" si="192"/>
        <v>16</v>
      </c>
      <c r="D393" s="74">
        <f t="shared" si="193"/>
        <v>15</v>
      </c>
      <c r="E393" s="74">
        <f t="shared" si="194"/>
        <v>14</v>
      </c>
      <c r="F393" s="114">
        <v>13</v>
      </c>
      <c r="G393" s="74">
        <f t="shared" si="195"/>
        <v>12</v>
      </c>
      <c r="H393" s="74">
        <f t="shared" si="196"/>
        <v>11</v>
      </c>
      <c r="I393" s="74">
        <f t="shared" si="197"/>
        <v>10</v>
      </c>
      <c r="J393" s="114">
        <f t="shared" si="198"/>
        <v>9</v>
      </c>
      <c r="K393" s="74">
        <f t="shared" si="205"/>
        <v>8.2007999999999992</v>
      </c>
      <c r="L393" s="74">
        <f t="shared" si="199"/>
        <v>7.4016000000000002</v>
      </c>
      <c r="M393" s="114">
        <f t="shared" si="215"/>
        <v>6.6</v>
      </c>
      <c r="N393" s="115">
        <f t="shared" si="211"/>
        <v>8.68</v>
      </c>
      <c r="O393" s="74">
        <f t="shared" si="212"/>
        <v>10.76</v>
      </c>
      <c r="P393" s="74">
        <f t="shared" si="213"/>
        <v>12.84</v>
      </c>
      <c r="Q393" s="74">
        <f t="shared" si="214"/>
        <v>14.92</v>
      </c>
      <c r="R393" s="114">
        <v>17</v>
      </c>
      <c r="S393" s="129"/>
      <c r="T393" s="117">
        <f>SUM((BW19+BX19+BY18+BZ18+CA17+CB17+CC16+CD16+CE15+CF15+CG14+CH14+CI13+CJ13+CK12+CL12+CM11+CN11+CO10+CP10)*0.132/2,(BV20+CQ9)*0.132,(CP8+CO8+CN8+CM8+CL8)*0.132/5,(CK7+CJ7+CI7+CH7+CG6+CF6+CE6+CD6+CC5+CB5+CA5+BZ5+BY4+BX4+BW4+BV4)*0.132/4,17)</f>
        <v>19.149738461538462</v>
      </c>
      <c r="U393" s="117"/>
      <c r="V393" s="129"/>
      <c r="W393" s="114"/>
    </row>
    <row r="394" spans="2:23">
      <c r="B394" s="114">
        <v>18</v>
      </c>
      <c r="C394" s="74">
        <f t="shared" si="192"/>
        <v>16.75</v>
      </c>
      <c r="D394" s="74">
        <f t="shared" si="193"/>
        <v>15.5</v>
      </c>
      <c r="E394" s="74">
        <f t="shared" si="194"/>
        <v>14.25</v>
      </c>
      <c r="F394" s="114">
        <v>13</v>
      </c>
      <c r="G394" s="74">
        <f t="shared" si="195"/>
        <v>11.75</v>
      </c>
      <c r="H394" s="74">
        <f t="shared" si="196"/>
        <v>10.5</v>
      </c>
      <c r="I394" s="74">
        <f t="shared" si="197"/>
        <v>9.25</v>
      </c>
      <c r="J394" s="114">
        <f t="shared" si="198"/>
        <v>8</v>
      </c>
      <c r="K394" s="74">
        <f t="shared" si="205"/>
        <v>7.0009999999999994</v>
      </c>
      <c r="L394" s="74">
        <f t="shared" si="199"/>
        <v>6.0019999999999998</v>
      </c>
      <c r="M394" s="114">
        <f t="shared" si="215"/>
        <v>5</v>
      </c>
      <c r="N394" s="115">
        <f t="shared" si="211"/>
        <v>7.4</v>
      </c>
      <c r="O394" s="74">
        <f t="shared" si="212"/>
        <v>9.8000000000000007</v>
      </c>
      <c r="P394" s="74">
        <f t="shared" si="213"/>
        <v>12.2</v>
      </c>
      <c r="Q394" s="74">
        <f t="shared" si="214"/>
        <v>14.600000000000001</v>
      </c>
      <c r="R394" s="114">
        <v>17</v>
      </c>
      <c r="S394" s="129"/>
      <c r="T394" s="117">
        <f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18.68553846153846</v>
      </c>
      <c r="U394" s="117"/>
      <c r="V394" s="129"/>
      <c r="W394" s="114"/>
    </row>
    <row r="395" spans="2:23">
      <c r="B395" s="114">
        <v>19</v>
      </c>
      <c r="C395" s="74">
        <f t="shared" si="192"/>
        <v>17.5</v>
      </c>
      <c r="D395" s="74">
        <f t="shared" si="193"/>
        <v>16</v>
      </c>
      <c r="E395" s="74">
        <f t="shared" si="194"/>
        <v>14.5</v>
      </c>
      <c r="F395" s="114">
        <v>13</v>
      </c>
      <c r="G395" s="74">
        <f t="shared" si="195"/>
        <v>11.5</v>
      </c>
      <c r="H395" s="74">
        <f t="shared" si="196"/>
        <v>10</v>
      </c>
      <c r="I395" s="74">
        <f t="shared" si="197"/>
        <v>8.5</v>
      </c>
      <c r="J395" s="114">
        <f t="shared" si="198"/>
        <v>7</v>
      </c>
      <c r="K395" s="74">
        <f t="shared" si="205"/>
        <v>5.8011999999999997</v>
      </c>
      <c r="L395" s="74">
        <f t="shared" si="199"/>
        <v>4.6024000000000003</v>
      </c>
      <c r="M395" s="114">
        <f t="shared" si="215"/>
        <v>3.4000000000000004</v>
      </c>
      <c r="N395" s="115">
        <f t="shared" si="211"/>
        <v>6.120000000000001</v>
      </c>
      <c r="O395" s="74">
        <f t="shared" si="212"/>
        <v>8.84</v>
      </c>
      <c r="P395" s="74">
        <f t="shared" si="213"/>
        <v>11.56</v>
      </c>
      <c r="Q395" s="74">
        <f t="shared" si="214"/>
        <v>14.280000000000001</v>
      </c>
      <c r="R395" s="114">
        <v>17</v>
      </c>
      <c r="S395" s="129"/>
      <c r="T395" s="117">
        <f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18.711938461538459</v>
      </c>
      <c r="U395" s="117"/>
      <c r="V395" s="129"/>
      <c r="W395" s="114"/>
    </row>
    <row r="396" spans="2:23">
      <c r="B396" s="114">
        <v>20</v>
      </c>
      <c r="C396" s="74">
        <f t="shared" si="192"/>
        <v>18.25</v>
      </c>
      <c r="D396" s="74">
        <f t="shared" si="193"/>
        <v>16.5</v>
      </c>
      <c r="E396" s="74">
        <f t="shared" si="194"/>
        <v>14.75</v>
      </c>
      <c r="F396" s="114">
        <v>13</v>
      </c>
      <c r="G396" s="74">
        <f t="shared" si="195"/>
        <v>11.25</v>
      </c>
      <c r="H396" s="74">
        <f t="shared" si="196"/>
        <v>9.5</v>
      </c>
      <c r="I396" s="74">
        <f t="shared" si="197"/>
        <v>7.75</v>
      </c>
      <c r="J396" s="114">
        <f t="shared" si="198"/>
        <v>6</v>
      </c>
      <c r="K396" s="74">
        <f t="shared" si="205"/>
        <v>4.6013999999999999</v>
      </c>
      <c r="L396" s="74">
        <f t="shared" si="199"/>
        <v>3.2028000000000003</v>
      </c>
      <c r="M396" s="114">
        <f t="shared" si="215"/>
        <v>1.8000000000000003</v>
      </c>
      <c r="N396" s="115">
        <f t="shared" si="211"/>
        <v>4.84</v>
      </c>
      <c r="O396" s="74">
        <f t="shared" si="212"/>
        <v>7.8800000000000008</v>
      </c>
      <c r="P396" s="74">
        <f t="shared" si="213"/>
        <v>10.92</v>
      </c>
      <c r="Q396" s="74">
        <f t="shared" si="214"/>
        <v>13.96</v>
      </c>
      <c r="R396" s="114">
        <v>17</v>
      </c>
      <c r="S396" s="129"/>
      <c r="T396" s="131">
        <f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18.509538461538462</v>
      </c>
      <c r="U396" s="131"/>
      <c r="V396" s="129"/>
      <c r="W396" s="114"/>
    </row>
    <row r="397" spans="2:23">
      <c r="B397" s="114"/>
      <c r="C397" s="74"/>
      <c r="D397" s="74"/>
      <c r="E397" s="74"/>
      <c r="F397" s="114"/>
      <c r="G397" s="74"/>
      <c r="H397" s="74"/>
      <c r="I397" s="74"/>
      <c r="J397" s="114"/>
      <c r="K397" s="74"/>
      <c r="L397" s="74"/>
      <c r="M397" s="114"/>
      <c r="N397" s="115"/>
      <c r="O397" s="74"/>
      <c r="P397" s="74"/>
      <c r="Q397" s="74"/>
      <c r="R397" s="114"/>
      <c r="S397" s="129"/>
      <c r="T397" s="117"/>
      <c r="U397" s="117"/>
      <c r="V397" s="129"/>
      <c r="W397" s="114"/>
    </row>
    <row r="398" spans="2:23">
      <c r="B398" s="114">
        <v>13</v>
      </c>
      <c r="C398" s="74">
        <f t="shared" si="192"/>
        <v>13.25</v>
      </c>
      <c r="D398" s="74">
        <f t="shared" si="193"/>
        <v>13.5</v>
      </c>
      <c r="E398" s="74">
        <f t="shared" si="194"/>
        <v>13.75</v>
      </c>
      <c r="F398" s="114">
        <v>14</v>
      </c>
      <c r="G398" s="74">
        <f t="shared" si="195"/>
        <v>14.25</v>
      </c>
      <c r="H398" s="74">
        <f t="shared" si="196"/>
        <v>14.5</v>
      </c>
      <c r="I398" s="74">
        <f t="shared" si="197"/>
        <v>14.75</v>
      </c>
      <c r="J398" s="114">
        <f t="shared" si="198"/>
        <v>15</v>
      </c>
      <c r="K398" s="74">
        <f t="shared" si="205"/>
        <v>15.249750000000001</v>
      </c>
      <c r="L398" s="74">
        <f t="shared" si="199"/>
        <v>15.499499999999999</v>
      </c>
      <c r="M398" s="114">
        <f>SUM(J398,J398-G398)</f>
        <v>15.75</v>
      </c>
      <c r="N398" s="115">
        <f t="shared" ref="N398:N407" si="216">SUM(0.2*(R398-M398),M398)</f>
        <v>16</v>
      </c>
      <c r="O398" s="74">
        <f t="shared" ref="O398:O407" si="217">SUM(0.4*(R398-M398),M398)</f>
        <v>16.25</v>
      </c>
      <c r="P398" s="74">
        <f t="shared" ref="P398:P407" si="218">SUM(0.6*(R398-M398),M398)</f>
        <v>16.5</v>
      </c>
      <c r="Q398" s="74">
        <f t="shared" ref="Q398:Q407" si="219">SUM(0.8*(R398-M398),M398)</f>
        <v>16.75</v>
      </c>
      <c r="R398" s="114">
        <v>17</v>
      </c>
      <c r="S398" s="129"/>
      <c r="T398" s="117">
        <f>SUM((CD20+CC19+CC18+CB17+CB16+CA15+CA14+BZ13+BZ12+BY11+BY10+BX9+BX8+BW7+BW6+BV5+BV4)*0.132,17)</f>
        <v>18.17953846153846</v>
      </c>
      <c r="U398" s="117"/>
      <c r="V398" s="129"/>
      <c r="W398" s="114"/>
    </row>
    <row r="399" spans="2:23">
      <c r="B399" s="114">
        <v>14</v>
      </c>
      <c r="C399" s="74">
        <f t="shared" si="192"/>
        <v>14</v>
      </c>
      <c r="D399" s="74">
        <f t="shared" si="193"/>
        <v>14</v>
      </c>
      <c r="E399" s="74">
        <f t="shared" si="194"/>
        <v>14</v>
      </c>
      <c r="F399" s="114">
        <v>14</v>
      </c>
      <c r="G399" s="74">
        <f t="shared" si="195"/>
        <v>14</v>
      </c>
      <c r="H399" s="74">
        <f t="shared" si="196"/>
        <v>14</v>
      </c>
      <c r="I399" s="74">
        <f t="shared" si="197"/>
        <v>14</v>
      </c>
      <c r="J399" s="114">
        <f t="shared" si="198"/>
        <v>14</v>
      </c>
      <c r="K399" s="74">
        <f t="shared" si="205"/>
        <v>14.149849999999999</v>
      </c>
      <c r="L399" s="74">
        <f t="shared" si="199"/>
        <v>14.2997</v>
      </c>
      <c r="M399" s="114">
        <f>SUM(J399,-F399,J399,0.2*ABS(J399-F399),0.15*(17-F399))</f>
        <v>14.45</v>
      </c>
      <c r="N399" s="115">
        <f t="shared" si="216"/>
        <v>14.959999999999999</v>
      </c>
      <c r="O399" s="74">
        <f t="shared" si="217"/>
        <v>15.469999999999999</v>
      </c>
      <c r="P399" s="74">
        <f t="shared" si="218"/>
        <v>15.98</v>
      </c>
      <c r="Q399" s="74">
        <f t="shared" si="219"/>
        <v>16.489999999999998</v>
      </c>
      <c r="R399" s="114">
        <v>17</v>
      </c>
      <c r="S399" s="129"/>
      <c r="T399" s="117">
        <f>SUM((CB20+CB19+CB18+CB17+CB16+CB15+CB14+CB13+CB12+CB11+CB10+CA9+BZ8+BY7+BX6+BW5+BV4)*0.132,17)</f>
        <v>19.763538461538463</v>
      </c>
      <c r="U399" s="117"/>
      <c r="V399" s="129"/>
      <c r="W399" s="114"/>
    </row>
    <row r="400" spans="2:23">
      <c r="B400" s="114">
        <v>15</v>
      </c>
      <c r="C400" s="74">
        <f t="shared" si="192"/>
        <v>14.75</v>
      </c>
      <c r="D400" s="74">
        <f t="shared" si="193"/>
        <v>14.5</v>
      </c>
      <c r="E400" s="74">
        <f t="shared" si="194"/>
        <v>14.25</v>
      </c>
      <c r="F400" s="114">
        <v>14</v>
      </c>
      <c r="G400" s="74">
        <f t="shared" si="195"/>
        <v>13.75</v>
      </c>
      <c r="H400" s="74">
        <f t="shared" si="196"/>
        <v>13.5</v>
      </c>
      <c r="I400" s="74">
        <f t="shared" si="197"/>
        <v>13.25</v>
      </c>
      <c r="J400" s="114">
        <f t="shared" si="198"/>
        <v>13</v>
      </c>
      <c r="K400" s="74">
        <f t="shared" si="205"/>
        <v>12.8002</v>
      </c>
      <c r="L400" s="74">
        <f t="shared" si="199"/>
        <v>12.6004</v>
      </c>
      <c r="M400" s="114">
        <f t="shared" ref="M400:M407" si="220">SUM(J400,-F400,J400,0.4*ABS(J400-F400))</f>
        <v>12.4</v>
      </c>
      <c r="N400" s="115">
        <f t="shared" si="216"/>
        <v>13.32</v>
      </c>
      <c r="O400" s="74">
        <f t="shared" si="217"/>
        <v>14.24</v>
      </c>
      <c r="P400" s="74">
        <f t="shared" si="218"/>
        <v>15.16</v>
      </c>
      <c r="Q400" s="74">
        <f t="shared" si="219"/>
        <v>16.079999999999998</v>
      </c>
      <c r="R400" s="114">
        <v>17</v>
      </c>
      <c r="S400" s="129"/>
      <c r="T400" s="117">
        <f>SUM((BZ20+CA19+CA18+CB17+CB16+CC15+CC14+CD13+CD12+CE11+CE10+CE9+BV4)*0.132,(CD8+CC8+CB7+CA7+BZ6+BY6+BX5+BW5)*0.132/2,17)</f>
        <v>19.235538461538461</v>
      </c>
      <c r="U400" s="117"/>
      <c r="V400" s="129"/>
      <c r="W400" s="114"/>
    </row>
    <row r="401" spans="2:23">
      <c r="B401" s="114">
        <v>16</v>
      </c>
      <c r="C401" s="74">
        <f t="shared" si="192"/>
        <v>15.5</v>
      </c>
      <c r="D401" s="74">
        <f t="shared" si="193"/>
        <v>15</v>
      </c>
      <c r="E401" s="74">
        <f t="shared" si="194"/>
        <v>14.5</v>
      </c>
      <c r="F401" s="114">
        <v>14</v>
      </c>
      <c r="G401" s="74">
        <f t="shared" si="195"/>
        <v>13.5</v>
      </c>
      <c r="H401" s="74">
        <f t="shared" si="196"/>
        <v>13</v>
      </c>
      <c r="I401" s="74">
        <f t="shared" si="197"/>
        <v>12.5</v>
      </c>
      <c r="J401" s="114">
        <f t="shared" si="198"/>
        <v>12</v>
      </c>
      <c r="K401" s="74">
        <f t="shared" si="205"/>
        <v>11.6004</v>
      </c>
      <c r="L401" s="74">
        <f t="shared" si="199"/>
        <v>11.200800000000001</v>
      </c>
      <c r="M401" s="114">
        <f t="shared" si="220"/>
        <v>10.8</v>
      </c>
      <c r="N401" s="115">
        <f t="shared" si="216"/>
        <v>12.040000000000001</v>
      </c>
      <c r="O401" s="74">
        <f t="shared" si="217"/>
        <v>13.280000000000001</v>
      </c>
      <c r="P401" s="74">
        <f t="shared" si="218"/>
        <v>14.52</v>
      </c>
      <c r="Q401" s="74">
        <f t="shared" si="219"/>
        <v>15.760000000000002</v>
      </c>
      <c r="R401" s="114">
        <v>17</v>
      </c>
      <c r="S401" s="129"/>
      <c r="T401" s="117">
        <f>SUM((BX20+BY19+BZ18+CA17+CB16+CC15+CD14+CE13+CF12+CG11+CH10+CH9)*0.132,(CG8+CF8+CE8+CD7+CC7+CB7)*0.132/3,(CA6+BZ6+BY5+BX5+BW4+BV4)*0.132/2,17)</f>
        <v>19.411538461538459</v>
      </c>
      <c r="U401" s="117"/>
      <c r="V401" s="129"/>
      <c r="W401" s="114"/>
    </row>
    <row r="402" spans="2:23">
      <c r="B402" s="114">
        <v>17</v>
      </c>
      <c r="C402" s="74">
        <f t="shared" si="192"/>
        <v>16.25</v>
      </c>
      <c r="D402" s="74">
        <f t="shared" si="193"/>
        <v>15.5</v>
      </c>
      <c r="E402" s="74">
        <f t="shared" si="194"/>
        <v>14.75</v>
      </c>
      <c r="F402" s="114">
        <v>14</v>
      </c>
      <c r="G402" s="74">
        <f t="shared" si="195"/>
        <v>13.25</v>
      </c>
      <c r="H402" s="74">
        <f t="shared" si="196"/>
        <v>12.5</v>
      </c>
      <c r="I402" s="74">
        <f t="shared" si="197"/>
        <v>11.75</v>
      </c>
      <c r="J402" s="114">
        <f t="shared" si="198"/>
        <v>11</v>
      </c>
      <c r="K402" s="74">
        <f t="shared" si="205"/>
        <v>10.400599999999999</v>
      </c>
      <c r="L402" s="74">
        <f t="shared" si="199"/>
        <v>9.8011999999999997</v>
      </c>
      <c r="M402" s="114">
        <f t="shared" si="220"/>
        <v>9.1999999999999993</v>
      </c>
      <c r="N402" s="115">
        <f t="shared" si="216"/>
        <v>10.76</v>
      </c>
      <c r="O402" s="74">
        <f t="shared" si="217"/>
        <v>12.32</v>
      </c>
      <c r="P402" s="74">
        <f t="shared" si="218"/>
        <v>13.879999999999999</v>
      </c>
      <c r="Q402" s="74">
        <f t="shared" si="219"/>
        <v>15.440000000000001</v>
      </c>
      <c r="R402" s="114">
        <v>17</v>
      </c>
      <c r="S402" s="129"/>
      <c r="T402" s="117">
        <f>SUM((BV20+BY18+CB16+CE14+CH12+CK10+CL9)*0.132,(BW19+BX19+BZ17+CA17+CC15+CD15+CF13+CG13+CI11+CJ11)*0.132/2,(CK8+CJ8+CI8+CH8)*0.132/4,(CG7+CF7+CE7+CD6+CC6+CB6+CA5+BZ5+BY5+BX4+BW4+BV4)*0.132/3,17)</f>
        <v>19.180538461538461</v>
      </c>
      <c r="U402" s="117"/>
      <c r="V402" s="129"/>
      <c r="W402" s="114"/>
    </row>
    <row r="403" spans="2:23">
      <c r="B403" s="114">
        <v>18</v>
      </c>
      <c r="C403" s="74">
        <f t="shared" si="192"/>
        <v>17</v>
      </c>
      <c r="D403" s="74">
        <f t="shared" si="193"/>
        <v>16</v>
      </c>
      <c r="E403" s="74">
        <f t="shared" si="194"/>
        <v>15</v>
      </c>
      <c r="F403" s="114">
        <v>14</v>
      </c>
      <c r="G403" s="74">
        <f t="shared" si="195"/>
        <v>13</v>
      </c>
      <c r="H403" s="74">
        <f t="shared" si="196"/>
        <v>12</v>
      </c>
      <c r="I403" s="74">
        <f t="shared" si="197"/>
        <v>11</v>
      </c>
      <c r="J403" s="114">
        <f t="shared" si="198"/>
        <v>10</v>
      </c>
      <c r="K403" s="74">
        <f t="shared" si="205"/>
        <v>9.2007999999999992</v>
      </c>
      <c r="L403" s="74">
        <f t="shared" si="199"/>
        <v>8.4016000000000002</v>
      </c>
      <c r="M403" s="114">
        <f t="shared" si="220"/>
        <v>7.6</v>
      </c>
      <c r="N403" s="115">
        <f t="shared" si="216"/>
        <v>9.48</v>
      </c>
      <c r="O403" s="74">
        <f t="shared" si="217"/>
        <v>11.36</v>
      </c>
      <c r="P403" s="74">
        <f t="shared" si="218"/>
        <v>13.239999999999998</v>
      </c>
      <c r="Q403" s="74">
        <f t="shared" si="219"/>
        <v>15.120000000000001</v>
      </c>
      <c r="R403" s="114">
        <v>17</v>
      </c>
      <c r="S403" s="129"/>
      <c r="T403" s="117">
        <f>SUM((BU19+BV19+BW18+BX18+BY17+BZ17+CA16+CB16+CC15+CD15+CE14+CF14+CG13+CH13+CI12+CJ12+CK11+CL11+CM10+CN10)*0.132/2,(BT20+CO9)*0.132,(CN8+CM8+CL8+CK8+CJ7+CI7+CH7+CG7+CF6+CE6+CD6+CC6+CB5+CA5+BZ5+BY5)*0.132/4,(BX4+BW4+BV4)*0.132/3,17)</f>
        <v>18.498538461538459</v>
      </c>
      <c r="U403" s="117"/>
      <c r="V403" s="129"/>
      <c r="W403" s="114"/>
    </row>
    <row r="404" spans="2:23">
      <c r="B404" s="114">
        <v>19</v>
      </c>
      <c r="C404" s="74">
        <f t="shared" si="192"/>
        <v>17.75</v>
      </c>
      <c r="D404" s="74">
        <f t="shared" si="193"/>
        <v>16.5</v>
      </c>
      <c r="E404" s="74">
        <f t="shared" si="194"/>
        <v>15.25</v>
      </c>
      <c r="F404" s="114">
        <v>14</v>
      </c>
      <c r="G404" s="74">
        <f t="shared" si="195"/>
        <v>12.75</v>
      </c>
      <c r="H404" s="74">
        <f t="shared" si="196"/>
        <v>11.5</v>
      </c>
      <c r="I404" s="74">
        <f t="shared" si="197"/>
        <v>10.25</v>
      </c>
      <c r="J404" s="114">
        <f t="shared" si="198"/>
        <v>9</v>
      </c>
      <c r="K404" s="74">
        <f t="shared" si="205"/>
        <v>8.0009999999999994</v>
      </c>
      <c r="L404" s="74">
        <f t="shared" si="199"/>
        <v>7.0019999999999998</v>
      </c>
      <c r="M404" s="114">
        <f t="shared" si="220"/>
        <v>6</v>
      </c>
      <c r="N404" s="115">
        <f t="shared" si="216"/>
        <v>8.1999999999999993</v>
      </c>
      <c r="O404" s="74">
        <f t="shared" si="217"/>
        <v>10.4</v>
      </c>
      <c r="P404" s="74">
        <f t="shared" si="218"/>
        <v>12.6</v>
      </c>
      <c r="Q404" s="74">
        <f t="shared" si="219"/>
        <v>14.8</v>
      </c>
      <c r="R404" s="114">
        <v>17</v>
      </c>
      <c r="S404" s="129"/>
      <c r="T404" s="117">
        <f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18.770661538461539</v>
      </c>
      <c r="U404" s="117"/>
      <c r="V404" s="129"/>
      <c r="W404" s="114"/>
    </row>
    <row r="405" spans="2:23">
      <c r="B405" s="114">
        <v>20</v>
      </c>
      <c r="C405" s="74">
        <f t="shared" si="192"/>
        <v>18.5</v>
      </c>
      <c r="D405" s="74">
        <f t="shared" si="193"/>
        <v>17</v>
      </c>
      <c r="E405" s="74">
        <f t="shared" si="194"/>
        <v>15.5</v>
      </c>
      <c r="F405" s="114">
        <v>14</v>
      </c>
      <c r="G405" s="74">
        <f t="shared" si="195"/>
        <v>12.5</v>
      </c>
      <c r="H405" s="74">
        <f t="shared" si="196"/>
        <v>11</v>
      </c>
      <c r="I405" s="74">
        <f t="shared" si="197"/>
        <v>9.5</v>
      </c>
      <c r="J405" s="114">
        <f t="shared" si="198"/>
        <v>8</v>
      </c>
      <c r="K405" s="74">
        <f t="shared" si="205"/>
        <v>6.8011999999999997</v>
      </c>
      <c r="L405" s="74">
        <f t="shared" si="199"/>
        <v>5.6024000000000003</v>
      </c>
      <c r="M405" s="114">
        <f t="shared" si="220"/>
        <v>4.4000000000000004</v>
      </c>
      <c r="N405" s="115">
        <f t="shared" si="216"/>
        <v>6.92</v>
      </c>
      <c r="O405" s="74">
        <f t="shared" si="217"/>
        <v>9.4400000000000013</v>
      </c>
      <c r="P405" s="74">
        <f t="shared" si="218"/>
        <v>11.96</v>
      </c>
      <c r="Q405" s="74">
        <f t="shared" si="219"/>
        <v>14.48</v>
      </c>
      <c r="R405" s="114">
        <v>17</v>
      </c>
      <c r="S405" s="129"/>
      <c r="T405" s="117">
        <f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18.29393846153846</v>
      </c>
      <c r="U405" s="117"/>
      <c r="V405" s="129"/>
      <c r="W405" s="114"/>
    </row>
    <row r="406" spans="2:23">
      <c r="B406" s="114">
        <v>21</v>
      </c>
      <c r="C406" s="74">
        <f t="shared" si="192"/>
        <v>19.25</v>
      </c>
      <c r="D406" s="74">
        <f t="shared" si="193"/>
        <v>17.5</v>
      </c>
      <c r="E406" s="74">
        <f t="shared" si="194"/>
        <v>15.75</v>
      </c>
      <c r="F406" s="114">
        <v>14</v>
      </c>
      <c r="G406" s="74">
        <f t="shared" si="195"/>
        <v>12.25</v>
      </c>
      <c r="H406" s="74">
        <f t="shared" si="196"/>
        <v>10.5</v>
      </c>
      <c r="I406" s="74">
        <f t="shared" si="197"/>
        <v>8.75</v>
      </c>
      <c r="J406" s="114">
        <f t="shared" si="198"/>
        <v>7</v>
      </c>
      <c r="K406" s="74">
        <f t="shared" si="205"/>
        <v>5.6013999999999999</v>
      </c>
      <c r="L406" s="74">
        <f t="shared" si="199"/>
        <v>4.2027999999999999</v>
      </c>
      <c r="M406" s="114">
        <f t="shared" si="220"/>
        <v>2.8000000000000003</v>
      </c>
      <c r="N406" s="115">
        <f t="shared" si="216"/>
        <v>5.6400000000000006</v>
      </c>
      <c r="O406" s="74">
        <f t="shared" si="217"/>
        <v>8.48</v>
      </c>
      <c r="P406" s="74">
        <f t="shared" si="218"/>
        <v>11.32</v>
      </c>
      <c r="Q406" s="74">
        <f t="shared" si="219"/>
        <v>14.16</v>
      </c>
      <c r="R406" s="114">
        <v>17</v>
      </c>
      <c r="S406" s="129"/>
      <c r="T406" s="117">
        <f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18.39293846153846</v>
      </c>
      <c r="U406" s="117"/>
      <c r="V406" s="129"/>
      <c r="W406" s="114"/>
    </row>
    <row r="407" spans="2:23">
      <c r="B407" s="114">
        <v>22</v>
      </c>
      <c r="C407" s="74">
        <f t="shared" si="192"/>
        <v>20</v>
      </c>
      <c r="D407" s="74">
        <f t="shared" si="193"/>
        <v>18</v>
      </c>
      <c r="E407" s="74">
        <f t="shared" si="194"/>
        <v>16</v>
      </c>
      <c r="F407" s="114">
        <v>14</v>
      </c>
      <c r="G407" s="74">
        <f t="shared" si="195"/>
        <v>12</v>
      </c>
      <c r="H407" s="74">
        <f t="shared" si="196"/>
        <v>10</v>
      </c>
      <c r="I407" s="74">
        <f t="shared" si="197"/>
        <v>8</v>
      </c>
      <c r="J407" s="114">
        <f t="shared" si="198"/>
        <v>6</v>
      </c>
      <c r="K407" s="74">
        <f t="shared" si="205"/>
        <v>4.4016000000000002</v>
      </c>
      <c r="L407" s="74">
        <f t="shared" si="199"/>
        <v>2.8031999999999999</v>
      </c>
      <c r="M407" s="114">
        <f t="shared" si="220"/>
        <v>1.2000000000000002</v>
      </c>
      <c r="N407" s="115">
        <f t="shared" si="216"/>
        <v>4.3600000000000003</v>
      </c>
      <c r="O407" s="74">
        <f t="shared" si="217"/>
        <v>7.5200000000000005</v>
      </c>
      <c r="P407" s="74">
        <f t="shared" si="218"/>
        <v>10.68</v>
      </c>
      <c r="Q407" s="74">
        <f t="shared" si="219"/>
        <v>13.84</v>
      </c>
      <c r="R407" s="114">
        <v>17</v>
      </c>
      <c r="S407" s="129"/>
      <c r="T407" s="131">
        <f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18.116681318681319</v>
      </c>
      <c r="U407" s="131"/>
      <c r="V407" s="129"/>
      <c r="W407" s="114"/>
    </row>
    <row r="408" spans="2:23">
      <c r="B408" s="114"/>
      <c r="C408" s="74"/>
      <c r="D408" s="74"/>
      <c r="E408" s="74"/>
      <c r="F408" s="114"/>
      <c r="G408" s="74"/>
      <c r="H408" s="74"/>
      <c r="I408" s="74"/>
      <c r="J408" s="114"/>
      <c r="K408" s="74"/>
      <c r="L408" s="74"/>
      <c r="M408" s="114"/>
      <c r="N408" s="115"/>
      <c r="O408" s="74"/>
      <c r="P408" s="74"/>
      <c r="Q408" s="74"/>
      <c r="R408" s="114"/>
      <c r="S408" s="129"/>
      <c r="T408" s="117"/>
      <c r="U408" s="117"/>
      <c r="V408" s="129"/>
      <c r="W408" s="114"/>
    </row>
    <row r="409" spans="2:23">
      <c r="B409" s="114">
        <v>15</v>
      </c>
      <c r="C409" s="74">
        <f t="shared" si="192"/>
        <v>15</v>
      </c>
      <c r="D409" s="74">
        <f t="shared" si="193"/>
        <v>15</v>
      </c>
      <c r="E409" s="74">
        <f t="shared" si="194"/>
        <v>15</v>
      </c>
      <c r="F409" s="114">
        <v>15</v>
      </c>
      <c r="G409" s="74">
        <f t="shared" si="195"/>
        <v>15</v>
      </c>
      <c r="H409" s="74">
        <f t="shared" si="196"/>
        <v>15</v>
      </c>
      <c r="I409" s="74">
        <f t="shared" si="197"/>
        <v>15</v>
      </c>
      <c r="J409" s="114">
        <f t="shared" si="198"/>
        <v>15</v>
      </c>
      <c r="K409" s="74">
        <f t="shared" si="205"/>
        <v>15.0999</v>
      </c>
      <c r="L409" s="74">
        <f t="shared" si="199"/>
        <v>15.1998</v>
      </c>
      <c r="M409" s="114">
        <f>SUM(J409,-F409,J409,0.2*ABS(J409-F409),0.15*(17-F409))</f>
        <v>15.3</v>
      </c>
      <c r="N409" s="115">
        <f t="shared" ref="N409:N417" si="221">SUM(0.2*(R409-M409),M409)</f>
        <v>15.64</v>
      </c>
      <c r="O409" s="74">
        <f t="shared" ref="O409:O417" si="222">SUM(0.4*(R409-M409),M409)</f>
        <v>15.98</v>
      </c>
      <c r="P409" s="74">
        <f t="shared" ref="P409:P417" si="223">SUM(0.6*(R409-M409),M409)</f>
        <v>16.32</v>
      </c>
      <c r="Q409" s="74">
        <f t="shared" ref="Q409:Q417" si="224">SUM(0.8*(R409-M409),M409)</f>
        <v>16.66</v>
      </c>
      <c r="R409" s="114">
        <v>17</v>
      </c>
      <c r="S409" s="129"/>
      <c r="T409" s="117">
        <f>SUM((BZ20+BZ19+BZ18+BZ17+BZ16+BZ15+BZ14+BZ13+BZ12+BZ11+BZ10+BY9+BX8+BW7+BW6+BV5+BV4)*0.132,17)</f>
        <v>18.443538461538463</v>
      </c>
      <c r="U409" s="117"/>
      <c r="V409" s="129"/>
      <c r="W409" s="114"/>
    </row>
    <row r="410" spans="2:23">
      <c r="B410" s="114">
        <v>16</v>
      </c>
      <c r="C410" s="74">
        <f t="shared" si="192"/>
        <v>15.75</v>
      </c>
      <c r="D410" s="74">
        <f t="shared" si="193"/>
        <v>15.5</v>
      </c>
      <c r="E410" s="74">
        <f t="shared" si="194"/>
        <v>15.25</v>
      </c>
      <c r="F410" s="114">
        <v>15</v>
      </c>
      <c r="G410" s="74">
        <f t="shared" si="195"/>
        <v>14.75</v>
      </c>
      <c r="H410" s="74">
        <f t="shared" si="196"/>
        <v>14.5</v>
      </c>
      <c r="I410" s="74">
        <f t="shared" si="197"/>
        <v>14.25</v>
      </c>
      <c r="J410" s="114">
        <f t="shared" si="198"/>
        <v>14</v>
      </c>
      <c r="K410" s="74">
        <f t="shared" si="205"/>
        <v>13.8002</v>
      </c>
      <c r="L410" s="74">
        <f t="shared" si="199"/>
        <v>13.6004</v>
      </c>
      <c r="M410" s="114">
        <f t="shared" ref="M410:M417" si="225">SUM(J410,-F410,J410,0.4*ABS(J410-F410))</f>
        <v>13.4</v>
      </c>
      <c r="N410" s="115">
        <f t="shared" si="221"/>
        <v>14.120000000000001</v>
      </c>
      <c r="O410" s="74">
        <f t="shared" si="222"/>
        <v>14.84</v>
      </c>
      <c r="P410" s="74">
        <f t="shared" si="223"/>
        <v>15.56</v>
      </c>
      <c r="Q410" s="74">
        <f t="shared" si="224"/>
        <v>16.28</v>
      </c>
      <c r="R410" s="114">
        <v>17</v>
      </c>
      <c r="S410" s="129"/>
      <c r="T410" s="117">
        <f>SUM((BX20+BY19+BY18+BZ17+BZ16+CA15+CA14+CB13+CB12+CC11+CC10+CC9+BX6+BW5+BV4)*0.132,(CB8+CA8+BZ7+BY7)*0.132/2,17)</f>
        <v>19.169538461538462</v>
      </c>
      <c r="U410" s="117"/>
      <c r="V410" s="129"/>
      <c r="W410" s="114"/>
    </row>
    <row r="411" spans="2:23">
      <c r="B411" s="114">
        <v>17</v>
      </c>
      <c r="C411" s="74">
        <f t="shared" si="192"/>
        <v>16.5</v>
      </c>
      <c r="D411" s="74">
        <f t="shared" si="193"/>
        <v>16</v>
      </c>
      <c r="E411" s="74">
        <f t="shared" si="194"/>
        <v>15.5</v>
      </c>
      <c r="F411" s="114">
        <v>15</v>
      </c>
      <c r="G411" s="74">
        <f t="shared" si="195"/>
        <v>14.5</v>
      </c>
      <c r="H411" s="74">
        <f t="shared" si="196"/>
        <v>14</v>
      </c>
      <c r="I411" s="74">
        <f t="shared" si="197"/>
        <v>13.5</v>
      </c>
      <c r="J411" s="114">
        <f t="shared" si="198"/>
        <v>13</v>
      </c>
      <c r="K411" s="74">
        <f t="shared" si="205"/>
        <v>12.6004</v>
      </c>
      <c r="L411" s="74">
        <f t="shared" si="199"/>
        <v>12.200800000000001</v>
      </c>
      <c r="M411" s="114">
        <f t="shared" si="225"/>
        <v>11.8</v>
      </c>
      <c r="N411" s="115">
        <f t="shared" si="221"/>
        <v>12.84</v>
      </c>
      <c r="O411" s="74">
        <f t="shared" si="222"/>
        <v>13.88</v>
      </c>
      <c r="P411" s="74">
        <f t="shared" si="223"/>
        <v>14.92</v>
      </c>
      <c r="Q411" s="74">
        <f t="shared" si="224"/>
        <v>15.96</v>
      </c>
      <c r="R411" s="114">
        <v>17</v>
      </c>
      <c r="S411" s="129"/>
      <c r="T411" s="117">
        <f>SUM((BV20+BW19+BX18+BY17+BZ16+CA15+CB14+CC13+CD12+CE11+CF10+CF9)*0.132,(CE8+CD8+CC7+CB7+CA6+BZ6+BY5+BX5+BW4+BV4)*0.132/2,17)</f>
        <v>19.235538461538461</v>
      </c>
      <c r="U411" s="117"/>
      <c r="V411" s="129"/>
      <c r="W411" s="114"/>
    </row>
    <row r="412" spans="2:23">
      <c r="B412" s="114">
        <v>18</v>
      </c>
      <c r="C412" s="74">
        <f t="shared" si="192"/>
        <v>17.25</v>
      </c>
      <c r="D412" s="74">
        <f t="shared" si="193"/>
        <v>16.5</v>
      </c>
      <c r="E412" s="74">
        <f t="shared" si="194"/>
        <v>15.75</v>
      </c>
      <c r="F412" s="114">
        <v>15</v>
      </c>
      <c r="G412" s="74">
        <f t="shared" si="195"/>
        <v>14.25</v>
      </c>
      <c r="H412" s="74">
        <f t="shared" si="196"/>
        <v>13.5</v>
      </c>
      <c r="I412" s="74">
        <f t="shared" si="197"/>
        <v>12.75</v>
      </c>
      <c r="J412" s="114">
        <f t="shared" si="198"/>
        <v>12</v>
      </c>
      <c r="K412" s="74">
        <f t="shared" si="205"/>
        <v>11.400599999999999</v>
      </c>
      <c r="L412" s="74">
        <f t="shared" si="199"/>
        <v>10.8012</v>
      </c>
      <c r="M412" s="114">
        <f t="shared" si="225"/>
        <v>10.199999999999999</v>
      </c>
      <c r="N412" s="115">
        <f t="shared" si="221"/>
        <v>11.559999999999999</v>
      </c>
      <c r="O412" s="74">
        <f t="shared" si="222"/>
        <v>12.92</v>
      </c>
      <c r="P412" s="74">
        <f t="shared" si="223"/>
        <v>14.28</v>
      </c>
      <c r="Q412" s="74">
        <f t="shared" si="224"/>
        <v>15.64</v>
      </c>
      <c r="R412" s="114">
        <v>17</v>
      </c>
      <c r="S412" s="129"/>
      <c r="T412" s="117">
        <f>SUM((BT20+BW18+BZ16+CC14+CF12+CI10+CJ9)*0.132,(BU19+BV19+BX17+BY17+CA15+CB15+CD13+CE13+CG11+CH11)*0.132/2,(CI8+CH8+CG8+CF7+CE7+CD7+CC6+CB6+CA6+BZ5+BY5+BX5)*0.132/3,(BW4+BV4)*0.132/2,17)</f>
        <v>18.79553846153846</v>
      </c>
      <c r="U412" s="117"/>
      <c r="V412" s="129"/>
      <c r="W412" s="114"/>
    </row>
    <row r="413" spans="2:23">
      <c r="B413" s="114">
        <v>19</v>
      </c>
      <c r="C413" s="74">
        <f t="shared" si="192"/>
        <v>18</v>
      </c>
      <c r="D413" s="74">
        <f t="shared" si="193"/>
        <v>17</v>
      </c>
      <c r="E413" s="74">
        <f t="shared" si="194"/>
        <v>16</v>
      </c>
      <c r="F413" s="114">
        <v>15</v>
      </c>
      <c r="G413" s="74">
        <f t="shared" si="195"/>
        <v>14</v>
      </c>
      <c r="H413" s="74">
        <f t="shared" si="196"/>
        <v>13</v>
      </c>
      <c r="I413" s="74">
        <f t="shared" si="197"/>
        <v>12</v>
      </c>
      <c r="J413" s="114">
        <f t="shared" si="198"/>
        <v>11</v>
      </c>
      <c r="K413" s="74">
        <f t="shared" si="205"/>
        <v>10.200799999999999</v>
      </c>
      <c r="L413" s="74">
        <f t="shared" si="199"/>
        <v>9.4016000000000002</v>
      </c>
      <c r="M413" s="114">
        <f t="shared" si="225"/>
        <v>8.6</v>
      </c>
      <c r="N413" s="115">
        <f t="shared" si="221"/>
        <v>10.28</v>
      </c>
      <c r="O413" s="74">
        <f t="shared" si="222"/>
        <v>11.96</v>
      </c>
      <c r="P413" s="74">
        <f t="shared" si="223"/>
        <v>13.64</v>
      </c>
      <c r="Q413" s="74">
        <f t="shared" si="224"/>
        <v>15.32</v>
      </c>
      <c r="R413" s="114">
        <v>17</v>
      </c>
      <c r="S413" s="129"/>
      <c r="T413" s="117">
        <f>SUM((BS19+BT19+BU18+BV18+BW17+BX17+BY16+BZ16+CA15+CB15+CC14+CD14+CE13+CF13+CG12+CH12+CI11+CJ11+CK10+CL10)*0.132/2,(BR20+CM9)*0.132,(CL8+CK8+CJ8+CI8+CH7+CG7+CF7+CE7)*0.132/4,(CD6+CC6+CB6+CA5+BZ5+BY5+BX4+BW4+BV4)*0.132/3,17)</f>
        <v>18.817538461538462</v>
      </c>
      <c r="U413" s="117"/>
      <c r="V413" s="129"/>
      <c r="W413" s="114"/>
    </row>
    <row r="414" spans="2:23">
      <c r="B414" s="114">
        <v>20</v>
      </c>
      <c r="C414" s="74">
        <f t="shared" si="192"/>
        <v>18.75</v>
      </c>
      <c r="D414" s="74">
        <f t="shared" si="193"/>
        <v>17.5</v>
      </c>
      <c r="E414" s="74">
        <f t="shared" si="194"/>
        <v>16.25</v>
      </c>
      <c r="F414" s="114">
        <v>15</v>
      </c>
      <c r="G414" s="74">
        <f t="shared" si="195"/>
        <v>13.75</v>
      </c>
      <c r="H414" s="74">
        <f t="shared" si="196"/>
        <v>12.5</v>
      </c>
      <c r="I414" s="74">
        <f t="shared" si="197"/>
        <v>11.25</v>
      </c>
      <c r="J414" s="114">
        <f t="shared" si="198"/>
        <v>10</v>
      </c>
      <c r="K414" s="74">
        <f t="shared" si="205"/>
        <v>9.0009999999999994</v>
      </c>
      <c r="L414" s="74">
        <f t="shared" si="199"/>
        <v>8.0019999999999989</v>
      </c>
      <c r="M414" s="114">
        <f t="shared" si="225"/>
        <v>7</v>
      </c>
      <c r="N414" s="115">
        <f t="shared" si="221"/>
        <v>9</v>
      </c>
      <c r="O414" s="74">
        <f t="shared" si="222"/>
        <v>11</v>
      </c>
      <c r="P414" s="74">
        <f t="shared" si="223"/>
        <v>13</v>
      </c>
      <c r="Q414" s="74">
        <f t="shared" si="224"/>
        <v>15</v>
      </c>
      <c r="R414" s="114">
        <v>17</v>
      </c>
      <c r="S414" s="129"/>
      <c r="T414" s="117">
        <f>SUM((BP20+BQ20+BR19+BS19+BW17+BX17+BY16+BZ16+CD14+CE14+CI12+CJ12+CK11+CL11+CM10+CN10+CO9+CP9)*0.132/2,(BT18+BU18+BV18+CA15+CB15+CC15+CF13+CG13+CH13)*0.132/3,(CO8+CN8+CM8+CL8+CK7+CJ7+CI7+CH7+CG6+CF6+CE6+CD6+CC5+CB5+CA5+BZ5+BY4+BX4+BW4+BV4)*0.132/4,17)</f>
        <v>18.498538461538462</v>
      </c>
      <c r="U414" s="117"/>
      <c r="V414" s="129"/>
      <c r="W414" s="114"/>
    </row>
    <row r="415" spans="2:23">
      <c r="B415" s="114">
        <v>21</v>
      </c>
      <c r="C415" s="74">
        <f t="shared" si="192"/>
        <v>19.5</v>
      </c>
      <c r="D415" s="74">
        <f t="shared" si="193"/>
        <v>18</v>
      </c>
      <c r="E415" s="74">
        <f t="shared" si="194"/>
        <v>16.5</v>
      </c>
      <c r="F415" s="114">
        <v>15</v>
      </c>
      <c r="G415" s="74">
        <f t="shared" si="195"/>
        <v>13.5</v>
      </c>
      <c r="H415" s="74">
        <f t="shared" si="196"/>
        <v>12</v>
      </c>
      <c r="I415" s="74">
        <f t="shared" si="197"/>
        <v>10.5</v>
      </c>
      <c r="J415" s="114">
        <f t="shared" si="198"/>
        <v>9</v>
      </c>
      <c r="K415" s="74">
        <f t="shared" si="205"/>
        <v>7.8011999999999997</v>
      </c>
      <c r="L415" s="74">
        <f t="shared" si="199"/>
        <v>6.6024000000000003</v>
      </c>
      <c r="M415" s="114">
        <f t="shared" si="225"/>
        <v>5.4</v>
      </c>
      <c r="N415" s="115">
        <f t="shared" si="221"/>
        <v>7.7200000000000006</v>
      </c>
      <c r="O415" s="74">
        <f t="shared" si="222"/>
        <v>10.039999999999999</v>
      </c>
      <c r="P415" s="74">
        <f t="shared" si="223"/>
        <v>12.36</v>
      </c>
      <c r="Q415" s="74">
        <f t="shared" si="224"/>
        <v>14.68</v>
      </c>
      <c r="R415" s="114">
        <v>17</v>
      </c>
      <c r="S415" s="129"/>
      <c r="T415" s="117">
        <f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18.225738461538462</v>
      </c>
      <c r="U415" s="117"/>
      <c r="V415" s="129"/>
      <c r="W415" s="114"/>
    </row>
    <row r="416" spans="2:23">
      <c r="B416" s="114">
        <v>22</v>
      </c>
      <c r="C416" s="74">
        <f t="shared" si="192"/>
        <v>20.25</v>
      </c>
      <c r="D416" s="74">
        <f t="shared" si="193"/>
        <v>18.5</v>
      </c>
      <c r="E416" s="74">
        <f t="shared" si="194"/>
        <v>16.75</v>
      </c>
      <c r="F416" s="114">
        <v>15</v>
      </c>
      <c r="G416" s="74">
        <f t="shared" si="195"/>
        <v>13.25</v>
      </c>
      <c r="H416" s="74">
        <f t="shared" si="196"/>
        <v>11.5</v>
      </c>
      <c r="I416" s="74">
        <f t="shared" si="197"/>
        <v>9.75</v>
      </c>
      <c r="J416" s="114">
        <f t="shared" si="198"/>
        <v>8</v>
      </c>
      <c r="K416" s="74">
        <f t="shared" si="205"/>
        <v>6.6013999999999999</v>
      </c>
      <c r="L416" s="74">
        <f t="shared" si="199"/>
        <v>5.2027999999999999</v>
      </c>
      <c r="M416" s="114">
        <f t="shared" si="225"/>
        <v>3.8000000000000003</v>
      </c>
      <c r="N416" s="115">
        <f t="shared" si="221"/>
        <v>6.44</v>
      </c>
      <c r="O416" s="74">
        <f t="shared" si="222"/>
        <v>9.08</v>
      </c>
      <c r="P416" s="74">
        <f t="shared" si="223"/>
        <v>11.719999999999999</v>
      </c>
      <c r="Q416" s="74">
        <f t="shared" si="224"/>
        <v>14.360000000000001</v>
      </c>
      <c r="R416" s="114">
        <v>17</v>
      </c>
      <c r="S416" s="129"/>
      <c r="T416" s="117">
        <f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18.06513846153846</v>
      </c>
      <c r="U416" s="117"/>
      <c r="V416" s="129"/>
      <c r="W416" s="114"/>
    </row>
    <row r="417" spans="2:23">
      <c r="B417" s="114">
        <v>23</v>
      </c>
      <c r="C417" s="74">
        <f t="shared" si="192"/>
        <v>21</v>
      </c>
      <c r="D417" s="74">
        <f t="shared" si="193"/>
        <v>19</v>
      </c>
      <c r="E417" s="74">
        <f t="shared" si="194"/>
        <v>17</v>
      </c>
      <c r="F417" s="114">
        <v>15</v>
      </c>
      <c r="G417" s="74">
        <f t="shared" si="195"/>
        <v>13</v>
      </c>
      <c r="H417" s="74">
        <f t="shared" si="196"/>
        <v>11</v>
      </c>
      <c r="I417" s="74">
        <f t="shared" si="197"/>
        <v>9</v>
      </c>
      <c r="J417" s="114">
        <f t="shared" si="198"/>
        <v>7</v>
      </c>
      <c r="K417" s="74">
        <f t="shared" si="205"/>
        <v>5.4016000000000002</v>
      </c>
      <c r="L417" s="74">
        <f t="shared" si="199"/>
        <v>3.8031999999999999</v>
      </c>
      <c r="M417" s="114">
        <f t="shared" si="225"/>
        <v>2.2000000000000002</v>
      </c>
      <c r="N417" s="115">
        <f t="shared" si="221"/>
        <v>5.16</v>
      </c>
      <c r="O417" s="74">
        <f t="shared" si="222"/>
        <v>8.120000000000001</v>
      </c>
      <c r="P417" s="74">
        <f t="shared" si="223"/>
        <v>11.080000000000002</v>
      </c>
      <c r="Q417" s="74">
        <f t="shared" si="224"/>
        <v>14.040000000000003</v>
      </c>
      <c r="R417" s="114">
        <v>17</v>
      </c>
      <c r="S417" s="129"/>
      <c r="T417" s="131">
        <f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18.058538461538461</v>
      </c>
      <c r="U417" s="131"/>
      <c r="V417" s="129"/>
      <c r="W417" s="114"/>
    </row>
    <row r="418" spans="2:23">
      <c r="B418" s="114"/>
      <c r="C418" s="74"/>
      <c r="D418" s="74"/>
      <c r="E418" s="74"/>
      <c r="F418" s="114"/>
      <c r="G418" s="74"/>
      <c r="H418" s="74"/>
      <c r="I418" s="74"/>
      <c r="J418" s="114"/>
      <c r="K418" s="74"/>
      <c r="L418" s="74"/>
      <c r="M418" s="114"/>
      <c r="N418" s="115"/>
      <c r="O418" s="74"/>
      <c r="P418" s="74"/>
      <c r="Q418" s="74"/>
      <c r="R418" s="114"/>
      <c r="S418" s="129"/>
      <c r="T418" s="117"/>
      <c r="U418" s="117"/>
      <c r="V418" s="129"/>
      <c r="W418" s="114"/>
    </row>
    <row r="419" spans="2:23">
      <c r="B419" s="114">
        <v>16</v>
      </c>
      <c r="C419" s="74">
        <f t="shared" si="192"/>
        <v>16</v>
      </c>
      <c r="D419" s="74">
        <f t="shared" si="193"/>
        <v>16</v>
      </c>
      <c r="E419" s="74">
        <f t="shared" si="194"/>
        <v>16</v>
      </c>
      <c r="F419" s="114">
        <v>16</v>
      </c>
      <c r="G419" s="74">
        <f t="shared" si="195"/>
        <v>16</v>
      </c>
      <c r="H419" s="74">
        <f t="shared" si="196"/>
        <v>16</v>
      </c>
      <c r="I419" s="74">
        <f t="shared" si="197"/>
        <v>16</v>
      </c>
      <c r="J419" s="114">
        <f t="shared" si="198"/>
        <v>16</v>
      </c>
      <c r="K419" s="74">
        <f t="shared" si="205"/>
        <v>16.049949999999999</v>
      </c>
      <c r="L419" s="74">
        <f t="shared" si="199"/>
        <v>16.099899999999998</v>
      </c>
      <c r="M419" s="114">
        <f>SUM(J419,-F419,J419,0.2*ABS(J419-F419),0.15*(17-F419))</f>
        <v>16.149999999999999</v>
      </c>
      <c r="N419" s="115">
        <f t="shared" ref="N419:N428" si="226">SUM(0.2*(R419-M419),M419)</f>
        <v>16.32</v>
      </c>
      <c r="O419" s="74">
        <f t="shared" ref="O419:O428" si="227">SUM(0.4*(R419-M419),M419)</f>
        <v>16.489999999999998</v>
      </c>
      <c r="P419" s="74">
        <f t="shared" ref="P419:P428" si="228">SUM(0.6*(R419-M419),M419)</f>
        <v>16.66</v>
      </c>
      <c r="Q419" s="74">
        <f t="shared" ref="Q419:Q428" si="229">SUM(0.8*(R419-M419),M419)</f>
        <v>16.829999999999998</v>
      </c>
      <c r="R419" s="114">
        <v>17</v>
      </c>
      <c r="S419" s="129"/>
      <c r="T419" s="117">
        <f>SUM((BX20+BX19+BX18+BX17+BX16+BX15+BX14+BX13+BX12+BX11+BX10+BX9+BW8+BW7+BV6+BV5+BV4)*0.132,17)</f>
        <v>19.103538461538459</v>
      </c>
      <c r="U419" s="117"/>
      <c r="V419" s="129"/>
      <c r="W419" s="114"/>
    </row>
    <row r="420" spans="2:23">
      <c r="B420" s="114">
        <v>17</v>
      </c>
      <c r="C420" s="74">
        <f t="shared" si="192"/>
        <v>16.75</v>
      </c>
      <c r="D420" s="74">
        <f t="shared" si="193"/>
        <v>16.5</v>
      </c>
      <c r="E420" s="74">
        <f t="shared" si="194"/>
        <v>16.25</v>
      </c>
      <c r="F420" s="114">
        <v>16</v>
      </c>
      <c r="G420" s="74">
        <f t="shared" si="195"/>
        <v>15.75</v>
      </c>
      <c r="H420" s="74">
        <f t="shared" si="196"/>
        <v>15.5</v>
      </c>
      <c r="I420" s="74">
        <f t="shared" si="197"/>
        <v>15.25</v>
      </c>
      <c r="J420" s="114">
        <f t="shared" si="198"/>
        <v>15</v>
      </c>
      <c r="K420" s="74">
        <f t="shared" si="205"/>
        <v>14.8002</v>
      </c>
      <c r="L420" s="74">
        <f t="shared" si="199"/>
        <v>14.6004</v>
      </c>
      <c r="M420" s="114">
        <f t="shared" ref="M420:M428" si="230">SUM(J420,-F420,J420,0.4*ABS(J420-F420))</f>
        <v>14.4</v>
      </c>
      <c r="N420" s="115">
        <f t="shared" si="226"/>
        <v>14.92</v>
      </c>
      <c r="O420" s="74">
        <f t="shared" si="227"/>
        <v>15.44</v>
      </c>
      <c r="P420" s="74">
        <f t="shared" si="228"/>
        <v>15.96</v>
      </c>
      <c r="Q420" s="74">
        <f t="shared" si="229"/>
        <v>16.48</v>
      </c>
      <c r="R420" s="114">
        <v>17</v>
      </c>
      <c r="S420" s="129"/>
      <c r="T420" s="117">
        <f>SUM((BV20+BW19+BW18+BX17+BX16+BY15+BY14+BZ13+BZ12+CA11+CA10+CA9+BZ8+BY7+BX6+BW5+BV4)*0.132,17)</f>
        <v>18.047538461538462</v>
      </c>
      <c r="U420" s="117"/>
      <c r="V420" s="129"/>
      <c r="W420" s="114"/>
    </row>
    <row r="421" spans="2:23">
      <c r="B421" s="114">
        <v>18</v>
      </c>
      <c r="C421" s="74">
        <f t="shared" si="192"/>
        <v>17.5</v>
      </c>
      <c r="D421" s="74">
        <f t="shared" si="193"/>
        <v>17</v>
      </c>
      <c r="E421" s="74">
        <f t="shared" si="194"/>
        <v>16.5</v>
      </c>
      <c r="F421" s="114">
        <v>16</v>
      </c>
      <c r="G421" s="74">
        <f t="shared" si="195"/>
        <v>15.5</v>
      </c>
      <c r="H421" s="74">
        <f t="shared" si="196"/>
        <v>15</v>
      </c>
      <c r="I421" s="74">
        <f t="shared" si="197"/>
        <v>14.5</v>
      </c>
      <c r="J421" s="114">
        <f t="shared" si="198"/>
        <v>14</v>
      </c>
      <c r="K421" s="74">
        <f t="shared" si="205"/>
        <v>13.6004</v>
      </c>
      <c r="L421" s="74">
        <f t="shared" si="199"/>
        <v>13.200800000000001</v>
      </c>
      <c r="M421" s="114">
        <f t="shared" si="230"/>
        <v>12.8</v>
      </c>
      <c r="N421" s="115">
        <f t="shared" si="226"/>
        <v>13.64</v>
      </c>
      <c r="O421" s="74">
        <f t="shared" si="227"/>
        <v>14.48</v>
      </c>
      <c r="P421" s="74">
        <f t="shared" si="228"/>
        <v>15.32</v>
      </c>
      <c r="Q421" s="74">
        <f t="shared" si="229"/>
        <v>16.16</v>
      </c>
      <c r="R421" s="114">
        <v>17</v>
      </c>
      <c r="S421" s="129"/>
      <c r="T421" s="117">
        <f>SUM((BT20+BU19+BV18+BW17+BX16+BY15+BZ14+CA13+CB12+CC11+CD10+CD9)*0.132,(CC8+CB8+CA7+BZ7+BY6+BX6)*0.132/2,(BW5+BV4)*0.132,17)</f>
        <v>18.443538461538459</v>
      </c>
      <c r="U421" s="117"/>
      <c r="V421" s="129"/>
      <c r="W421" s="114"/>
    </row>
    <row r="422" spans="2:23">
      <c r="B422" s="114">
        <v>19</v>
      </c>
      <c r="C422" s="74">
        <f t="shared" si="192"/>
        <v>18.25</v>
      </c>
      <c r="D422" s="74">
        <f t="shared" si="193"/>
        <v>17.5</v>
      </c>
      <c r="E422" s="74">
        <f t="shared" si="194"/>
        <v>16.75</v>
      </c>
      <c r="F422" s="114">
        <v>16</v>
      </c>
      <c r="G422" s="74">
        <f t="shared" si="195"/>
        <v>15.25</v>
      </c>
      <c r="H422" s="74">
        <f t="shared" si="196"/>
        <v>14.5</v>
      </c>
      <c r="I422" s="74">
        <f t="shared" si="197"/>
        <v>13.75</v>
      </c>
      <c r="J422" s="114">
        <f t="shared" si="198"/>
        <v>13</v>
      </c>
      <c r="K422" s="74">
        <f t="shared" si="205"/>
        <v>12.400599999999999</v>
      </c>
      <c r="L422" s="74">
        <f t="shared" si="199"/>
        <v>11.8012</v>
      </c>
      <c r="M422" s="114">
        <f t="shared" si="230"/>
        <v>11.2</v>
      </c>
      <c r="N422" s="115">
        <f t="shared" si="226"/>
        <v>12.36</v>
      </c>
      <c r="O422" s="74">
        <f t="shared" si="227"/>
        <v>13.52</v>
      </c>
      <c r="P422" s="74">
        <f t="shared" si="228"/>
        <v>14.68</v>
      </c>
      <c r="Q422" s="74">
        <f t="shared" si="229"/>
        <v>15.84</v>
      </c>
      <c r="R422" s="114">
        <v>17</v>
      </c>
      <c r="S422" s="129"/>
      <c r="T422" s="117">
        <f>SUM((BR20+BU18+BX16+CA14+CD12+CG10+CH9)*0.132,(BS19+BT19+BV17+BW17+BY15+BZ15+CB13+CC13+CE11+CF11)*0.132/2,(CG8+CF8+CE8+CD7+CC7+CB7)*0.132/3,(CA6+BZ6+BY5+BX5+BW4+BV4)*0.132/2,17)</f>
        <v>18.421538461538461</v>
      </c>
      <c r="U422" s="117"/>
      <c r="V422" s="129"/>
      <c r="W422" s="114"/>
    </row>
    <row r="423" spans="2:23">
      <c r="B423" s="114">
        <v>20</v>
      </c>
      <c r="C423" s="74">
        <f t="shared" si="192"/>
        <v>19</v>
      </c>
      <c r="D423" s="74">
        <f t="shared" si="193"/>
        <v>18</v>
      </c>
      <c r="E423" s="74">
        <f t="shared" si="194"/>
        <v>17</v>
      </c>
      <c r="F423" s="114">
        <v>16</v>
      </c>
      <c r="G423" s="74">
        <f t="shared" si="195"/>
        <v>15</v>
      </c>
      <c r="H423" s="74">
        <f t="shared" si="196"/>
        <v>14</v>
      </c>
      <c r="I423" s="74">
        <f t="shared" si="197"/>
        <v>13</v>
      </c>
      <c r="J423" s="114">
        <f t="shared" si="198"/>
        <v>12</v>
      </c>
      <c r="K423" s="74">
        <f t="shared" si="205"/>
        <v>11.200799999999999</v>
      </c>
      <c r="L423" s="74">
        <f t="shared" si="199"/>
        <v>10.4016</v>
      </c>
      <c r="M423" s="114">
        <f t="shared" si="230"/>
        <v>9.6</v>
      </c>
      <c r="N423" s="115">
        <f t="shared" si="226"/>
        <v>11.08</v>
      </c>
      <c r="O423" s="74">
        <f t="shared" si="227"/>
        <v>12.56</v>
      </c>
      <c r="P423" s="74">
        <f t="shared" si="228"/>
        <v>14.04</v>
      </c>
      <c r="Q423" s="74">
        <f t="shared" si="229"/>
        <v>15.52</v>
      </c>
      <c r="R423" s="114">
        <v>17</v>
      </c>
      <c r="S423" s="129"/>
      <c r="T423" s="117">
        <f>SUM((BQ19+BR19+BS18+BT18+BU17+BV17+BW16+BX16+BY15+BZ15+CA14+CB14+CC13+CD13+CE12+CF12+CG11+CH11+CI10+CJ10)*0.132/2,(BP20+CK9)*0.132,(CJ8+CI8+CH8+CG7+CF7+CE7+CD6+CC6+CB6+CA5+BZ5+BY5+BX4+BW4+BV4)*0.132/3,17)</f>
        <v>18.421538461538461</v>
      </c>
      <c r="U423" s="117"/>
      <c r="V423" s="129"/>
      <c r="W423" s="114"/>
    </row>
    <row r="424" spans="2:23">
      <c r="B424" s="114">
        <v>21</v>
      </c>
      <c r="C424" s="74">
        <f t="shared" si="192"/>
        <v>19.75</v>
      </c>
      <c r="D424" s="74">
        <f t="shared" si="193"/>
        <v>18.5</v>
      </c>
      <c r="E424" s="74">
        <f t="shared" si="194"/>
        <v>17.25</v>
      </c>
      <c r="F424" s="114">
        <v>16</v>
      </c>
      <c r="G424" s="74">
        <f t="shared" si="195"/>
        <v>14.75</v>
      </c>
      <c r="H424" s="74">
        <f t="shared" si="196"/>
        <v>13.5</v>
      </c>
      <c r="I424" s="74">
        <f t="shared" si="197"/>
        <v>12.25</v>
      </c>
      <c r="J424" s="114">
        <f t="shared" si="198"/>
        <v>11</v>
      </c>
      <c r="K424" s="74">
        <f t="shared" si="205"/>
        <v>10.000999999999999</v>
      </c>
      <c r="L424" s="74">
        <f t="shared" si="199"/>
        <v>9.0019999999999989</v>
      </c>
      <c r="M424" s="114">
        <f t="shared" si="230"/>
        <v>8</v>
      </c>
      <c r="N424" s="115">
        <f t="shared" si="226"/>
        <v>9.8000000000000007</v>
      </c>
      <c r="O424" s="74">
        <f t="shared" si="227"/>
        <v>11.6</v>
      </c>
      <c r="P424" s="74">
        <f t="shared" si="228"/>
        <v>13.399999999999999</v>
      </c>
      <c r="Q424" s="74">
        <f t="shared" si="229"/>
        <v>15.2</v>
      </c>
      <c r="R424" s="114">
        <v>17</v>
      </c>
      <c r="S424" s="129"/>
      <c r="T424" s="117">
        <f>SUM((BN20+BO20+BP19+BQ19+BU17+BV17+BW16+BX16+CB14+CC14+CG12+CH12+CI11+CJ11+CK10+CL10+CM9+CN9)*0.132/2,(BR18+BS18+BT18+BY15+BZ15+CA15+CD13+CE13+CF13)*0.132/3,(CM8+CL8+CK8+CJ8+CI7+CH7+CG7+CF7+CE6+CD6+CC6+CB6)*0.132/4,(CA5+BZ5+BY5+BX4+BW4+BV4)*0.132/3,17)</f>
        <v>18.190538461538463</v>
      </c>
      <c r="U424" s="117"/>
      <c r="V424" s="129"/>
      <c r="W424" s="114"/>
    </row>
    <row r="425" spans="2:23">
      <c r="B425" s="114">
        <v>22</v>
      </c>
      <c r="C425" s="74">
        <f t="shared" si="192"/>
        <v>20.5</v>
      </c>
      <c r="D425" s="74">
        <f t="shared" si="193"/>
        <v>19</v>
      </c>
      <c r="E425" s="74">
        <f t="shared" si="194"/>
        <v>17.5</v>
      </c>
      <c r="F425" s="114">
        <v>16</v>
      </c>
      <c r="G425" s="74">
        <f t="shared" si="195"/>
        <v>14.5</v>
      </c>
      <c r="H425" s="74">
        <f t="shared" si="196"/>
        <v>13</v>
      </c>
      <c r="I425" s="74">
        <f t="shared" si="197"/>
        <v>11.5</v>
      </c>
      <c r="J425" s="114">
        <f t="shared" si="198"/>
        <v>10</v>
      </c>
      <c r="K425" s="74">
        <f t="shared" si="205"/>
        <v>8.8011999999999997</v>
      </c>
      <c r="L425" s="74">
        <f t="shared" si="199"/>
        <v>7.6024000000000003</v>
      </c>
      <c r="M425" s="114">
        <f t="shared" si="230"/>
        <v>6.4</v>
      </c>
      <c r="N425" s="115">
        <f t="shared" si="226"/>
        <v>8.52</v>
      </c>
      <c r="O425" s="74">
        <f t="shared" si="227"/>
        <v>10.64</v>
      </c>
      <c r="P425" s="74">
        <f t="shared" si="228"/>
        <v>12.76</v>
      </c>
      <c r="Q425" s="74">
        <f t="shared" si="229"/>
        <v>14.88</v>
      </c>
      <c r="R425" s="114">
        <v>17</v>
      </c>
      <c r="S425" s="129"/>
      <c r="T425" s="117">
        <f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18.04973846153846</v>
      </c>
      <c r="U425" s="117"/>
      <c r="V425" s="129"/>
      <c r="W425" s="114"/>
    </row>
    <row r="426" spans="2:23">
      <c r="B426" s="114">
        <v>23</v>
      </c>
      <c r="C426" s="74">
        <f t="shared" si="192"/>
        <v>21.25</v>
      </c>
      <c r="D426" s="74">
        <f t="shared" si="193"/>
        <v>19.5</v>
      </c>
      <c r="E426" s="74">
        <f t="shared" si="194"/>
        <v>17.75</v>
      </c>
      <c r="F426" s="114">
        <v>16</v>
      </c>
      <c r="G426" s="74">
        <f t="shared" si="195"/>
        <v>14.25</v>
      </c>
      <c r="H426" s="74">
        <f t="shared" si="196"/>
        <v>12.5</v>
      </c>
      <c r="I426" s="74">
        <f t="shared" si="197"/>
        <v>10.75</v>
      </c>
      <c r="J426" s="114">
        <f t="shared" si="198"/>
        <v>9</v>
      </c>
      <c r="K426" s="74">
        <f t="shared" si="205"/>
        <v>7.6013999999999999</v>
      </c>
      <c r="L426" s="74">
        <f t="shared" si="199"/>
        <v>6.2027999999999999</v>
      </c>
      <c r="M426" s="114">
        <f t="shared" si="230"/>
        <v>4.8000000000000007</v>
      </c>
      <c r="N426" s="115">
        <f t="shared" si="226"/>
        <v>7.24</v>
      </c>
      <c r="O426" s="74">
        <f t="shared" si="227"/>
        <v>9.68</v>
      </c>
      <c r="P426" s="74">
        <f t="shared" si="228"/>
        <v>12.120000000000001</v>
      </c>
      <c r="Q426" s="74">
        <f t="shared" si="229"/>
        <v>14.56</v>
      </c>
      <c r="R426" s="114">
        <v>17</v>
      </c>
      <c r="S426" s="129"/>
      <c r="T426" s="117">
        <f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17.794538461538462</v>
      </c>
      <c r="U426" s="117"/>
      <c r="V426" s="129"/>
      <c r="W426" s="114"/>
    </row>
    <row r="427" spans="2:23">
      <c r="B427" s="114">
        <v>24</v>
      </c>
      <c r="C427" s="74">
        <f t="shared" si="192"/>
        <v>22</v>
      </c>
      <c r="D427" s="74">
        <f t="shared" si="193"/>
        <v>20</v>
      </c>
      <c r="E427" s="74">
        <f t="shared" si="194"/>
        <v>18</v>
      </c>
      <c r="F427" s="114">
        <v>16</v>
      </c>
      <c r="G427" s="74">
        <f t="shared" si="195"/>
        <v>14</v>
      </c>
      <c r="H427" s="74">
        <f t="shared" si="196"/>
        <v>12</v>
      </c>
      <c r="I427" s="74">
        <f t="shared" si="197"/>
        <v>10</v>
      </c>
      <c r="J427" s="114">
        <f t="shared" si="198"/>
        <v>8</v>
      </c>
      <c r="K427" s="74">
        <f t="shared" si="205"/>
        <v>6.4016000000000002</v>
      </c>
      <c r="L427" s="74">
        <f t="shared" si="199"/>
        <v>4.8032000000000004</v>
      </c>
      <c r="M427" s="114">
        <f t="shared" si="230"/>
        <v>3.2</v>
      </c>
      <c r="N427" s="115">
        <f t="shared" si="226"/>
        <v>5.9600000000000009</v>
      </c>
      <c r="O427" s="74">
        <f t="shared" si="227"/>
        <v>8.7200000000000006</v>
      </c>
      <c r="P427" s="74">
        <f t="shared" si="228"/>
        <v>11.48</v>
      </c>
      <c r="Q427" s="74">
        <f t="shared" si="229"/>
        <v>14.240000000000002</v>
      </c>
      <c r="R427" s="114">
        <v>17</v>
      </c>
      <c r="S427" s="129"/>
      <c r="T427" s="117">
        <f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17.67793846153846</v>
      </c>
      <c r="U427" s="117"/>
      <c r="V427" s="129"/>
      <c r="W427" s="114"/>
    </row>
    <row r="428" spans="2:23">
      <c r="B428" s="114">
        <v>25</v>
      </c>
      <c r="C428" s="74">
        <f t="shared" si="192"/>
        <v>22.75</v>
      </c>
      <c r="D428" s="74">
        <f t="shared" si="193"/>
        <v>20.5</v>
      </c>
      <c r="E428" s="74">
        <f t="shared" si="194"/>
        <v>18.25</v>
      </c>
      <c r="F428" s="114">
        <v>16</v>
      </c>
      <c r="G428" s="74">
        <f t="shared" si="195"/>
        <v>13.75</v>
      </c>
      <c r="H428" s="74">
        <f t="shared" si="196"/>
        <v>11.5</v>
      </c>
      <c r="I428" s="74">
        <f t="shared" si="197"/>
        <v>9.25</v>
      </c>
      <c r="J428" s="114">
        <f t="shared" si="198"/>
        <v>7</v>
      </c>
      <c r="K428" s="74">
        <f t="shared" si="205"/>
        <v>5.2017999999999995</v>
      </c>
      <c r="L428" s="74">
        <f t="shared" si="199"/>
        <v>3.4035999999999995</v>
      </c>
      <c r="M428" s="114">
        <f t="shared" si="230"/>
        <v>1.6</v>
      </c>
      <c r="N428" s="115">
        <f t="shared" si="226"/>
        <v>4.68</v>
      </c>
      <c r="O428" s="74">
        <f t="shared" si="227"/>
        <v>7.76</v>
      </c>
      <c r="P428" s="74">
        <f t="shared" si="228"/>
        <v>10.84</v>
      </c>
      <c r="Q428" s="74">
        <f t="shared" si="229"/>
        <v>13.92</v>
      </c>
      <c r="R428" s="114">
        <v>17</v>
      </c>
      <c r="S428" s="129"/>
      <c r="T428" s="131">
        <f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17.552538461538461</v>
      </c>
      <c r="U428" s="131"/>
      <c r="V428" s="129"/>
      <c r="W428" s="114"/>
    </row>
    <row r="429" spans="2:23">
      <c r="B429" s="114"/>
      <c r="C429" s="74"/>
      <c r="D429" s="74"/>
      <c r="E429" s="74"/>
      <c r="F429" s="114"/>
      <c r="G429" s="74"/>
      <c r="H429" s="74"/>
      <c r="I429" s="74"/>
      <c r="J429" s="114"/>
      <c r="K429" s="74"/>
      <c r="L429" s="74"/>
      <c r="M429" s="114"/>
      <c r="N429" s="115"/>
      <c r="O429" s="74"/>
      <c r="P429" s="74"/>
      <c r="Q429" s="74"/>
      <c r="R429" s="114"/>
      <c r="S429" s="129"/>
      <c r="T429" s="117"/>
      <c r="U429" s="117"/>
      <c r="V429" s="129"/>
      <c r="W429" s="114"/>
    </row>
    <row r="430" spans="2:23">
      <c r="B430" s="114">
        <v>17</v>
      </c>
      <c r="C430" s="74">
        <f t="shared" ref="C430:C508" si="231">SUM(0.25*(F430-B430),B430)</f>
        <v>17</v>
      </c>
      <c r="D430" s="74">
        <f t="shared" ref="D430:D508" si="232">SUM(0.5*(F430-B430)+B430)</f>
        <v>17</v>
      </c>
      <c r="E430" s="74">
        <f t="shared" ref="E430:E508" si="233">SUM(0.75*(F430-B430),B430)</f>
        <v>17</v>
      </c>
      <c r="F430" s="114">
        <v>17</v>
      </c>
      <c r="G430" s="74">
        <f t="shared" ref="G430:G508" si="234">SUM(0.25*(J430-F430),F430)</f>
        <v>17</v>
      </c>
      <c r="H430" s="74">
        <f t="shared" ref="H430:H508" si="235">SUM(0.5*(J430-F430),F430)</f>
        <v>17</v>
      </c>
      <c r="I430" s="74">
        <f t="shared" ref="I430:I508" si="236">SUM(0.75*(J430-F430),F430)</f>
        <v>17</v>
      </c>
      <c r="J430" s="114">
        <f t="shared" ref="J430:J508" si="237">SUM(F430,-B430,F430)</f>
        <v>17</v>
      </c>
      <c r="K430" s="74">
        <f t="shared" ref="K430:K499" si="238">SUM(0.333*(M430-J430),J430)</f>
        <v>17</v>
      </c>
      <c r="L430" s="74">
        <f t="shared" ref="L430:L498" si="239">SUM(0.666*(M430-J430),J430)</f>
        <v>17</v>
      </c>
      <c r="M430" s="114">
        <f>SUM(J430,J430-G430)</f>
        <v>17</v>
      </c>
      <c r="N430" s="115">
        <f t="shared" ref="N430:N439" si="240">SUM(0.2*(R430-M430),M430)</f>
        <v>17</v>
      </c>
      <c r="O430" s="74">
        <f t="shared" ref="O430:O439" si="241">SUM(0.4*(R430-M430),M430)</f>
        <v>17</v>
      </c>
      <c r="P430" s="74">
        <f t="shared" ref="P430:P439" si="242">SUM(0.6*(R430-M430),M430)</f>
        <v>17</v>
      </c>
      <c r="Q430" s="74">
        <f t="shared" ref="Q430:Q439" si="243">SUM(0.8*(R430-M430),M430)</f>
        <v>17</v>
      </c>
      <c r="R430" s="114">
        <v>17</v>
      </c>
      <c r="S430" s="129"/>
      <c r="T430" s="117">
        <f>SUM((BV20+BV19+++BV18+BV17+BV16+BV15+BV14+BV13+BV12+BV11+BV10+BV9+BV8+BV7+BV6+BV5+BV4)*0.132,17)</f>
        <v>17.651538461538461</v>
      </c>
      <c r="U430" s="117"/>
      <c r="V430" s="129"/>
      <c r="W430" s="114"/>
    </row>
    <row r="431" spans="2:23">
      <c r="B431" s="114">
        <v>18</v>
      </c>
      <c r="C431" s="74">
        <f t="shared" si="231"/>
        <v>17.75</v>
      </c>
      <c r="D431" s="74">
        <f t="shared" si="232"/>
        <v>17.5</v>
      </c>
      <c r="E431" s="74">
        <f t="shared" si="233"/>
        <v>17.25</v>
      </c>
      <c r="F431" s="114">
        <v>17</v>
      </c>
      <c r="G431" s="74">
        <f t="shared" si="234"/>
        <v>16.75</v>
      </c>
      <c r="H431" s="74">
        <f t="shared" si="235"/>
        <v>16.5</v>
      </c>
      <c r="I431" s="74">
        <f t="shared" si="236"/>
        <v>16.25</v>
      </c>
      <c r="J431" s="114">
        <f t="shared" si="237"/>
        <v>16</v>
      </c>
      <c r="K431" s="74">
        <f t="shared" si="238"/>
        <v>15.8002</v>
      </c>
      <c r="L431" s="74">
        <f t="shared" si="239"/>
        <v>15.6004</v>
      </c>
      <c r="M431" s="114">
        <f t="shared" ref="M431:M462" si="244">SUM(J431,-F431,J431,0.4*ABS(J431-F431))</f>
        <v>15.4</v>
      </c>
      <c r="N431" s="115">
        <f t="shared" si="240"/>
        <v>15.72</v>
      </c>
      <c r="O431" s="74">
        <f t="shared" si="241"/>
        <v>16.04</v>
      </c>
      <c r="P431" s="74">
        <f t="shared" si="242"/>
        <v>16.36</v>
      </c>
      <c r="Q431" s="74">
        <f t="shared" si="243"/>
        <v>16.68</v>
      </c>
      <c r="R431" s="114">
        <v>17</v>
      </c>
      <c r="S431" s="129"/>
      <c r="T431" s="117">
        <f>SUM((BT20+BU19+BU18+BV17+BV16+BW15+BW14+BX13+BX12+BY11+BY10+BY9+BX8+BW7+BW6+BV5+BV4)*0.132,17)</f>
        <v>17.783538461538463</v>
      </c>
      <c r="U431" s="117"/>
      <c r="V431" s="129"/>
      <c r="W431" s="114"/>
    </row>
    <row r="432" spans="2:23">
      <c r="B432" s="114">
        <v>19</v>
      </c>
      <c r="C432" s="74">
        <f t="shared" si="231"/>
        <v>18.5</v>
      </c>
      <c r="D432" s="74">
        <f t="shared" si="232"/>
        <v>18</v>
      </c>
      <c r="E432" s="74">
        <f t="shared" si="233"/>
        <v>17.5</v>
      </c>
      <c r="F432" s="114">
        <v>17</v>
      </c>
      <c r="G432" s="74">
        <f t="shared" si="234"/>
        <v>16.5</v>
      </c>
      <c r="H432" s="74">
        <f t="shared" si="235"/>
        <v>16</v>
      </c>
      <c r="I432" s="74">
        <f t="shared" si="236"/>
        <v>15.5</v>
      </c>
      <c r="J432" s="114">
        <f t="shared" si="237"/>
        <v>15</v>
      </c>
      <c r="K432" s="74">
        <f t="shared" si="238"/>
        <v>14.6004</v>
      </c>
      <c r="L432" s="74">
        <f t="shared" si="239"/>
        <v>14.200800000000001</v>
      </c>
      <c r="M432" s="114">
        <f t="shared" si="244"/>
        <v>13.8</v>
      </c>
      <c r="N432" s="115">
        <f t="shared" si="240"/>
        <v>14.440000000000001</v>
      </c>
      <c r="O432" s="74">
        <f t="shared" si="241"/>
        <v>15.08</v>
      </c>
      <c r="P432" s="74">
        <f t="shared" si="242"/>
        <v>15.72</v>
      </c>
      <c r="Q432" s="74">
        <f t="shared" si="243"/>
        <v>16.36</v>
      </c>
      <c r="R432" s="114">
        <v>17</v>
      </c>
      <c r="S432" s="129"/>
      <c r="T432" s="117">
        <f>SUM((BR20+BS19+BT18+BU17+BV16+BW15+BX14+BY13+BZ12+CA11+CB10+CB9+BY7+BX6+BW5+BV4)*0.132,(CA8+BZ8)*0.132/2,17)</f>
        <v>18.311538461538461</v>
      </c>
      <c r="U432" s="117"/>
      <c r="V432" s="129"/>
      <c r="W432" s="114"/>
    </row>
    <row r="433" spans="2:23">
      <c r="B433" s="114">
        <v>20</v>
      </c>
      <c r="C433" s="74">
        <f t="shared" si="231"/>
        <v>19.25</v>
      </c>
      <c r="D433" s="74">
        <f t="shared" si="232"/>
        <v>18.5</v>
      </c>
      <c r="E433" s="74">
        <f t="shared" si="233"/>
        <v>17.75</v>
      </c>
      <c r="F433" s="114">
        <v>17</v>
      </c>
      <c r="G433" s="74">
        <f t="shared" si="234"/>
        <v>16.25</v>
      </c>
      <c r="H433" s="74">
        <f t="shared" si="235"/>
        <v>15.5</v>
      </c>
      <c r="I433" s="74">
        <f t="shared" si="236"/>
        <v>14.75</v>
      </c>
      <c r="J433" s="114">
        <f t="shared" si="237"/>
        <v>14</v>
      </c>
      <c r="K433" s="74">
        <f t="shared" si="238"/>
        <v>13.400599999999999</v>
      </c>
      <c r="L433" s="74">
        <f t="shared" si="239"/>
        <v>12.8012</v>
      </c>
      <c r="M433" s="114">
        <f t="shared" si="244"/>
        <v>12.2</v>
      </c>
      <c r="N433" s="115">
        <f t="shared" si="240"/>
        <v>13.16</v>
      </c>
      <c r="O433" s="74">
        <f t="shared" si="241"/>
        <v>14.12</v>
      </c>
      <c r="P433" s="74">
        <f t="shared" si="242"/>
        <v>15.08</v>
      </c>
      <c r="Q433" s="74">
        <f t="shared" si="243"/>
        <v>16.04</v>
      </c>
      <c r="R433" s="114">
        <v>17</v>
      </c>
      <c r="S433" s="129"/>
      <c r="T433" s="117">
        <f>SUM((BP20+BS18+BV16+BY14+CB12+CE10+CF9)*0.132,(BQ19+BR19+BT17+BU17+BW15+BX15+BZ13+CA13+CC11+CD11+CE8+CD8+CC7+CB7+CA6+BZ6+BY5+BX5+BW4+BV4)*0.132/2,17)</f>
        <v>17.915538461538461</v>
      </c>
      <c r="U433" s="117"/>
      <c r="V433" s="129"/>
      <c r="W433" s="114"/>
    </row>
    <row r="434" spans="2:23">
      <c r="B434" s="114">
        <v>21</v>
      </c>
      <c r="C434" s="74">
        <f t="shared" si="231"/>
        <v>20</v>
      </c>
      <c r="D434" s="74">
        <f t="shared" si="232"/>
        <v>19</v>
      </c>
      <c r="E434" s="74">
        <f t="shared" si="233"/>
        <v>18</v>
      </c>
      <c r="F434" s="114">
        <v>17</v>
      </c>
      <c r="G434" s="74">
        <f t="shared" si="234"/>
        <v>16</v>
      </c>
      <c r="H434" s="74">
        <f t="shared" si="235"/>
        <v>15</v>
      </c>
      <c r="I434" s="74">
        <f t="shared" si="236"/>
        <v>14</v>
      </c>
      <c r="J434" s="114">
        <f t="shared" si="237"/>
        <v>13</v>
      </c>
      <c r="K434" s="74">
        <f t="shared" si="238"/>
        <v>12.200799999999999</v>
      </c>
      <c r="L434" s="74">
        <f t="shared" si="239"/>
        <v>11.4016</v>
      </c>
      <c r="M434" s="114">
        <f t="shared" si="244"/>
        <v>10.6</v>
      </c>
      <c r="N434" s="115">
        <f t="shared" si="240"/>
        <v>11.879999999999999</v>
      </c>
      <c r="O434" s="74">
        <f t="shared" si="241"/>
        <v>13.16</v>
      </c>
      <c r="P434" s="74">
        <f t="shared" si="242"/>
        <v>14.44</v>
      </c>
      <c r="Q434" s="74">
        <f t="shared" si="243"/>
        <v>15.72</v>
      </c>
      <c r="R434" s="114">
        <v>17</v>
      </c>
      <c r="S434" s="129"/>
      <c r="T434" s="117">
        <f>SUM((BO19+BP19+BQ18+BR18+BS17+BT17+BU16+BV16+BW15+BX15+BY14+BZ14+CA13+CB13+CC12+CD12+CE11+CF11+CG10+CH10)*0.132/2,(BN20+CI9)*0.132,(CH8+CG8+CF8+CE7+CD7+CC7+CB6+CA6+BZ6)*0.132/3,(BY5+BX5+BW4+BV4)*0.132/2,17)</f>
        <v>17.959538461538461</v>
      </c>
      <c r="U434" s="117"/>
      <c r="V434" s="129"/>
      <c r="W434" s="114"/>
    </row>
    <row r="435" spans="2:23">
      <c r="B435" s="114">
        <v>22</v>
      </c>
      <c r="C435" s="74">
        <f t="shared" si="231"/>
        <v>20.75</v>
      </c>
      <c r="D435" s="74">
        <f t="shared" si="232"/>
        <v>19.5</v>
      </c>
      <c r="E435" s="74">
        <f t="shared" si="233"/>
        <v>18.25</v>
      </c>
      <c r="F435" s="114">
        <v>17</v>
      </c>
      <c r="G435" s="74">
        <f t="shared" si="234"/>
        <v>15.75</v>
      </c>
      <c r="H435" s="74">
        <f t="shared" si="235"/>
        <v>14.5</v>
      </c>
      <c r="I435" s="74">
        <f t="shared" si="236"/>
        <v>13.25</v>
      </c>
      <c r="J435" s="114">
        <f t="shared" si="237"/>
        <v>12</v>
      </c>
      <c r="K435" s="74">
        <f t="shared" si="238"/>
        <v>11.000999999999999</v>
      </c>
      <c r="L435" s="74">
        <f t="shared" si="239"/>
        <v>10.001999999999999</v>
      </c>
      <c r="M435" s="114">
        <f t="shared" si="244"/>
        <v>9</v>
      </c>
      <c r="N435" s="115">
        <f t="shared" si="240"/>
        <v>10.6</v>
      </c>
      <c r="O435" s="74">
        <f t="shared" si="241"/>
        <v>12.2</v>
      </c>
      <c r="P435" s="74">
        <f t="shared" si="242"/>
        <v>13.8</v>
      </c>
      <c r="Q435" s="74">
        <f t="shared" si="243"/>
        <v>15.4</v>
      </c>
      <c r="R435" s="114">
        <v>17</v>
      </c>
      <c r="S435" s="129"/>
      <c r="T435" s="117">
        <f>SUM((BL20+BM20+BN19+BO19+BS17+BT17+BU16+BV16+BZ14+CA14+CE12+CF12+CG11+CH11+CI10+CJ10+CK9+CL9)*0.132/2,(BP18+BQ18+BR18+BW15+BX15+BY15+CB13+CC13+CD13)*0.132/3,(CK8+CJ8+CI8+CH8)*0.132/4,(CG7+CF7+CE7+CD6+CC6+CB6+CA5+BZ5+BY5+BX4+BW4+BV4)*0.132/3,17)</f>
        <v>18.256538461538462</v>
      </c>
      <c r="U435" s="117"/>
      <c r="V435" s="129"/>
      <c r="W435" s="114"/>
    </row>
    <row r="436" spans="2:23">
      <c r="B436" s="114">
        <v>23</v>
      </c>
      <c r="C436" s="74">
        <f t="shared" si="231"/>
        <v>21.5</v>
      </c>
      <c r="D436" s="74">
        <f t="shared" si="232"/>
        <v>20</v>
      </c>
      <c r="E436" s="74">
        <f t="shared" si="233"/>
        <v>18.5</v>
      </c>
      <c r="F436" s="114">
        <v>17</v>
      </c>
      <c r="G436" s="74">
        <f t="shared" si="234"/>
        <v>15.5</v>
      </c>
      <c r="H436" s="74">
        <f t="shared" si="235"/>
        <v>14</v>
      </c>
      <c r="I436" s="74">
        <f t="shared" si="236"/>
        <v>12.5</v>
      </c>
      <c r="J436" s="114">
        <f t="shared" si="237"/>
        <v>11</v>
      </c>
      <c r="K436" s="74">
        <f t="shared" si="238"/>
        <v>9.8011999999999997</v>
      </c>
      <c r="L436" s="74">
        <f t="shared" si="239"/>
        <v>8.6023999999999994</v>
      </c>
      <c r="M436" s="114">
        <f t="shared" si="244"/>
        <v>7.4</v>
      </c>
      <c r="N436" s="115">
        <f t="shared" si="240"/>
        <v>9.32</v>
      </c>
      <c r="O436" s="74">
        <f t="shared" si="241"/>
        <v>11.24</v>
      </c>
      <c r="P436" s="74">
        <f t="shared" si="242"/>
        <v>13.16</v>
      </c>
      <c r="Q436" s="74">
        <f t="shared" si="243"/>
        <v>15.08</v>
      </c>
      <c r="R436" s="114">
        <v>17</v>
      </c>
      <c r="S436" s="129"/>
      <c r="T436" s="117">
        <f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17.618538461538463</v>
      </c>
      <c r="U436" s="117"/>
      <c r="V436" s="129"/>
      <c r="W436" s="114"/>
    </row>
    <row r="437" spans="2:23">
      <c r="B437" s="114">
        <v>24</v>
      </c>
      <c r="C437" s="74">
        <f t="shared" si="231"/>
        <v>22.25</v>
      </c>
      <c r="D437" s="74">
        <f t="shared" si="232"/>
        <v>20.5</v>
      </c>
      <c r="E437" s="74">
        <f t="shared" si="233"/>
        <v>18.75</v>
      </c>
      <c r="F437" s="114">
        <v>17</v>
      </c>
      <c r="G437" s="74">
        <f t="shared" si="234"/>
        <v>15.25</v>
      </c>
      <c r="H437" s="74">
        <f t="shared" si="235"/>
        <v>13.5</v>
      </c>
      <c r="I437" s="74">
        <f t="shared" si="236"/>
        <v>11.75</v>
      </c>
      <c r="J437" s="114">
        <f t="shared" si="237"/>
        <v>10</v>
      </c>
      <c r="K437" s="74">
        <f t="shared" si="238"/>
        <v>8.6013999999999999</v>
      </c>
      <c r="L437" s="74">
        <f t="shared" si="239"/>
        <v>7.2027999999999999</v>
      </c>
      <c r="M437" s="114">
        <f t="shared" si="244"/>
        <v>5.8000000000000007</v>
      </c>
      <c r="N437" s="115">
        <f t="shared" si="240"/>
        <v>8.0400000000000009</v>
      </c>
      <c r="O437" s="74">
        <f t="shared" si="241"/>
        <v>10.280000000000001</v>
      </c>
      <c r="P437" s="74">
        <f t="shared" si="242"/>
        <v>12.52</v>
      </c>
      <c r="Q437" s="74">
        <f t="shared" si="243"/>
        <v>14.76</v>
      </c>
      <c r="R437" s="114">
        <v>17</v>
      </c>
      <c r="S437" s="129"/>
      <c r="T437" s="117">
        <f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17.554738461538463</v>
      </c>
      <c r="U437" s="117"/>
      <c r="V437" s="129"/>
      <c r="W437" s="114"/>
    </row>
    <row r="438" spans="2:23">
      <c r="B438" s="114">
        <v>25</v>
      </c>
      <c r="C438" s="74">
        <f t="shared" si="231"/>
        <v>23</v>
      </c>
      <c r="D438" s="74">
        <f t="shared" si="232"/>
        <v>21</v>
      </c>
      <c r="E438" s="74">
        <f t="shared" si="233"/>
        <v>19</v>
      </c>
      <c r="F438" s="114">
        <v>17</v>
      </c>
      <c r="G438" s="74">
        <f t="shared" si="234"/>
        <v>15</v>
      </c>
      <c r="H438" s="74">
        <f t="shared" si="235"/>
        <v>13</v>
      </c>
      <c r="I438" s="74">
        <f t="shared" si="236"/>
        <v>11</v>
      </c>
      <c r="J438" s="114">
        <f t="shared" si="237"/>
        <v>9</v>
      </c>
      <c r="K438" s="74">
        <f t="shared" si="238"/>
        <v>7.4016000000000002</v>
      </c>
      <c r="L438" s="74">
        <f t="shared" si="239"/>
        <v>5.8032000000000004</v>
      </c>
      <c r="M438" s="114">
        <f t="shared" si="244"/>
        <v>4.2</v>
      </c>
      <c r="N438" s="115">
        <f t="shared" si="240"/>
        <v>6.7600000000000007</v>
      </c>
      <c r="O438" s="74">
        <f t="shared" si="241"/>
        <v>9.32</v>
      </c>
      <c r="P438" s="74">
        <f t="shared" si="242"/>
        <v>11.879999999999999</v>
      </c>
      <c r="Q438" s="74">
        <f t="shared" si="243"/>
        <v>14.440000000000001</v>
      </c>
      <c r="R438" s="114">
        <v>17</v>
      </c>
      <c r="S438" s="129"/>
      <c r="T438" s="117">
        <f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17.19613846153846</v>
      </c>
      <c r="U438" s="117"/>
      <c r="V438" s="129"/>
      <c r="W438" s="114"/>
    </row>
    <row r="439" spans="2:23">
      <c r="B439" s="114">
        <v>26</v>
      </c>
      <c r="C439" s="74">
        <f t="shared" si="231"/>
        <v>23.75</v>
      </c>
      <c r="D439" s="74">
        <f t="shared" si="232"/>
        <v>21.5</v>
      </c>
      <c r="E439" s="74">
        <f t="shared" si="233"/>
        <v>19.25</v>
      </c>
      <c r="F439" s="114">
        <v>17</v>
      </c>
      <c r="G439" s="74">
        <f t="shared" si="234"/>
        <v>14.75</v>
      </c>
      <c r="H439" s="74">
        <f t="shared" si="235"/>
        <v>12.5</v>
      </c>
      <c r="I439" s="74">
        <f t="shared" si="236"/>
        <v>10.25</v>
      </c>
      <c r="J439" s="114">
        <f t="shared" si="237"/>
        <v>8</v>
      </c>
      <c r="K439" s="74">
        <f t="shared" si="238"/>
        <v>6.2017999999999995</v>
      </c>
      <c r="L439" s="74">
        <f t="shared" si="239"/>
        <v>4.4035999999999991</v>
      </c>
      <c r="M439" s="114">
        <f t="shared" si="244"/>
        <v>2.6</v>
      </c>
      <c r="N439" s="115">
        <f t="shared" si="240"/>
        <v>5.48</v>
      </c>
      <c r="O439" s="74">
        <f t="shared" si="241"/>
        <v>8.3600000000000012</v>
      </c>
      <c r="P439" s="74">
        <f t="shared" si="242"/>
        <v>11.24</v>
      </c>
      <c r="Q439" s="74">
        <f t="shared" si="243"/>
        <v>14.120000000000001</v>
      </c>
      <c r="R439" s="114">
        <v>17</v>
      </c>
      <c r="S439" s="129"/>
      <c r="T439" s="131">
        <f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17.266538461538463</v>
      </c>
      <c r="U439" s="131"/>
      <c r="V439" s="129"/>
      <c r="W439" s="114"/>
    </row>
    <row r="440" spans="2:23">
      <c r="B440" s="114"/>
      <c r="C440" s="74"/>
      <c r="D440" s="74"/>
      <c r="E440" s="74"/>
      <c r="F440" s="114"/>
      <c r="G440" s="74"/>
      <c r="H440" s="74"/>
      <c r="I440" s="74"/>
      <c r="J440" s="114"/>
      <c r="K440" s="74"/>
      <c r="L440" s="74"/>
      <c r="M440" s="114"/>
      <c r="N440" s="115"/>
      <c r="O440" s="74"/>
      <c r="P440" s="74"/>
      <c r="Q440" s="74"/>
      <c r="R440" s="114"/>
      <c r="S440" s="129"/>
      <c r="T440" s="117"/>
      <c r="U440" s="117"/>
      <c r="V440" s="129"/>
      <c r="W440" s="114"/>
    </row>
    <row r="441" spans="2:23">
      <c r="B441" s="114">
        <v>19</v>
      </c>
      <c r="C441" s="74">
        <f t="shared" si="231"/>
        <v>18.75</v>
      </c>
      <c r="D441" s="74">
        <f t="shared" si="232"/>
        <v>18.5</v>
      </c>
      <c r="E441" s="74">
        <f t="shared" si="233"/>
        <v>18.25</v>
      </c>
      <c r="F441" s="114">
        <v>18</v>
      </c>
      <c r="G441" s="74">
        <f t="shared" si="234"/>
        <v>17.75</v>
      </c>
      <c r="H441" s="74">
        <f t="shared" si="235"/>
        <v>17.5</v>
      </c>
      <c r="I441" s="74">
        <f t="shared" si="236"/>
        <v>17.25</v>
      </c>
      <c r="J441" s="114">
        <f t="shared" si="237"/>
        <v>17</v>
      </c>
      <c r="K441" s="74">
        <f t="shared" si="238"/>
        <v>16.8002</v>
      </c>
      <c r="L441" s="74">
        <f t="shared" si="239"/>
        <v>16.6004</v>
      </c>
      <c r="M441" s="114">
        <f t="shared" si="244"/>
        <v>16.399999999999999</v>
      </c>
      <c r="N441" s="115">
        <f t="shared" ref="N441:N450" si="245">SUM(0.2*(R441-M441),M441)</f>
        <v>16.52</v>
      </c>
      <c r="O441" s="74">
        <f t="shared" ref="O441:O450" si="246">SUM(0.4*(R441-M441),M441)</f>
        <v>16.64</v>
      </c>
      <c r="P441" s="74">
        <f t="shared" ref="P441:P450" si="247">SUM(0.6*(R441-M441),M441)</f>
        <v>16.759999999999998</v>
      </c>
      <c r="Q441" s="74">
        <f t="shared" ref="Q441:Q450" si="248">SUM(0.8*(R441-M441),M441)</f>
        <v>16.88</v>
      </c>
      <c r="R441" s="114">
        <v>17</v>
      </c>
      <c r="S441" s="129"/>
      <c r="T441" s="117">
        <f>SUM((BR20+BS19+BS18+BT17+BT16+BU15+BU14+BV13+BV12+BW11+BW10+BW9+BW8+BW7+BV6+BV5+BV4)*0.132,17)</f>
        <v>17.651538461538461</v>
      </c>
      <c r="U441" s="117"/>
      <c r="V441" s="129"/>
      <c r="W441" s="114"/>
    </row>
    <row r="442" spans="2:23">
      <c r="B442" s="114">
        <v>20</v>
      </c>
      <c r="C442" s="74">
        <f t="shared" si="231"/>
        <v>19.5</v>
      </c>
      <c r="D442" s="74">
        <f t="shared" si="232"/>
        <v>19</v>
      </c>
      <c r="E442" s="74">
        <f t="shared" si="233"/>
        <v>18.5</v>
      </c>
      <c r="F442" s="114">
        <v>18</v>
      </c>
      <c r="G442" s="74">
        <f t="shared" si="234"/>
        <v>17.5</v>
      </c>
      <c r="H442" s="74">
        <f t="shared" si="235"/>
        <v>17</v>
      </c>
      <c r="I442" s="74">
        <f t="shared" si="236"/>
        <v>16.5</v>
      </c>
      <c r="J442" s="114">
        <f t="shared" si="237"/>
        <v>16</v>
      </c>
      <c r="K442" s="74">
        <f t="shared" si="238"/>
        <v>15.6004</v>
      </c>
      <c r="L442" s="74">
        <f t="shared" si="239"/>
        <v>15.200800000000001</v>
      </c>
      <c r="M442" s="114">
        <f t="shared" si="244"/>
        <v>14.8</v>
      </c>
      <c r="N442" s="115">
        <f t="shared" si="245"/>
        <v>15.24</v>
      </c>
      <c r="O442" s="74">
        <f t="shared" si="246"/>
        <v>15.68</v>
      </c>
      <c r="P442" s="74">
        <f t="shared" si="247"/>
        <v>16.12</v>
      </c>
      <c r="Q442" s="74">
        <f t="shared" si="248"/>
        <v>16.559999999999999</v>
      </c>
      <c r="R442" s="114">
        <v>17</v>
      </c>
      <c r="S442" s="129"/>
      <c r="T442" s="117">
        <f>SUM((BP20+BQ19+BR18+BS17+BT16+BU15+BV14+BW13+BX12+BY11+BZ10+BZ9+BY8+BX7+BW6+BV5+BV4)*0.132,17)</f>
        <v>18.047538461538462</v>
      </c>
      <c r="U442" s="117"/>
      <c r="V442" s="129"/>
      <c r="W442" s="114"/>
    </row>
    <row r="443" spans="2:23">
      <c r="B443" s="114">
        <v>21</v>
      </c>
      <c r="C443" s="74">
        <f t="shared" si="231"/>
        <v>20.25</v>
      </c>
      <c r="D443" s="74">
        <f t="shared" si="232"/>
        <v>19.5</v>
      </c>
      <c r="E443" s="74">
        <f t="shared" si="233"/>
        <v>18.75</v>
      </c>
      <c r="F443" s="114">
        <v>18</v>
      </c>
      <c r="G443" s="74">
        <f t="shared" si="234"/>
        <v>17.25</v>
      </c>
      <c r="H443" s="74">
        <f t="shared" si="235"/>
        <v>16.5</v>
      </c>
      <c r="I443" s="74">
        <f t="shared" si="236"/>
        <v>15.75</v>
      </c>
      <c r="J443" s="114">
        <f t="shared" si="237"/>
        <v>15</v>
      </c>
      <c r="K443" s="74">
        <f t="shared" si="238"/>
        <v>14.400599999999999</v>
      </c>
      <c r="L443" s="74">
        <f t="shared" si="239"/>
        <v>13.8012</v>
      </c>
      <c r="M443" s="114">
        <f t="shared" si="244"/>
        <v>13.2</v>
      </c>
      <c r="N443" s="115">
        <f t="shared" si="245"/>
        <v>13.959999999999999</v>
      </c>
      <c r="O443" s="74">
        <f t="shared" si="246"/>
        <v>14.719999999999999</v>
      </c>
      <c r="P443" s="74">
        <f t="shared" si="247"/>
        <v>15.48</v>
      </c>
      <c r="Q443" s="74">
        <f t="shared" si="248"/>
        <v>16.240000000000002</v>
      </c>
      <c r="R443" s="114">
        <v>17</v>
      </c>
      <c r="S443" s="129"/>
      <c r="T443" s="117">
        <f>SUM((BN20+BQ18+BT16+BW14+BZ12+CC10+CD9)*0.132,(BO19+BP19+BR17+BS17+BU15+BV15+BX13+BY13+CA11+CB11+CC8+CB8+CA7+BZ7+BY6+BX6)*0.132/2,(BW5+BV4)*0.132,17)</f>
        <v>17.849538461538462</v>
      </c>
      <c r="U443" s="117"/>
      <c r="V443" s="129"/>
      <c r="W443" s="114"/>
    </row>
    <row r="444" spans="2:23">
      <c r="B444" s="114">
        <v>22</v>
      </c>
      <c r="C444" s="74">
        <f t="shared" si="231"/>
        <v>21</v>
      </c>
      <c r="D444" s="74">
        <f t="shared" si="232"/>
        <v>20</v>
      </c>
      <c r="E444" s="74">
        <f t="shared" si="233"/>
        <v>19</v>
      </c>
      <c r="F444" s="114">
        <v>18</v>
      </c>
      <c r="G444" s="74">
        <f t="shared" si="234"/>
        <v>17</v>
      </c>
      <c r="H444" s="74">
        <f t="shared" si="235"/>
        <v>16</v>
      </c>
      <c r="I444" s="74">
        <f t="shared" si="236"/>
        <v>15</v>
      </c>
      <c r="J444" s="114">
        <f t="shared" si="237"/>
        <v>14</v>
      </c>
      <c r="K444" s="74">
        <f t="shared" si="238"/>
        <v>13.200799999999999</v>
      </c>
      <c r="L444" s="74">
        <f t="shared" si="239"/>
        <v>12.4016</v>
      </c>
      <c r="M444" s="114">
        <f t="shared" si="244"/>
        <v>11.6</v>
      </c>
      <c r="N444" s="115">
        <f t="shared" si="245"/>
        <v>12.68</v>
      </c>
      <c r="O444" s="74">
        <f t="shared" si="246"/>
        <v>13.76</v>
      </c>
      <c r="P444" s="74">
        <f t="shared" si="247"/>
        <v>14.84</v>
      </c>
      <c r="Q444" s="74">
        <f t="shared" si="248"/>
        <v>15.92</v>
      </c>
      <c r="R444" s="114">
        <v>17</v>
      </c>
      <c r="S444" s="129"/>
      <c r="T444" s="117">
        <f>SUM((BM19+BN19+BO18+BP18+BQ17+BR17+BS16+BT16+BU15+BV15+BW14+BX14+BY13+BZ13+CA12+CB12+CC11+CD11+CE10+CF10)*0.132/2,(BL20+CG9)*0.132,(CF8+CE8+CD8)*0.132/3,(CC7+CB7+CA6+BZ6+BY5+BX5+BW4+BV4)*0.132/2,17)</f>
        <v>17.695538461538462</v>
      </c>
      <c r="U444" s="117"/>
      <c r="V444" s="129"/>
      <c r="W444" s="114"/>
    </row>
    <row r="445" spans="2:23">
      <c r="B445" s="114">
        <v>23</v>
      </c>
      <c r="C445" s="74">
        <f t="shared" si="231"/>
        <v>21.75</v>
      </c>
      <c r="D445" s="74">
        <f t="shared" si="232"/>
        <v>20.5</v>
      </c>
      <c r="E445" s="74">
        <f t="shared" si="233"/>
        <v>19.25</v>
      </c>
      <c r="F445" s="114">
        <v>18</v>
      </c>
      <c r="G445" s="74">
        <f t="shared" si="234"/>
        <v>16.75</v>
      </c>
      <c r="H445" s="74">
        <f t="shared" si="235"/>
        <v>15.5</v>
      </c>
      <c r="I445" s="74">
        <f t="shared" si="236"/>
        <v>14.25</v>
      </c>
      <c r="J445" s="114">
        <f t="shared" si="237"/>
        <v>13</v>
      </c>
      <c r="K445" s="74">
        <f t="shared" si="238"/>
        <v>12.000999999999999</v>
      </c>
      <c r="L445" s="74">
        <f t="shared" si="239"/>
        <v>11.001999999999999</v>
      </c>
      <c r="M445" s="114">
        <f t="shared" si="244"/>
        <v>10</v>
      </c>
      <c r="N445" s="115">
        <f t="shared" si="245"/>
        <v>11.4</v>
      </c>
      <c r="O445" s="74">
        <f t="shared" si="246"/>
        <v>12.8</v>
      </c>
      <c r="P445" s="74">
        <f t="shared" si="247"/>
        <v>14.2</v>
      </c>
      <c r="Q445" s="74">
        <f t="shared" si="248"/>
        <v>15.600000000000001</v>
      </c>
      <c r="R445" s="114">
        <v>17</v>
      </c>
      <c r="S445" s="129"/>
      <c r="T445" s="117">
        <f>SUM((BJ20+BK20+BL19+BM19+BQ17+BR17+BS16+BT16+BX14+BY14+CC12+CD12+CE11+CF11+CG10+CH10+CI9+CJ9)*0.132/2,(BN18+BO18+BP18+BU15+BV15+BW15+BZ13+CA13+CB13)*0.132/3,(CI8+CH8+CG8+CF7+CE7+CD7+CC6+CB6+CA6+BZ5+BY5+BX5)*0.132/3,(BW4+BV4)*0.132/2,17)</f>
        <v>17.761538461538461</v>
      </c>
      <c r="U445" s="117"/>
      <c r="V445" s="129"/>
      <c r="W445" s="114"/>
    </row>
    <row r="446" spans="2:23">
      <c r="B446" s="114">
        <v>24</v>
      </c>
      <c r="C446" s="74">
        <f t="shared" si="231"/>
        <v>22.5</v>
      </c>
      <c r="D446" s="74">
        <f t="shared" si="232"/>
        <v>21</v>
      </c>
      <c r="E446" s="74">
        <f t="shared" si="233"/>
        <v>19.5</v>
      </c>
      <c r="F446" s="114">
        <v>18</v>
      </c>
      <c r="G446" s="74">
        <f t="shared" si="234"/>
        <v>16.5</v>
      </c>
      <c r="H446" s="74">
        <f t="shared" si="235"/>
        <v>15</v>
      </c>
      <c r="I446" s="74">
        <f t="shared" si="236"/>
        <v>13.5</v>
      </c>
      <c r="J446" s="114">
        <f t="shared" si="237"/>
        <v>12</v>
      </c>
      <c r="K446" s="74">
        <f t="shared" si="238"/>
        <v>10.8012</v>
      </c>
      <c r="L446" s="74">
        <f t="shared" si="239"/>
        <v>9.6023999999999994</v>
      </c>
      <c r="M446" s="114">
        <f t="shared" si="244"/>
        <v>8.4</v>
      </c>
      <c r="N446" s="115">
        <f t="shared" si="245"/>
        <v>10.120000000000001</v>
      </c>
      <c r="O446" s="74">
        <f t="shared" si="246"/>
        <v>11.84</v>
      </c>
      <c r="P446" s="74">
        <f t="shared" si="247"/>
        <v>13.559999999999999</v>
      </c>
      <c r="Q446" s="74">
        <f t="shared" si="248"/>
        <v>15.280000000000001</v>
      </c>
      <c r="R446" s="114">
        <v>17</v>
      </c>
      <c r="S446" s="129"/>
      <c r="T446" s="117">
        <f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17.607538461538461</v>
      </c>
      <c r="U446" s="117"/>
      <c r="V446" s="129"/>
      <c r="W446" s="114"/>
    </row>
    <row r="447" spans="2:23">
      <c r="B447" s="114">
        <v>25</v>
      </c>
      <c r="C447" s="74">
        <f t="shared" si="231"/>
        <v>23.25</v>
      </c>
      <c r="D447" s="74">
        <f t="shared" si="232"/>
        <v>21.5</v>
      </c>
      <c r="E447" s="74">
        <f t="shared" si="233"/>
        <v>19.75</v>
      </c>
      <c r="F447" s="114">
        <v>18</v>
      </c>
      <c r="G447" s="74">
        <f t="shared" si="234"/>
        <v>16.25</v>
      </c>
      <c r="H447" s="74">
        <f t="shared" si="235"/>
        <v>14.5</v>
      </c>
      <c r="I447" s="74">
        <f t="shared" si="236"/>
        <v>12.75</v>
      </c>
      <c r="J447" s="114">
        <f t="shared" si="237"/>
        <v>11</v>
      </c>
      <c r="K447" s="74">
        <f t="shared" si="238"/>
        <v>9.6013999999999999</v>
      </c>
      <c r="L447" s="74">
        <f t="shared" si="239"/>
        <v>8.2027999999999999</v>
      </c>
      <c r="M447" s="114">
        <f t="shared" si="244"/>
        <v>6.8000000000000007</v>
      </c>
      <c r="N447" s="115">
        <f t="shared" si="245"/>
        <v>8.84</v>
      </c>
      <c r="O447" s="74">
        <f t="shared" si="246"/>
        <v>10.88</v>
      </c>
      <c r="P447" s="74">
        <f t="shared" si="247"/>
        <v>12.92</v>
      </c>
      <c r="Q447" s="74">
        <f t="shared" si="248"/>
        <v>14.96</v>
      </c>
      <c r="R447" s="114">
        <v>17</v>
      </c>
      <c r="S447" s="129"/>
      <c r="T447" s="117">
        <f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17.288538461538462</v>
      </c>
      <c r="U447" s="117"/>
      <c r="V447" s="129"/>
      <c r="W447" s="114"/>
    </row>
    <row r="448" spans="2:23">
      <c r="B448" s="114">
        <v>26</v>
      </c>
      <c r="C448" s="74">
        <f t="shared" si="231"/>
        <v>24</v>
      </c>
      <c r="D448" s="74">
        <f t="shared" si="232"/>
        <v>22</v>
      </c>
      <c r="E448" s="74">
        <f t="shared" si="233"/>
        <v>20</v>
      </c>
      <c r="F448" s="114">
        <v>18</v>
      </c>
      <c r="G448" s="74">
        <f t="shared" si="234"/>
        <v>16</v>
      </c>
      <c r="H448" s="74">
        <f t="shared" si="235"/>
        <v>14</v>
      </c>
      <c r="I448" s="74">
        <f t="shared" si="236"/>
        <v>12</v>
      </c>
      <c r="J448" s="114">
        <f t="shared" si="237"/>
        <v>10</v>
      </c>
      <c r="K448" s="74">
        <f t="shared" si="238"/>
        <v>8.4016000000000002</v>
      </c>
      <c r="L448" s="74">
        <f t="shared" si="239"/>
        <v>6.8032000000000004</v>
      </c>
      <c r="M448" s="114">
        <f t="shared" si="244"/>
        <v>5.2</v>
      </c>
      <c r="N448" s="115">
        <f t="shared" si="245"/>
        <v>7.5600000000000005</v>
      </c>
      <c r="O448" s="74">
        <f t="shared" si="246"/>
        <v>9.9200000000000017</v>
      </c>
      <c r="P448" s="74">
        <f t="shared" si="247"/>
        <v>12.280000000000001</v>
      </c>
      <c r="Q448" s="74">
        <f t="shared" si="248"/>
        <v>14.64</v>
      </c>
      <c r="R448" s="114">
        <v>17</v>
      </c>
      <c r="S448" s="129"/>
      <c r="T448" s="117">
        <f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17.068538461538463</v>
      </c>
      <c r="U448" s="117"/>
      <c r="V448" s="129"/>
      <c r="W448" s="114"/>
    </row>
    <row r="449" spans="2:23">
      <c r="B449" s="114">
        <v>27</v>
      </c>
      <c r="C449" s="74">
        <f t="shared" si="231"/>
        <v>24.75</v>
      </c>
      <c r="D449" s="74">
        <f t="shared" si="232"/>
        <v>22.5</v>
      </c>
      <c r="E449" s="74">
        <f t="shared" si="233"/>
        <v>20.25</v>
      </c>
      <c r="F449" s="114">
        <v>18</v>
      </c>
      <c r="G449" s="74">
        <f t="shared" si="234"/>
        <v>15.75</v>
      </c>
      <c r="H449" s="74">
        <f t="shared" si="235"/>
        <v>13.5</v>
      </c>
      <c r="I449" s="74">
        <f t="shared" si="236"/>
        <v>11.25</v>
      </c>
      <c r="J449" s="114">
        <f t="shared" si="237"/>
        <v>9</v>
      </c>
      <c r="K449" s="74">
        <f t="shared" si="238"/>
        <v>7.2017999999999995</v>
      </c>
      <c r="L449" s="74">
        <f t="shared" si="239"/>
        <v>5.4035999999999991</v>
      </c>
      <c r="M449" s="114">
        <f t="shared" si="244"/>
        <v>3.6</v>
      </c>
      <c r="N449" s="115">
        <f t="shared" si="245"/>
        <v>6.28</v>
      </c>
      <c r="O449" s="74">
        <f t="shared" si="246"/>
        <v>8.9600000000000009</v>
      </c>
      <c r="P449" s="74">
        <f t="shared" si="247"/>
        <v>11.639999999999999</v>
      </c>
      <c r="Q449" s="74">
        <f t="shared" si="248"/>
        <v>14.32</v>
      </c>
      <c r="R449" s="114">
        <v>17</v>
      </c>
      <c r="S449" s="129"/>
      <c r="T449" s="117">
        <f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16.877138461538461</v>
      </c>
      <c r="U449" s="117"/>
      <c r="V449" s="129"/>
      <c r="W449" s="114"/>
    </row>
    <row r="450" spans="2:23">
      <c r="B450" s="114">
        <v>28</v>
      </c>
      <c r="C450" s="74">
        <f t="shared" si="231"/>
        <v>25.5</v>
      </c>
      <c r="D450" s="74">
        <f t="shared" si="232"/>
        <v>23</v>
      </c>
      <c r="E450" s="74">
        <f t="shared" si="233"/>
        <v>20.5</v>
      </c>
      <c r="F450" s="114">
        <v>18</v>
      </c>
      <c r="G450" s="74">
        <f t="shared" si="234"/>
        <v>15.5</v>
      </c>
      <c r="H450" s="74">
        <f t="shared" si="235"/>
        <v>13</v>
      </c>
      <c r="I450" s="74">
        <f t="shared" si="236"/>
        <v>10.5</v>
      </c>
      <c r="J450" s="114">
        <f t="shared" si="237"/>
        <v>8</v>
      </c>
      <c r="K450" s="74">
        <f t="shared" si="238"/>
        <v>6.0019999999999998</v>
      </c>
      <c r="L450" s="74">
        <f t="shared" si="239"/>
        <v>4.0039999999999996</v>
      </c>
      <c r="M450" s="114">
        <f t="shared" si="244"/>
        <v>2</v>
      </c>
      <c r="N450" s="115">
        <f t="shared" si="245"/>
        <v>5</v>
      </c>
      <c r="O450" s="74">
        <f t="shared" si="246"/>
        <v>8</v>
      </c>
      <c r="P450" s="74">
        <f t="shared" si="247"/>
        <v>11</v>
      </c>
      <c r="Q450" s="74">
        <f t="shared" si="248"/>
        <v>14</v>
      </c>
      <c r="R450" s="114">
        <v>17</v>
      </c>
      <c r="S450" s="129"/>
      <c r="T450" s="131">
        <f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16.978338461538463</v>
      </c>
      <c r="U450" s="131"/>
      <c r="V450" s="129"/>
      <c r="W450" s="114"/>
    </row>
    <row r="451" spans="2:23">
      <c r="B451" s="114"/>
      <c r="C451" s="74"/>
      <c r="D451" s="74"/>
      <c r="E451" s="74"/>
      <c r="F451" s="114"/>
      <c r="G451" s="74"/>
      <c r="H451" s="74"/>
      <c r="I451" s="74"/>
      <c r="J451" s="114"/>
      <c r="K451" s="74"/>
      <c r="L451" s="74"/>
      <c r="M451" s="114"/>
      <c r="N451" s="115"/>
      <c r="O451" s="74"/>
      <c r="P451" s="74"/>
      <c r="Q451" s="74"/>
      <c r="R451" s="114"/>
      <c r="S451" s="129"/>
      <c r="T451" s="117"/>
      <c r="U451" s="117"/>
      <c r="V451" s="129"/>
      <c r="W451" s="114"/>
    </row>
    <row r="452" spans="2:23">
      <c r="B452" s="114">
        <v>20</v>
      </c>
      <c r="C452" s="74">
        <f t="shared" si="231"/>
        <v>19.75</v>
      </c>
      <c r="D452" s="74">
        <f t="shared" si="232"/>
        <v>19.5</v>
      </c>
      <c r="E452" s="74">
        <f t="shared" si="233"/>
        <v>19.25</v>
      </c>
      <c r="F452" s="114">
        <v>19</v>
      </c>
      <c r="G452" s="74">
        <f t="shared" si="234"/>
        <v>18.75</v>
      </c>
      <c r="H452" s="74">
        <f t="shared" si="235"/>
        <v>18.5</v>
      </c>
      <c r="I452" s="74">
        <f t="shared" si="236"/>
        <v>18.25</v>
      </c>
      <c r="J452" s="114">
        <f t="shared" si="237"/>
        <v>18</v>
      </c>
      <c r="K452" s="74">
        <f t="shared" si="238"/>
        <v>17.8002</v>
      </c>
      <c r="L452" s="74">
        <f t="shared" si="239"/>
        <v>17.6004</v>
      </c>
      <c r="M452" s="114">
        <f t="shared" si="244"/>
        <v>17.399999999999999</v>
      </c>
      <c r="N452" s="115">
        <f t="shared" ref="N452:N462" si="249">SUM(0.2*(R452-M452),M452)</f>
        <v>17.32</v>
      </c>
      <c r="O452" s="74">
        <f t="shared" ref="O452:O462" si="250">SUM(0.4*(R452-M452),M452)</f>
        <v>17.239999999999998</v>
      </c>
      <c r="P452" s="74">
        <f t="shared" ref="P452:P462" si="251">SUM(0.6*(R452-M452),M452)</f>
        <v>17.16</v>
      </c>
      <c r="Q452" s="74">
        <f t="shared" ref="Q452:Q462" si="252">SUM(0.8*(R452-M452),M452)</f>
        <v>17.079999999999998</v>
      </c>
      <c r="R452" s="114">
        <v>17</v>
      </c>
      <c r="S452" s="129"/>
      <c r="T452" s="117">
        <f>SUM((BP20+BQ19+BQ18+BR17+BR16+BS15+BS14+BT13+BT12+BU11+BU10+BU9+BV8+BV7+BV6+BV5+BV4)*0.132,17)</f>
        <v>17.25553846153846</v>
      </c>
      <c r="U452" s="117"/>
      <c r="V452" s="129"/>
      <c r="W452" s="114"/>
    </row>
    <row r="453" spans="2:23">
      <c r="B453" s="114">
        <v>21</v>
      </c>
      <c r="C453" s="74">
        <f t="shared" si="231"/>
        <v>20.5</v>
      </c>
      <c r="D453" s="74">
        <f t="shared" si="232"/>
        <v>20</v>
      </c>
      <c r="E453" s="74">
        <f t="shared" si="233"/>
        <v>19.5</v>
      </c>
      <c r="F453" s="114">
        <v>19</v>
      </c>
      <c r="G453" s="74">
        <f t="shared" si="234"/>
        <v>18.5</v>
      </c>
      <c r="H453" s="74">
        <f t="shared" si="235"/>
        <v>18</v>
      </c>
      <c r="I453" s="74">
        <f t="shared" si="236"/>
        <v>17.5</v>
      </c>
      <c r="J453" s="114">
        <f t="shared" si="237"/>
        <v>17</v>
      </c>
      <c r="K453" s="74">
        <f t="shared" si="238"/>
        <v>16.6004</v>
      </c>
      <c r="L453" s="74">
        <f t="shared" si="239"/>
        <v>16.200800000000001</v>
      </c>
      <c r="M453" s="114">
        <f t="shared" si="244"/>
        <v>15.8</v>
      </c>
      <c r="N453" s="115">
        <f t="shared" si="249"/>
        <v>16.04</v>
      </c>
      <c r="O453" s="74">
        <f t="shared" si="250"/>
        <v>16.28</v>
      </c>
      <c r="P453" s="74">
        <f t="shared" si="251"/>
        <v>16.52</v>
      </c>
      <c r="Q453" s="74">
        <f t="shared" si="252"/>
        <v>16.760000000000002</v>
      </c>
      <c r="R453" s="114">
        <v>17</v>
      </c>
      <c r="S453" s="129"/>
      <c r="T453" s="117">
        <f>SUM((BN20+BO19+BP18+BQ17+BR16+BS15+BT14+BU13+BV12+BW11+BX10+BX9+BW8+BW7+BV6+BV5+BV4)*0.132,17)</f>
        <v>16.991538461538461</v>
      </c>
      <c r="U453" s="117"/>
      <c r="V453" s="129"/>
      <c r="W453" s="114"/>
    </row>
    <row r="454" spans="2:23">
      <c r="B454" s="114">
        <v>22</v>
      </c>
      <c r="C454" s="74">
        <f t="shared" si="231"/>
        <v>21.25</v>
      </c>
      <c r="D454" s="74">
        <f t="shared" si="232"/>
        <v>20.5</v>
      </c>
      <c r="E454" s="74">
        <f t="shared" si="233"/>
        <v>19.75</v>
      </c>
      <c r="F454" s="114">
        <v>19</v>
      </c>
      <c r="G454" s="74">
        <f t="shared" si="234"/>
        <v>18.25</v>
      </c>
      <c r="H454" s="74">
        <f t="shared" si="235"/>
        <v>17.5</v>
      </c>
      <c r="I454" s="74">
        <f t="shared" si="236"/>
        <v>16.75</v>
      </c>
      <c r="J454" s="114">
        <f t="shared" si="237"/>
        <v>16</v>
      </c>
      <c r="K454" s="74">
        <f t="shared" si="238"/>
        <v>15.400599999999999</v>
      </c>
      <c r="L454" s="74">
        <f t="shared" si="239"/>
        <v>14.8012</v>
      </c>
      <c r="M454" s="114">
        <f t="shared" si="244"/>
        <v>14.2</v>
      </c>
      <c r="N454" s="115">
        <f t="shared" si="249"/>
        <v>14.76</v>
      </c>
      <c r="O454" s="74">
        <f t="shared" si="250"/>
        <v>15.32</v>
      </c>
      <c r="P454" s="74">
        <f t="shared" si="251"/>
        <v>15.879999999999999</v>
      </c>
      <c r="Q454" s="74">
        <f t="shared" si="252"/>
        <v>16.440000000000001</v>
      </c>
      <c r="R454" s="114">
        <v>17</v>
      </c>
      <c r="S454" s="129"/>
      <c r="T454" s="117">
        <f>SUM((BL20+BO18+BR16+BU14+BX12+CA10+CB9+BY7+BX6+BW5+BV4)*0.132,(BM19+BN19+BP17+BQ17+BS15+BT15+BV13+BW13+BY11+BZ11+CA8+BZ8)*0.132/2,17)</f>
        <v>17.519538461538463</v>
      </c>
      <c r="U454" s="117"/>
      <c r="V454" s="129"/>
      <c r="W454" s="114"/>
    </row>
    <row r="455" spans="2:23">
      <c r="B455" s="114">
        <v>23</v>
      </c>
      <c r="C455" s="74">
        <f t="shared" si="231"/>
        <v>22</v>
      </c>
      <c r="D455" s="74">
        <f t="shared" si="232"/>
        <v>21</v>
      </c>
      <c r="E455" s="74">
        <f t="shared" si="233"/>
        <v>20</v>
      </c>
      <c r="F455" s="114">
        <v>19</v>
      </c>
      <c r="G455" s="74">
        <f t="shared" si="234"/>
        <v>18</v>
      </c>
      <c r="H455" s="74">
        <f t="shared" si="235"/>
        <v>17</v>
      </c>
      <c r="I455" s="74">
        <f t="shared" si="236"/>
        <v>16</v>
      </c>
      <c r="J455" s="114">
        <f t="shared" si="237"/>
        <v>15</v>
      </c>
      <c r="K455" s="74">
        <f t="shared" si="238"/>
        <v>14.200799999999999</v>
      </c>
      <c r="L455" s="74">
        <f t="shared" si="239"/>
        <v>13.4016</v>
      </c>
      <c r="M455" s="114">
        <f t="shared" si="244"/>
        <v>12.6</v>
      </c>
      <c r="N455" s="115">
        <f t="shared" si="249"/>
        <v>13.48</v>
      </c>
      <c r="O455" s="74">
        <f t="shared" si="250"/>
        <v>14.36</v>
      </c>
      <c r="P455" s="74">
        <f t="shared" si="251"/>
        <v>15.24</v>
      </c>
      <c r="Q455" s="74">
        <f t="shared" si="252"/>
        <v>16.12</v>
      </c>
      <c r="R455" s="114">
        <v>17</v>
      </c>
      <c r="S455" s="129"/>
      <c r="T455" s="117">
        <f>SUM((BK19+BL19+BM18+BN18+BO17+BP17+BQ16+BR16+BS15+BT15+BU14+BV14+BW13+BX13+BY12+BZ12+CA11+CB11+CC10+CD10)*0.132/2,(BJ20+CE9)*0.132,(CD8+CC8+CB7+CA7+BZ6+BY6+BX5+BW5)*0.132/2,BV4*0.132,17)</f>
        <v>17.189538461538461</v>
      </c>
      <c r="U455" s="117"/>
      <c r="V455" s="129"/>
      <c r="W455" s="114"/>
    </row>
    <row r="456" spans="2:23">
      <c r="B456" s="114">
        <v>24</v>
      </c>
      <c r="C456" s="74">
        <f t="shared" si="231"/>
        <v>22.75</v>
      </c>
      <c r="D456" s="74">
        <f t="shared" si="232"/>
        <v>21.5</v>
      </c>
      <c r="E456" s="74">
        <f t="shared" si="233"/>
        <v>20.25</v>
      </c>
      <c r="F456" s="114">
        <v>19</v>
      </c>
      <c r="G456" s="74">
        <f t="shared" si="234"/>
        <v>17.75</v>
      </c>
      <c r="H456" s="74">
        <f t="shared" si="235"/>
        <v>16.5</v>
      </c>
      <c r="I456" s="74">
        <f t="shared" si="236"/>
        <v>15.25</v>
      </c>
      <c r="J456" s="114">
        <f t="shared" si="237"/>
        <v>14</v>
      </c>
      <c r="K456" s="74">
        <f t="shared" si="238"/>
        <v>13.000999999999999</v>
      </c>
      <c r="L456" s="74">
        <f t="shared" si="239"/>
        <v>12.001999999999999</v>
      </c>
      <c r="M456" s="114">
        <f t="shared" si="244"/>
        <v>11</v>
      </c>
      <c r="N456" s="115">
        <f t="shared" si="249"/>
        <v>12.2</v>
      </c>
      <c r="O456" s="74">
        <f t="shared" si="250"/>
        <v>13.4</v>
      </c>
      <c r="P456" s="74">
        <f t="shared" si="251"/>
        <v>14.6</v>
      </c>
      <c r="Q456" s="74">
        <f t="shared" si="252"/>
        <v>15.8</v>
      </c>
      <c r="R456" s="114">
        <v>17</v>
      </c>
      <c r="S456" s="129"/>
      <c r="T456" s="117">
        <f>SUM((BH20+BI20+BJ19+BK19+BO17+BP17+BQ16+BR16+BV14+BW14+CA12+CB12+CC11+CD11+CE10+CF10+CG9+CH9)*0.132/2,(BL18+BM18+BN18+BS15+BT15+BU15+BX13+BY13+BZ13)*0.132/3,(CG8+CF8+CE8+CD7+CC7+CB7)*0.132/3,(CA6+BZ6+BY5+BX5+BW4+BV4)*0.132/2,17)</f>
        <v>17.233538461538462</v>
      </c>
      <c r="U456" s="117"/>
      <c r="V456" s="129"/>
      <c r="W456" s="114"/>
    </row>
    <row r="457" spans="2:23">
      <c r="B457" s="114">
        <v>25</v>
      </c>
      <c r="C457" s="74">
        <f t="shared" si="231"/>
        <v>23.5</v>
      </c>
      <c r="D457" s="74">
        <f t="shared" si="232"/>
        <v>22</v>
      </c>
      <c r="E457" s="74">
        <f t="shared" si="233"/>
        <v>20.5</v>
      </c>
      <c r="F457" s="114">
        <v>19</v>
      </c>
      <c r="G457" s="74">
        <f t="shared" si="234"/>
        <v>17.5</v>
      </c>
      <c r="H457" s="74">
        <f t="shared" si="235"/>
        <v>16</v>
      </c>
      <c r="I457" s="74">
        <f t="shared" si="236"/>
        <v>14.5</v>
      </c>
      <c r="J457" s="114">
        <f t="shared" si="237"/>
        <v>13</v>
      </c>
      <c r="K457" s="74">
        <f t="shared" si="238"/>
        <v>11.8012</v>
      </c>
      <c r="L457" s="74">
        <f t="shared" si="239"/>
        <v>10.602399999999999</v>
      </c>
      <c r="M457" s="114">
        <f t="shared" si="244"/>
        <v>9.4</v>
      </c>
      <c r="N457" s="115">
        <f t="shared" si="249"/>
        <v>10.92</v>
      </c>
      <c r="O457" s="74">
        <f t="shared" si="250"/>
        <v>12.440000000000001</v>
      </c>
      <c r="P457" s="74">
        <f t="shared" si="251"/>
        <v>13.96</v>
      </c>
      <c r="Q457" s="74">
        <f t="shared" si="252"/>
        <v>15.48</v>
      </c>
      <c r="R457" s="114">
        <v>17</v>
      </c>
      <c r="S457" s="129"/>
      <c r="T457" s="117">
        <f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17.497538461538461</v>
      </c>
      <c r="U457" s="117"/>
      <c r="V457" s="129"/>
      <c r="W457" s="114"/>
    </row>
    <row r="458" spans="2:23">
      <c r="B458" s="114">
        <v>26</v>
      </c>
      <c r="C458" s="74">
        <f t="shared" si="231"/>
        <v>24.25</v>
      </c>
      <c r="D458" s="74">
        <f t="shared" si="232"/>
        <v>22.5</v>
      </c>
      <c r="E458" s="74">
        <f t="shared" si="233"/>
        <v>20.75</v>
      </c>
      <c r="F458" s="114">
        <v>19</v>
      </c>
      <c r="G458" s="74">
        <f t="shared" si="234"/>
        <v>17.25</v>
      </c>
      <c r="H458" s="74">
        <f t="shared" si="235"/>
        <v>15.5</v>
      </c>
      <c r="I458" s="74">
        <f t="shared" si="236"/>
        <v>13.75</v>
      </c>
      <c r="J458" s="114">
        <f t="shared" si="237"/>
        <v>12</v>
      </c>
      <c r="K458" s="74">
        <f t="shared" si="238"/>
        <v>10.6014</v>
      </c>
      <c r="L458" s="74">
        <f t="shared" si="239"/>
        <v>9.2027999999999999</v>
      </c>
      <c r="M458" s="114">
        <f t="shared" si="244"/>
        <v>7.8000000000000007</v>
      </c>
      <c r="N458" s="115">
        <f t="shared" si="249"/>
        <v>9.64</v>
      </c>
      <c r="O458" s="74">
        <f t="shared" si="250"/>
        <v>11.48</v>
      </c>
      <c r="P458" s="74">
        <f t="shared" si="251"/>
        <v>13.32</v>
      </c>
      <c r="Q458" s="74">
        <f t="shared" si="252"/>
        <v>15.16</v>
      </c>
      <c r="R458" s="114">
        <v>17</v>
      </c>
      <c r="S458" s="129"/>
      <c r="T458" s="117">
        <f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17.233538461538462</v>
      </c>
      <c r="U458" s="117"/>
      <c r="V458" s="129"/>
      <c r="W458" s="114"/>
    </row>
    <row r="459" spans="2:23">
      <c r="B459" s="114">
        <v>27</v>
      </c>
      <c r="C459" s="74">
        <f t="shared" si="231"/>
        <v>25</v>
      </c>
      <c r="D459" s="74">
        <f t="shared" si="232"/>
        <v>23</v>
      </c>
      <c r="E459" s="74">
        <f t="shared" si="233"/>
        <v>21</v>
      </c>
      <c r="F459" s="114">
        <v>19</v>
      </c>
      <c r="G459" s="74">
        <f t="shared" si="234"/>
        <v>17</v>
      </c>
      <c r="H459" s="74">
        <f t="shared" si="235"/>
        <v>15</v>
      </c>
      <c r="I459" s="74">
        <f t="shared" si="236"/>
        <v>13</v>
      </c>
      <c r="J459" s="114">
        <f t="shared" si="237"/>
        <v>11</v>
      </c>
      <c r="K459" s="74">
        <f t="shared" si="238"/>
        <v>9.4016000000000002</v>
      </c>
      <c r="L459" s="74">
        <f t="shared" si="239"/>
        <v>7.8032000000000004</v>
      </c>
      <c r="M459" s="114">
        <f t="shared" si="244"/>
        <v>6.2</v>
      </c>
      <c r="N459" s="115">
        <f t="shared" si="249"/>
        <v>8.36</v>
      </c>
      <c r="O459" s="74">
        <f t="shared" si="250"/>
        <v>10.52</v>
      </c>
      <c r="P459" s="74">
        <f t="shared" si="251"/>
        <v>12.68</v>
      </c>
      <c r="Q459" s="74">
        <f t="shared" si="252"/>
        <v>14.84</v>
      </c>
      <c r="R459" s="114">
        <v>17</v>
      </c>
      <c r="S459" s="129"/>
      <c r="T459" s="117">
        <f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17.125738461538461</v>
      </c>
      <c r="U459" s="117"/>
      <c r="V459" s="129"/>
      <c r="W459" s="114"/>
    </row>
    <row r="460" spans="2:23">
      <c r="B460" s="114">
        <v>28</v>
      </c>
      <c r="C460" s="74">
        <f t="shared" si="231"/>
        <v>25.75</v>
      </c>
      <c r="D460" s="74">
        <f t="shared" si="232"/>
        <v>23.5</v>
      </c>
      <c r="E460" s="74">
        <f t="shared" si="233"/>
        <v>21.25</v>
      </c>
      <c r="F460" s="114">
        <v>19</v>
      </c>
      <c r="G460" s="74">
        <f t="shared" si="234"/>
        <v>16.75</v>
      </c>
      <c r="H460" s="74">
        <f t="shared" si="235"/>
        <v>14.5</v>
      </c>
      <c r="I460" s="74">
        <f t="shared" si="236"/>
        <v>12.25</v>
      </c>
      <c r="J460" s="114">
        <f t="shared" si="237"/>
        <v>10</v>
      </c>
      <c r="K460" s="74">
        <f t="shared" si="238"/>
        <v>8.2018000000000004</v>
      </c>
      <c r="L460" s="74">
        <f t="shared" si="239"/>
        <v>6.4035999999999991</v>
      </c>
      <c r="M460" s="114">
        <f t="shared" si="244"/>
        <v>4.5999999999999996</v>
      </c>
      <c r="N460" s="115">
        <f t="shared" si="249"/>
        <v>7.08</v>
      </c>
      <c r="O460" s="74">
        <f t="shared" si="250"/>
        <v>9.56</v>
      </c>
      <c r="P460" s="74">
        <f t="shared" si="251"/>
        <v>12.04</v>
      </c>
      <c r="Q460" s="74">
        <f t="shared" si="252"/>
        <v>14.520000000000001</v>
      </c>
      <c r="R460" s="114">
        <v>17</v>
      </c>
      <c r="S460" s="129"/>
      <c r="T460" s="117">
        <f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16.806738461538462</v>
      </c>
      <c r="U460" s="117"/>
      <c r="V460" s="129"/>
      <c r="W460" s="114"/>
    </row>
    <row r="461" spans="2:23">
      <c r="B461" s="114">
        <v>29</v>
      </c>
      <c r="C461" s="74">
        <f t="shared" si="231"/>
        <v>26.5</v>
      </c>
      <c r="D461" s="74">
        <f t="shared" si="232"/>
        <v>24</v>
      </c>
      <c r="E461" s="74">
        <f t="shared" si="233"/>
        <v>21.5</v>
      </c>
      <c r="F461" s="114">
        <v>19</v>
      </c>
      <c r="G461" s="74">
        <f t="shared" si="234"/>
        <v>16.5</v>
      </c>
      <c r="H461" s="74">
        <f t="shared" si="235"/>
        <v>14</v>
      </c>
      <c r="I461" s="74">
        <f t="shared" si="236"/>
        <v>11.5</v>
      </c>
      <c r="J461" s="114">
        <f t="shared" si="237"/>
        <v>9</v>
      </c>
      <c r="K461" s="74">
        <f t="shared" si="238"/>
        <v>7.0019999999999998</v>
      </c>
      <c r="L461" s="74">
        <f t="shared" si="239"/>
        <v>5.0039999999999996</v>
      </c>
      <c r="M461" s="114">
        <f t="shared" si="244"/>
        <v>3</v>
      </c>
      <c r="N461" s="115">
        <f t="shared" si="249"/>
        <v>5.8000000000000007</v>
      </c>
      <c r="O461" s="74">
        <f t="shared" si="250"/>
        <v>8.6000000000000014</v>
      </c>
      <c r="P461" s="74">
        <f t="shared" si="251"/>
        <v>11.4</v>
      </c>
      <c r="Q461" s="74">
        <f t="shared" si="252"/>
        <v>14.200000000000001</v>
      </c>
      <c r="R461" s="114">
        <v>17</v>
      </c>
      <c r="S461" s="129"/>
      <c r="T461" s="126">
        <f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16.837538461538461</v>
      </c>
      <c r="U461" s="126"/>
      <c r="V461" s="129"/>
      <c r="W461" s="114"/>
    </row>
    <row r="462" spans="2:23">
      <c r="B462" s="114">
        <v>30</v>
      </c>
      <c r="C462" s="74">
        <f t="shared" si="231"/>
        <v>27.25</v>
      </c>
      <c r="D462" s="74">
        <f t="shared" si="232"/>
        <v>24.5</v>
      </c>
      <c r="E462" s="74">
        <f t="shared" si="233"/>
        <v>21.75</v>
      </c>
      <c r="F462" s="114">
        <v>19</v>
      </c>
      <c r="G462" s="74">
        <f t="shared" si="234"/>
        <v>16.25</v>
      </c>
      <c r="H462" s="74">
        <f t="shared" si="235"/>
        <v>13.5</v>
      </c>
      <c r="I462" s="74">
        <f t="shared" si="236"/>
        <v>10.75</v>
      </c>
      <c r="J462" s="114">
        <f t="shared" si="237"/>
        <v>8</v>
      </c>
      <c r="K462" s="74">
        <f t="shared" si="238"/>
        <v>5.8022</v>
      </c>
      <c r="L462" s="74">
        <f t="shared" si="239"/>
        <v>3.6044</v>
      </c>
      <c r="M462" s="114">
        <f t="shared" si="244"/>
        <v>1.4000000000000004</v>
      </c>
      <c r="N462" s="115">
        <f t="shared" si="249"/>
        <v>4.5200000000000005</v>
      </c>
      <c r="O462" s="74">
        <f t="shared" si="250"/>
        <v>7.6400000000000006</v>
      </c>
      <c r="P462" s="74">
        <f t="shared" si="251"/>
        <v>10.76</v>
      </c>
      <c r="Q462" s="74">
        <f t="shared" si="252"/>
        <v>13.88</v>
      </c>
      <c r="R462" s="114">
        <v>17</v>
      </c>
      <c r="S462" s="129"/>
      <c r="T462" s="131">
        <f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17.000338461538462</v>
      </c>
      <c r="U462" s="131"/>
      <c r="V462" s="129"/>
      <c r="W462" s="114"/>
    </row>
    <row r="463" spans="2:23">
      <c r="B463" s="114"/>
      <c r="C463" s="74"/>
      <c r="D463" s="74"/>
      <c r="E463" s="74"/>
      <c r="F463" s="114"/>
      <c r="G463" s="74"/>
      <c r="H463" s="74"/>
      <c r="I463" s="74"/>
      <c r="J463" s="114"/>
      <c r="K463" s="74"/>
      <c r="L463" s="74"/>
      <c r="M463" s="114"/>
      <c r="N463" s="115"/>
      <c r="O463" s="74"/>
      <c r="P463" s="74"/>
      <c r="Q463" s="74"/>
      <c r="R463" s="114"/>
      <c r="S463" s="129"/>
      <c r="T463" s="117"/>
      <c r="U463" s="117"/>
      <c r="V463" s="129"/>
      <c r="W463" s="114"/>
    </row>
    <row r="464" spans="2:23">
      <c r="B464" s="114">
        <v>21</v>
      </c>
      <c r="C464" s="74">
        <f t="shared" si="231"/>
        <v>20.75</v>
      </c>
      <c r="D464" s="74">
        <f t="shared" si="232"/>
        <v>20.5</v>
      </c>
      <c r="E464" s="74">
        <f t="shared" si="233"/>
        <v>20.25</v>
      </c>
      <c r="F464" s="114">
        <v>20</v>
      </c>
      <c r="G464" s="74">
        <f t="shared" si="234"/>
        <v>19.75</v>
      </c>
      <c r="H464" s="74">
        <f t="shared" si="235"/>
        <v>19.5</v>
      </c>
      <c r="I464" s="74">
        <f t="shared" si="236"/>
        <v>19.25</v>
      </c>
      <c r="J464" s="114">
        <f t="shared" si="237"/>
        <v>19</v>
      </c>
      <c r="K464" s="74">
        <f t="shared" si="238"/>
        <v>18.750250000000001</v>
      </c>
      <c r="L464" s="74">
        <f t="shared" si="239"/>
        <v>18.500499999999999</v>
      </c>
      <c r="M464" s="114">
        <f>SUM(J464,J464-G464)</f>
        <v>18.25</v>
      </c>
      <c r="N464" s="115">
        <f t="shared" ref="N464:N474" si="253">SUM(0.2*(R464-M464),M464)</f>
        <v>18</v>
      </c>
      <c r="O464" s="74">
        <f t="shared" ref="O464:O474" si="254">SUM(0.4*(R464-M464),M464)</f>
        <v>17.75</v>
      </c>
      <c r="P464" s="74">
        <f t="shared" ref="P464:P474" si="255">SUM(0.6*(R464-M464),M464)</f>
        <v>17.5</v>
      </c>
      <c r="Q464" s="74">
        <f t="shared" ref="Q464:Q474" si="256">SUM(0.8*(R464-M464),M464)</f>
        <v>17.25</v>
      </c>
      <c r="R464" s="114">
        <v>17</v>
      </c>
      <c r="S464" s="129"/>
      <c r="T464" s="117">
        <f>SUM((BN20+BO19+BO18+BP17+BP16+BQ15+BQ14+BR13+BR12+BS11+BS10+BT9+BT8+BU7+BU6+BV5+BV4)*0.132,17)</f>
        <v>17.25553846153846</v>
      </c>
      <c r="U464" s="117"/>
      <c r="V464" s="129"/>
      <c r="W464" s="114"/>
    </row>
    <row r="465" spans="2:23">
      <c r="B465" s="114">
        <v>22</v>
      </c>
      <c r="C465" s="74">
        <f t="shared" si="231"/>
        <v>21.5</v>
      </c>
      <c r="D465" s="74">
        <f t="shared" si="232"/>
        <v>21</v>
      </c>
      <c r="E465" s="74">
        <f t="shared" si="233"/>
        <v>20.5</v>
      </c>
      <c r="F465" s="114">
        <v>20</v>
      </c>
      <c r="G465" s="74">
        <f t="shared" si="234"/>
        <v>19.5</v>
      </c>
      <c r="H465" s="74">
        <f t="shared" si="235"/>
        <v>19</v>
      </c>
      <c r="I465" s="74">
        <f t="shared" si="236"/>
        <v>18.5</v>
      </c>
      <c r="J465" s="114">
        <f t="shared" si="237"/>
        <v>18</v>
      </c>
      <c r="K465" s="74">
        <f t="shared" si="238"/>
        <v>17.6004</v>
      </c>
      <c r="L465" s="74">
        <f t="shared" si="239"/>
        <v>17.200800000000001</v>
      </c>
      <c r="M465" s="114">
        <f t="shared" ref="M465:M472" si="257">SUM(J465,-F465,J465,0.4*ABS(J465-F465))</f>
        <v>16.8</v>
      </c>
      <c r="N465" s="115">
        <f t="shared" si="253"/>
        <v>16.84</v>
      </c>
      <c r="O465" s="74">
        <f t="shared" si="254"/>
        <v>16.88</v>
      </c>
      <c r="P465" s="74">
        <f t="shared" si="255"/>
        <v>16.920000000000002</v>
      </c>
      <c r="Q465" s="74">
        <f t="shared" si="256"/>
        <v>16.96</v>
      </c>
      <c r="R465" s="114">
        <v>17</v>
      </c>
      <c r="S465" s="129"/>
      <c r="T465" s="117">
        <f>SUM((BL20+BM19+BN18+BO17+BP16+BQ15+BR14+BS13+BT12+BU11+BV10+BV9+BV8+BV7+BV6+BV5+BV4)*0.132,17)</f>
        <v>17.25553846153846</v>
      </c>
      <c r="U465" s="117"/>
      <c r="V465" s="129"/>
      <c r="W465" s="114"/>
    </row>
    <row r="466" spans="2:23">
      <c r="B466" s="114">
        <v>23</v>
      </c>
      <c r="C466" s="74">
        <f t="shared" si="231"/>
        <v>22.25</v>
      </c>
      <c r="D466" s="74">
        <f t="shared" si="232"/>
        <v>21.5</v>
      </c>
      <c r="E466" s="74">
        <f t="shared" si="233"/>
        <v>20.75</v>
      </c>
      <c r="F466" s="114">
        <v>20</v>
      </c>
      <c r="G466" s="74">
        <f t="shared" si="234"/>
        <v>19.25</v>
      </c>
      <c r="H466" s="74">
        <f t="shared" si="235"/>
        <v>18.5</v>
      </c>
      <c r="I466" s="74">
        <f t="shared" si="236"/>
        <v>17.75</v>
      </c>
      <c r="J466" s="114">
        <f t="shared" si="237"/>
        <v>17</v>
      </c>
      <c r="K466" s="74">
        <f t="shared" si="238"/>
        <v>16.400600000000001</v>
      </c>
      <c r="L466" s="74">
        <f t="shared" si="239"/>
        <v>15.8012</v>
      </c>
      <c r="M466" s="114">
        <f t="shared" si="257"/>
        <v>15.2</v>
      </c>
      <c r="N466" s="115">
        <f t="shared" si="253"/>
        <v>15.559999999999999</v>
      </c>
      <c r="O466" s="74">
        <f t="shared" si="254"/>
        <v>15.92</v>
      </c>
      <c r="P466" s="74">
        <f t="shared" si="255"/>
        <v>16.28</v>
      </c>
      <c r="Q466" s="74">
        <f t="shared" si="256"/>
        <v>16.64</v>
      </c>
      <c r="R466" s="114">
        <v>17</v>
      </c>
      <c r="S466" s="129"/>
      <c r="T466" s="117">
        <f>SUM((BJ20+BM18+BP16+BS14+BV12+BY10+BZ9+BY8+BX7+BW6+BV5+BV4)*0.132,(BK19+BL19+BN17+BO17+BQ15+BR15+BT13+BU13+BW11+BX11)*0.132/2,17)</f>
        <v>17.321538461538463</v>
      </c>
      <c r="U466" s="117"/>
      <c r="V466" s="129"/>
      <c r="W466" s="114"/>
    </row>
    <row r="467" spans="2:23">
      <c r="B467" s="114">
        <v>24</v>
      </c>
      <c r="C467" s="74">
        <f t="shared" si="231"/>
        <v>23</v>
      </c>
      <c r="D467" s="74">
        <f t="shared" si="232"/>
        <v>22</v>
      </c>
      <c r="E467" s="74">
        <f t="shared" si="233"/>
        <v>21</v>
      </c>
      <c r="F467" s="114">
        <v>20</v>
      </c>
      <c r="G467" s="74">
        <f t="shared" si="234"/>
        <v>19</v>
      </c>
      <c r="H467" s="74">
        <f t="shared" si="235"/>
        <v>18</v>
      </c>
      <c r="I467" s="74">
        <f t="shared" si="236"/>
        <v>17</v>
      </c>
      <c r="J467" s="114">
        <f t="shared" si="237"/>
        <v>16</v>
      </c>
      <c r="K467" s="74">
        <f t="shared" si="238"/>
        <v>15.200799999999999</v>
      </c>
      <c r="L467" s="74">
        <f t="shared" si="239"/>
        <v>14.4016</v>
      </c>
      <c r="M467" s="114">
        <f t="shared" si="257"/>
        <v>13.6</v>
      </c>
      <c r="N467" s="115">
        <f t="shared" si="253"/>
        <v>14.28</v>
      </c>
      <c r="O467" s="74">
        <f t="shared" si="254"/>
        <v>14.96</v>
      </c>
      <c r="P467" s="74">
        <f t="shared" si="255"/>
        <v>15.64</v>
      </c>
      <c r="Q467" s="74">
        <f t="shared" si="256"/>
        <v>16.32</v>
      </c>
      <c r="R467" s="114">
        <v>17</v>
      </c>
      <c r="S467" s="129"/>
      <c r="T467" s="117">
        <f>SUM((BI19+BJ19+BK18+BL18+BM17+BN17+BO16+BP16+BQ15+BR15+BS14+BT14+BU13+BV13+BW12+BX12+BY11+BZ11+CA10+CB10+CB8+CA8+BZ7+BY7)*0.132/2,(BH20+CC9+BX6+BW5+BV4)*0.132,17)</f>
        <v>17.189538461538461</v>
      </c>
      <c r="U467" s="117"/>
      <c r="V467" s="129"/>
      <c r="W467" s="114"/>
    </row>
    <row r="468" spans="2:23">
      <c r="B468" s="114">
        <v>25</v>
      </c>
      <c r="C468" s="74">
        <f t="shared" si="231"/>
        <v>23.75</v>
      </c>
      <c r="D468" s="74">
        <f t="shared" si="232"/>
        <v>22.5</v>
      </c>
      <c r="E468" s="74">
        <f t="shared" si="233"/>
        <v>21.25</v>
      </c>
      <c r="F468" s="114">
        <v>20</v>
      </c>
      <c r="G468" s="74">
        <f t="shared" si="234"/>
        <v>18.75</v>
      </c>
      <c r="H468" s="74">
        <f t="shared" si="235"/>
        <v>17.5</v>
      </c>
      <c r="I468" s="74">
        <f t="shared" si="236"/>
        <v>16.25</v>
      </c>
      <c r="J468" s="114">
        <f t="shared" si="237"/>
        <v>15</v>
      </c>
      <c r="K468" s="74">
        <f t="shared" si="238"/>
        <v>14.000999999999999</v>
      </c>
      <c r="L468" s="74">
        <f t="shared" si="239"/>
        <v>13.001999999999999</v>
      </c>
      <c r="M468" s="114">
        <f t="shared" si="257"/>
        <v>12</v>
      </c>
      <c r="N468" s="115">
        <f t="shared" si="253"/>
        <v>13</v>
      </c>
      <c r="O468" s="74">
        <f t="shared" si="254"/>
        <v>14</v>
      </c>
      <c r="P468" s="74">
        <f t="shared" si="255"/>
        <v>15</v>
      </c>
      <c r="Q468" s="74">
        <f t="shared" si="256"/>
        <v>16</v>
      </c>
      <c r="R468" s="114">
        <v>17</v>
      </c>
      <c r="S468" s="129"/>
      <c r="T468" s="117">
        <f>SUM((BF20+BG20+BH19+BI19+BM17+BN17+BO16+BP16+BT14+BU14+BY12+BZ12+CA11+CB11+CC10+CD10+CE9+CF9)*0.132/2,(BJ18+BK18+BL18+BQ15+BR15+BS15+BV13+BW13+BX13)*0.132/3,(CE8+CD8+CC7+CB7+CA6+BZ6+BY5+BX5+BW4+BV4)*0.132/2,17)</f>
        <v>17.189538461538461</v>
      </c>
      <c r="U468" s="117"/>
      <c r="V468" s="129"/>
      <c r="W468" s="114"/>
    </row>
    <row r="469" spans="2:23">
      <c r="B469" s="114">
        <v>26</v>
      </c>
      <c r="C469" s="74">
        <f t="shared" si="231"/>
        <v>24.5</v>
      </c>
      <c r="D469" s="74">
        <f t="shared" si="232"/>
        <v>23</v>
      </c>
      <c r="E469" s="74">
        <f t="shared" si="233"/>
        <v>21.5</v>
      </c>
      <c r="F469" s="114">
        <v>20</v>
      </c>
      <c r="G469" s="74">
        <f t="shared" si="234"/>
        <v>18.5</v>
      </c>
      <c r="H469" s="74">
        <f t="shared" si="235"/>
        <v>17</v>
      </c>
      <c r="I469" s="74">
        <f t="shared" si="236"/>
        <v>15.5</v>
      </c>
      <c r="J469" s="114">
        <f t="shared" si="237"/>
        <v>14</v>
      </c>
      <c r="K469" s="74">
        <f t="shared" si="238"/>
        <v>12.8012</v>
      </c>
      <c r="L469" s="74">
        <f t="shared" si="239"/>
        <v>11.602399999999999</v>
      </c>
      <c r="M469" s="114">
        <f t="shared" si="257"/>
        <v>10.4</v>
      </c>
      <c r="N469" s="115">
        <f t="shared" si="253"/>
        <v>11.72</v>
      </c>
      <c r="O469" s="74">
        <f t="shared" si="254"/>
        <v>13.040000000000001</v>
      </c>
      <c r="P469" s="74">
        <f t="shared" si="255"/>
        <v>14.36</v>
      </c>
      <c r="Q469" s="74">
        <f t="shared" si="256"/>
        <v>15.68</v>
      </c>
      <c r="R469" s="114">
        <v>17</v>
      </c>
      <c r="S469" s="129"/>
      <c r="T469" s="117">
        <f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17.05753846153846</v>
      </c>
      <c r="U469" s="117"/>
      <c r="V469" s="129"/>
      <c r="W469" s="114"/>
    </row>
    <row r="470" spans="2:23">
      <c r="B470" s="114">
        <v>27</v>
      </c>
      <c r="C470" s="74">
        <f t="shared" si="231"/>
        <v>25.25</v>
      </c>
      <c r="D470" s="74">
        <f t="shared" si="232"/>
        <v>23.5</v>
      </c>
      <c r="E470" s="74">
        <f t="shared" si="233"/>
        <v>21.75</v>
      </c>
      <c r="F470" s="114">
        <v>20</v>
      </c>
      <c r="G470" s="74">
        <f t="shared" si="234"/>
        <v>18.25</v>
      </c>
      <c r="H470" s="74">
        <f t="shared" si="235"/>
        <v>16.5</v>
      </c>
      <c r="I470" s="74">
        <f t="shared" si="236"/>
        <v>14.75</v>
      </c>
      <c r="J470" s="114">
        <f t="shared" si="237"/>
        <v>13</v>
      </c>
      <c r="K470" s="74">
        <f t="shared" si="238"/>
        <v>11.6014</v>
      </c>
      <c r="L470" s="74">
        <f t="shared" si="239"/>
        <v>10.2028</v>
      </c>
      <c r="M470" s="114">
        <f t="shared" si="257"/>
        <v>8.8000000000000007</v>
      </c>
      <c r="N470" s="115">
        <f t="shared" si="253"/>
        <v>10.440000000000001</v>
      </c>
      <c r="O470" s="74">
        <f t="shared" si="254"/>
        <v>12.08</v>
      </c>
      <c r="P470" s="74">
        <f t="shared" si="255"/>
        <v>13.719999999999999</v>
      </c>
      <c r="Q470" s="74">
        <f t="shared" si="256"/>
        <v>15.36</v>
      </c>
      <c r="R470" s="114">
        <v>17</v>
      </c>
      <c r="S470" s="129"/>
      <c r="T470" s="117">
        <f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17.266538461538463</v>
      </c>
      <c r="U470" s="117"/>
      <c r="V470" s="129"/>
      <c r="W470" s="114"/>
    </row>
    <row r="471" spans="2:23">
      <c r="B471" s="114">
        <v>28</v>
      </c>
      <c r="C471" s="74">
        <f t="shared" si="231"/>
        <v>26</v>
      </c>
      <c r="D471" s="74">
        <f t="shared" si="232"/>
        <v>24</v>
      </c>
      <c r="E471" s="74">
        <f t="shared" si="233"/>
        <v>22</v>
      </c>
      <c r="F471" s="114">
        <v>20</v>
      </c>
      <c r="G471" s="74">
        <f t="shared" si="234"/>
        <v>18</v>
      </c>
      <c r="H471" s="74">
        <f t="shared" si="235"/>
        <v>16</v>
      </c>
      <c r="I471" s="74">
        <f t="shared" si="236"/>
        <v>14</v>
      </c>
      <c r="J471" s="114">
        <f t="shared" si="237"/>
        <v>12</v>
      </c>
      <c r="K471" s="74">
        <f t="shared" si="238"/>
        <v>10.4016</v>
      </c>
      <c r="L471" s="74">
        <f t="shared" si="239"/>
        <v>8.8032000000000004</v>
      </c>
      <c r="M471" s="114">
        <f t="shared" si="257"/>
        <v>7.2</v>
      </c>
      <c r="N471" s="115">
        <f t="shared" si="253"/>
        <v>9.16</v>
      </c>
      <c r="O471" s="74">
        <f t="shared" si="254"/>
        <v>11.120000000000001</v>
      </c>
      <c r="P471" s="74">
        <f t="shared" si="255"/>
        <v>13.08</v>
      </c>
      <c r="Q471" s="74">
        <f t="shared" si="256"/>
        <v>15.040000000000001</v>
      </c>
      <c r="R471" s="114">
        <v>17</v>
      </c>
      <c r="S471" s="129"/>
      <c r="T471" s="117">
        <f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16.980538461538462</v>
      </c>
      <c r="U471" s="117"/>
      <c r="V471" s="129"/>
      <c r="W471" s="114"/>
    </row>
    <row r="472" spans="2:23">
      <c r="B472" s="114">
        <v>29</v>
      </c>
      <c r="C472" s="74">
        <f t="shared" si="231"/>
        <v>26.75</v>
      </c>
      <c r="D472" s="74">
        <f t="shared" si="232"/>
        <v>24.5</v>
      </c>
      <c r="E472" s="74">
        <f t="shared" si="233"/>
        <v>22.25</v>
      </c>
      <c r="F472" s="114">
        <v>20</v>
      </c>
      <c r="G472" s="74">
        <f t="shared" si="234"/>
        <v>17.75</v>
      </c>
      <c r="H472" s="74">
        <f t="shared" si="235"/>
        <v>15.5</v>
      </c>
      <c r="I472" s="74">
        <f t="shared" si="236"/>
        <v>13.25</v>
      </c>
      <c r="J472" s="114">
        <f t="shared" si="237"/>
        <v>11</v>
      </c>
      <c r="K472" s="74">
        <f t="shared" si="238"/>
        <v>9.2018000000000004</v>
      </c>
      <c r="L472" s="74">
        <f t="shared" si="239"/>
        <v>7.4035999999999991</v>
      </c>
      <c r="M472" s="114">
        <f t="shared" si="257"/>
        <v>5.6</v>
      </c>
      <c r="N472" s="115">
        <f t="shared" si="253"/>
        <v>7.88</v>
      </c>
      <c r="O472" s="74">
        <f t="shared" si="254"/>
        <v>10.16</v>
      </c>
      <c r="P472" s="74">
        <f t="shared" si="255"/>
        <v>12.44</v>
      </c>
      <c r="Q472" s="74">
        <f t="shared" si="256"/>
        <v>14.72</v>
      </c>
      <c r="R472" s="114">
        <v>17</v>
      </c>
      <c r="S472" s="129"/>
      <c r="T472" s="117">
        <f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17.015738461538461</v>
      </c>
      <c r="U472" s="117"/>
      <c r="V472" s="129"/>
      <c r="W472" s="114"/>
    </row>
    <row r="473" spans="2:23">
      <c r="B473" s="114">
        <v>30</v>
      </c>
      <c r="C473" s="74">
        <f t="shared" si="231"/>
        <v>27.5</v>
      </c>
      <c r="D473" s="74">
        <f t="shared" si="232"/>
        <v>25</v>
      </c>
      <c r="E473" s="74">
        <f t="shared" si="233"/>
        <v>22.5</v>
      </c>
      <c r="F473" s="114">
        <v>20</v>
      </c>
      <c r="G473" s="74">
        <f t="shared" si="234"/>
        <v>17.5</v>
      </c>
      <c r="H473" s="74">
        <f t="shared" si="235"/>
        <v>15</v>
      </c>
      <c r="I473" s="74">
        <f t="shared" si="236"/>
        <v>12.5</v>
      </c>
      <c r="J473" s="114">
        <f t="shared" si="237"/>
        <v>10</v>
      </c>
      <c r="K473" s="74">
        <f t="shared" si="238"/>
        <v>8.0019999999999989</v>
      </c>
      <c r="L473" s="74">
        <f t="shared" si="239"/>
        <v>6.0039999999999996</v>
      </c>
      <c r="M473" s="114">
        <f>SUM(J473,-F473,J473,0.4*ABS(J473-F473))</f>
        <v>4</v>
      </c>
      <c r="N473" s="115">
        <f t="shared" si="253"/>
        <v>6.6</v>
      </c>
      <c r="O473" s="74">
        <f t="shared" si="254"/>
        <v>9.1999999999999993</v>
      </c>
      <c r="P473" s="74">
        <f t="shared" si="255"/>
        <v>11.8</v>
      </c>
      <c r="Q473" s="74">
        <f t="shared" si="256"/>
        <v>14.4</v>
      </c>
      <c r="R473" s="114">
        <v>17</v>
      </c>
      <c r="S473" s="129"/>
      <c r="T473" s="117">
        <f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16.817738461538461</v>
      </c>
      <c r="U473" s="117"/>
      <c r="V473" s="129"/>
      <c r="W473" s="114"/>
    </row>
    <row r="474" spans="2:23">
      <c r="B474" s="114">
        <v>31</v>
      </c>
      <c r="C474" s="74">
        <f t="shared" si="231"/>
        <v>28.25</v>
      </c>
      <c r="D474" s="74">
        <f t="shared" si="232"/>
        <v>25.5</v>
      </c>
      <c r="E474" s="74">
        <f t="shared" si="233"/>
        <v>22.75</v>
      </c>
      <c r="F474" s="114">
        <v>20</v>
      </c>
      <c r="G474" s="74">
        <f t="shared" si="234"/>
        <v>17.25</v>
      </c>
      <c r="H474" s="74">
        <f t="shared" si="235"/>
        <v>14.5</v>
      </c>
      <c r="I474" s="74">
        <f t="shared" si="236"/>
        <v>11.75</v>
      </c>
      <c r="J474" s="114">
        <f t="shared" si="237"/>
        <v>9</v>
      </c>
      <c r="K474" s="74">
        <f t="shared" si="238"/>
        <v>6.8022</v>
      </c>
      <c r="L474" s="74">
        <f t="shared" si="239"/>
        <v>4.6044</v>
      </c>
      <c r="M474" s="114">
        <f>SUM(J474,-F474,J474,0.4*ABS(J474-F474))</f>
        <v>2.4000000000000004</v>
      </c>
      <c r="N474" s="115">
        <f t="shared" si="253"/>
        <v>5.32</v>
      </c>
      <c r="O474" s="74">
        <f t="shared" si="254"/>
        <v>8.24</v>
      </c>
      <c r="P474" s="74">
        <f t="shared" si="255"/>
        <v>11.16</v>
      </c>
      <c r="Q474" s="74">
        <f t="shared" si="256"/>
        <v>14.08</v>
      </c>
      <c r="R474" s="114">
        <v>17</v>
      </c>
      <c r="S474" s="129"/>
      <c r="T474" s="131">
        <f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16.885938461538462</v>
      </c>
      <c r="U474" s="131"/>
      <c r="V474" s="129"/>
      <c r="W474" s="114"/>
    </row>
    <row r="475" spans="2:23">
      <c r="B475" s="114"/>
      <c r="C475" s="74"/>
      <c r="D475" s="74"/>
      <c r="E475" s="74"/>
      <c r="F475" s="114"/>
      <c r="G475" s="74"/>
      <c r="H475" s="74"/>
      <c r="I475" s="74"/>
      <c r="J475" s="114"/>
      <c r="K475" s="74"/>
      <c r="L475" s="74"/>
      <c r="M475" s="114"/>
      <c r="N475" s="115"/>
      <c r="O475" s="74"/>
      <c r="P475" s="74"/>
      <c r="Q475" s="74"/>
      <c r="R475" s="114"/>
      <c r="S475" s="129"/>
      <c r="T475" s="117"/>
      <c r="U475" s="117"/>
      <c r="V475" s="129"/>
      <c r="W475" s="114"/>
    </row>
    <row r="476" spans="2:23">
      <c r="B476" s="114">
        <v>23</v>
      </c>
      <c r="C476" s="74">
        <f t="shared" si="231"/>
        <v>22.5</v>
      </c>
      <c r="D476" s="74">
        <f t="shared" si="232"/>
        <v>22</v>
      </c>
      <c r="E476" s="74">
        <f t="shared" si="233"/>
        <v>21.5</v>
      </c>
      <c r="F476" s="114">
        <v>21</v>
      </c>
      <c r="G476" s="74">
        <f t="shared" si="234"/>
        <v>20.5</v>
      </c>
      <c r="H476" s="74">
        <f t="shared" si="235"/>
        <v>20</v>
      </c>
      <c r="I476" s="74">
        <f t="shared" si="236"/>
        <v>19.5</v>
      </c>
      <c r="J476" s="114">
        <f t="shared" si="237"/>
        <v>19</v>
      </c>
      <c r="K476" s="74">
        <f t="shared" si="238"/>
        <v>18.6004</v>
      </c>
      <c r="L476" s="74">
        <f t="shared" si="239"/>
        <v>18.200800000000001</v>
      </c>
      <c r="M476" s="114">
        <f t="shared" ref="M476:M499" si="258">SUM(J476,-F476,J476,0.4*ABS(J476-F476))</f>
        <v>17.8</v>
      </c>
      <c r="N476" s="115">
        <f t="shared" ref="N476:N486" si="259">SUM(0.2*(R476-M476),M476)</f>
        <v>17.64</v>
      </c>
      <c r="O476" s="74">
        <f t="shared" ref="O476:O486" si="260">SUM(0.4*(R476-M476),M476)</f>
        <v>17.48</v>
      </c>
      <c r="P476" s="74">
        <f t="shared" ref="P476:P486" si="261">SUM(0.6*(R476-M476),M476)</f>
        <v>17.32</v>
      </c>
      <c r="Q476" s="74">
        <f t="shared" ref="Q476:Q486" si="262">SUM(0.8*(R476-M476),M476)</f>
        <v>17.16</v>
      </c>
      <c r="R476" s="114">
        <v>17</v>
      </c>
      <c r="S476" s="129"/>
      <c r="T476" s="117">
        <f>SUM((BJ20+BK19+BL18+BM17+BN16+BO15+BP14+BQ13+BR12+BS11+BT10+BT9+BU8+BU7+BV6+BV5+BV4)*0.132,17)</f>
        <v>16.859538461538463</v>
      </c>
      <c r="U476" s="117"/>
      <c r="V476" s="129"/>
      <c r="W476" s="114"/>
    </row>
    <row r="477" spans="2:23">
      <c r="B477" s="114">
        <v>24</v>
      </c>
      <c r="C477" s="74">
        <f t="shared" si="231"/>
        <v>23.25</v>
      </c>
      <c r="D477" s="74">
        <f t="shared" si="232"/>
        <v>22.5</v>
      </c>
      <c r="E477" s="74">
        <f t="shared" si="233"/>
        <v>21.75</v>
      </c>
      <c r="F477" s="114">
        <v>21</v>
      </c>
      <c r="G477" s="74">
        <f t="shared" si="234"/>
        <v>20.25</v>
      </c>
      <c r="H477" s="74">
        <f t="shared" si="235"/>
        <v>19.5</v>
      </c>
      <c r="I477" s="74">
        <f t="shared" si="236"/>
        <v>18.75</v>
      </c>
      <c r="J477" s="114">
        <f t="shared" si="237"/>
        <v>18</v>
      </c>
      <c r="K477" s="74">
        <f t="shared" si="238"/>
        <v>17.400600000000001</v>
      </c>
      <c r="L477" s="74">
        <f t="shared" si="239"/>
        <v>16.801199999999998</v>
      </c>
      <c r="M477" s="114">
        <f t="shared" si="258"/>
        <v>16.2</v>
      </c>
      <c r="N477" s="115">
        <f t="shared" si="259"/>
        <v>16.36</v>
      </c>
      <c r="O477" s="74">
        <f t="shared" si="260"/>
        <v>16.52</v>
      </c>
      <c r="P477" s="74">
        <f t="shared" si="261"/>
        <v>16.68</v>
      </c>
      <c r="Q477" s="74">
        <f t="shared" si="262"/>
        <v>16.84</v>
      </c>
      <c r="R477" s="114">
        <v>17</v>
      </c>
      <c r="S477" s="129"/>
      <c r="T477" s="117">
        <f>SUM((BH20+BK18+BN16+BQ14+BT12+BW10+BX9+BW8+BW7+BV6+BV5+BV4)*0.132,(BI19+BJ19+BL17+BM17+BO15+BP15+BR13+BS13+BU11+BV11)*0.132/2,17)</f>
        <v>16.59553846153846</v>
      </c>
      <c r="U477" s="117"/>
      <c r="V477" s="129"/>
      <c r="W477" s="114"/>
    </row>
    <row r="478" spans="2:23">
      <c r="B478" s="114">
        <v>25</v>
      </c>
      <c r="C478" s="74">
        <f t="shared" si="231"/>
        <v>24</v>
      </c>
      <c r="D478" s="74">
        <f t="shared" si="232"/>
        <v>23</v>
      </c>
      <c r="E478" s="74">
        <f t="shared" si="233"/>
        <v>22</v>
      </c>
      <c r="F478" s="114">
        <v>21</v>
      </c>
      <c r="G478" s="74">
        <f t="shared" si="234"/>
        <v>20</v>
      </c>
      <c r="H478" s="74">
        <f t="shared" si="235"/>
        <v>19</v>
      </c>
      <c r="I478" s="74">
        <f t="shared" si="236"/>
        <v>18</v>
      </c>
      <c r="J478" s="114">
        <f t="shared" si="237"/>
        <v>17</v>
      </c>
      <c r="K478" s="74">
        <f t="shared" si="238"/>
        <v>16.200800000000001</v>
      </c>
      <c r="L478" s="74">
        <f t="shared" si="239"/>
        <v>15.4016</v>
      </c>
      <c r="M478" s="114">
        <f t="shared" si="258"/>
        <v>14.6</v>
      </c>
      <c r="N478" s="115">
        <f t="shared" si="259"/>
        <v>15.08</v>
      </c>
      <c r="O478" s="74">
        <f t="shared" si="260"/>
        <v>15.56</v>
      </c>
      <c r="P478" s="74">
        <f t="shared" si="261"/>
        <v>16.04</v>
      </c>
      <c r="Q478" s="74">
        <f t="shared" si="262"/>
        <v>16.52</v>
      </c>
      <c r="R478" s="114">
        <v>17</v>
      </c>
      <c r="S478" s="129"/>
      <c r="T478" s="117">
        <f>SUM((BG19+BH19+BI18+BJ18+BK17+BL17+BM16+BN16+BO15+BP15+BQ14+BR14+BS13+BT13+BU12+BV12+BW11+BX11+BY10+BZ10)*0.132/2,(BF20+CA9+BZ8+BY7+BX6+BW5+BV4)*0.132,17)</f>
        <v>16.925538461538462</v>
      </c>
      <c r="U478" s="117"/>
      <c r="V478" s="129"/>
      <c r="W478" s="114"/>
    </row>
    <row r="479" spans="2:23">
      <c r="B479" s="114">
        <v>26</v>
      </c>
      <c r="C479" s="74">
        <f t="shared" si="231"/>
        <v>24.75</v>
      </c>
      <c r="D479" s="74">
        <f t="shared" si="232"/>
        <v>23.5</v>
      </c>
      <c r="E479" s="74">
        <f t="shared" si="233"/>
        <v>22.25</v>
      </c>
      <c r="F479" s="114">
        <v>21</v>
      </c>
      <c r="G479" s="74">
        <f t="shared" si="234"/>
        <v>19.75</v>
      </c>
      <c r="H479" s="74">
        <f t="shared" si="235"/>
        <v>18.5</v>
      </c>
      <c r="I479" s="74">
        <f t="shared" si="236"/>
        <v>17.25</v>
      </c>
      <c r="J479" s="114">
        <f t="shared" si="237"/>
        <v>16</v>
      </c>
      <c r="K479" s="74">
        <f t="shared" si="238"/>
        <v>15.000999999999999</v>
      </c>
      <c r="L479" s="74">
        <f t="shared" si="239"/>
        <v>14.001999999999999</v>
      </c>
      <c r="M479" s="114">
        <f t="shared" si="258"/>
        <v>13</v>
      </c>
      <c r="N479" s="115">
        <f t="shared" si="259"/>
        <v>13.8</v>
      </c>
      <c r="O479" s="74">
        <f t="shared" si="260"/>
        <v>14.6</v>
      </c>
      <c r="P479" s="74">
        <f t="shared" si="261"/>
        <v>15.4</v>
      </c>
      <c r="Q479" s="74">
        <f t="shared" si="262"/>
        <v>16.2</v>
      </c>
      <c r="R479" s="114">
        <v>17</v>
      </c>
      <c r="S479" s="129"/>
      <c r="T479" s="117">
        <f>SUM((BD20+BE20+BF19+BG19+BK17+BL17+BM16+BN16+BR14+BS14+BW12+BX12+BY11+BZ11+CA10+CB10+CC9+CD9+CC8+CB8+CA7+BZ7+BY6+BX6)*0.132/2,(BH18+BI18+BJ18+BO15+BP15+BQ15+BT13+BU13+BV13)*0.132/3,(BW5+BV4)*0.132,17)</f>
        <v>17.123538461538462</v>
      </c>
      <c r="U479" s="117"/>
      <c r="V479" s="129"/>
      <c r="W479" s="114"/>
    </row>
    <row r="480" spans="2:23">
      <c r="B480" s="114">
        <v>27</v>
      </c>
      <c r="C480" s="74">
        <f t="shared" si="231"/>
        <v>25.5</v>
      </c>
      <c r="D480" s="74">
        <f t="shared" si="232"/>
        <v>24</v>
      </c>
      <c r="E480" s="74">
        <f t="shared" si="233"/>
        <v>22.5</v>
      </c>
      <c r="F480" s="114">
        <v>21</v>
      </c>
      <c r="G480" s="74">
        <f t="shared" si="234"/>
        <v>19.5</v>
      </c>
      <c r="H480" s="74">
        <f t="shared" si="235"/>
        <v>18</v>
      </c>
      <c r="I480" s="74">
        <f t="shared" si="236"/>
        <v>16.5</v>
      </c>
      <c r="J480" s="114">
        <f t="shared" si="237"/>
        <v>15</v>
      </c>
      <c r="K480" s="74">
        <f t="shared" si="238"/>
        <v>13.8012</v>
      </c>
      <c r="L480" s="74">
        <f t="shared" si="239"/>
        <v>12.602399999999999</v>
      </c>
      <c r="M480" s="114">
        <f t="shared" si="258"/>
        <v>11.4</v>
      </c>
      <c r="N480" s="115">
        <f t="shared" si="259"/>
        <v>12.52</v>
      </c>
      <c r="O480" s="74">
        <f t="shared" si="260"/>
        <v>13.64</v>
      </c>
      <c r="P480" s="74">
        <f t="shared" si="261"/>
        <v>14.76</v>
      </c>
      <c r="Q480" s="74">
        <f t="shared" si="262"/>
        <v>15.879999999999999</v>
      </c>
      <c r="R480" s="114">
        <v>17</v>
      </c>
      <c r="S480" s="129"/>
      <c r="T480" s="117">
        <f>SUM((BB20+BC20+BG18+BH18)*0.132/2,(BD19+BE19+BF19+BI17+BJ17+BK17+BL16+BM16+BN16+BO15+BP15+BQ15+BR14+BS14+BT14+BU13+BV13+BW13+BX12+BY12+BZ12+CA11+CB11+CC11)*0.132/3,(CD10+CE10+CF9+CG9+CC7+CB7+CA6+BZ6+BY5+BX5+BW4+BV4)*0.132/2,(CF8+CE8+CD8)*0.132/3,17)</f>
        <v>17.10153846153846</v>
      </c>
      <c r="U480" s="117"/>
      <c r="V480" s="129"/>
      <c r="W480" s="114"/>
    </row>
    <row r="481" spans="2:23">
      <c r="B481" s="114">
        <v>28</v>
      </c>
      <c r="C481" s="74">
        <f t="shared" si="231"/>
        <v>26.25</v>
      </c>
      <c r="D481" s="74">
        <f t="shared" si="232"/>
        <v>24.5</v>
      </c>
      <c r="E481" s="74">
        <f t="shared" si="233"/>
        <v>22.75</v>
      </c>
      <c r="F481" s="114">
        <v>21</v>
      </c>
      <c r="G481" s="74">
        <f t="shared" si="234"/>
        <v>19.25</v>
      </c>
      <c r="H481" s="74">
        <f t="shared" si="235"/>
        <v>17.5</v>
      </c>
      <c r="I481" s="74">
        <f t="shared" si="236"/>
        <v>15.75</v>
      </c>
      <c r="J481" s="114">
        <f t="shared" si="237"/>
        <v>14</v>
      </c>
      <c r="K481" s="74">
        <f t="shared" si="238"/>
        <v>12.6014</v>
      </c>
      <c r="L481" s="74">
        <f t="shared" si="239"/>
        <v>11.2028</v>
      </c>
      <c r="M481" s="114">
        <f t="shared" si="258"/>
        <v>9.8000000000000007</v>
      </c>
      <c r="N481" s="115">
        <f t="shared" si="259"/>
        <v>11.24</v>
      </c>
      <c r="O481" s="74">
        <f t="shared" si="260"/>
        <v>12.68</v>
      </c>
      <c r="P481" s="74">
        <f t="shared" si="261"/>
        <v>14.120000000000001</v>
      </c>
      <c r="Q481" s="74">
        <f t="shared" si="262"/>
        <v>15.56</v>
      </c>
      <c r="R481" s="114">
        <v>17</v>
      </c>
      <c r="S481" s="129"/>
      <c r="T481" s="117">
        <f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17.266538461538463</v>
      </c>
      <c r="U481" s="117"/>
      <c r="V481" s="129"/>
      <c r="W481" s="114"/>
    </row>
    <row r="482" spans="2:23">
      <c r="B482" s="114">
        <v>29</v>
      </c>
      <c r="C482" s="74">
        <f t="shared" si="231"/>
        <v>27</v>
      </c>
      <c r="D482" s="74">
        <f t="shared" si="232"/>
        <v>25</v>
      </c>
      <c r="E482" s="74">
        <f t="shared" si="233"/>
        <v>23</v>
      </c>
      <c r="F482" s="114">
        <v>21</v>
      </c>
      <c r="G482" s="74">
        <f t="shared" si="234"/>
        <v>19</v>
      </c>
      <c r="H482" s="74">
        <f t="shared" si="235"/>
        <v>17</v>
      </c>
      <c r="I482" s="74">
        <f t="shared" si="236"/>
        <v>15</v>
      </c>
      <c r="J482" s="114">
        <f t="shared" si="237"/>
        <v>13</v>
      </c>
      <c r="K482" s="74">
        <f t="shared" si="238"/>
        <v>11.4016</v>
      </c>
      <c r="L482" s="74">
        <f t="shared" si="239"/>
        <v>9.8032000000000004</v>
      </c>
      <c r="M482" s="114">
        <f t="shared" si="258"/>
        <v>8.1999999999999993</v>
      </c>
      <c r="N482" s="115">
        <f t="shared" si="259"/>
        <v>9.9599999999999991</v>
      </c>
      <c r="O482" s="74">
        <f t="shared" si="260"/>
        <v>11.719999999999999</v>
      </c>
      <c r="P482" s="74">
        <f t="shared" si="261"/>
        <v>13.48</v>
      </c>
      <c r="Q482" s="74">
        <f t="shared" si="262"/>
        <v>15.24</v>
      </c>
      <c r="R482" s="114">
        <v>17</v>
      </c>
      <c r="S482" s="129"/>
      <c r="T482" s="117">
        <f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17.222538461538463</v>
      </c>
      <c r="U482" s="117"/>
      <c r="V482" s="129"/>
      <c r="W482" s="114"/>
    </row>
    <row r="483" spans="2:23">
      <c r="B483" s="114">
        <v>30</v>
      </c>
      <c r="C483" s="74">
        <f t="shared" si="231"/>
        <v>27.75</v>
      </c>
      <c r="D483" s="74">
        <f t="shared" si="232"/>
        <v>25.5</v>
      </c>
      <c r="E483" s="74">
        <f t="shared" si="233"/>
        <v>23.25</v>
      </c>
      <c r="F483" s="114">
        <v>21</v>
      </c>
      <c r="G483" s="74">
        <f t="shared" si="234"/>
        <v>18.75</v>
      </c>
      <c r="H483" s="74">
        <f t="shared" si="235"/>
        <v>16.5</v>
      </c>
      <c r="I483" s="74">
        <f t="shared" si="236"/>
        <v>14.25</v>
      </c>
      <c r="J483" s="114">
        <f t="shared" si="237"/>
        <v>12</v>
      </c>
      <c r="K483" s="74">
        <f t="shared" si="238"/>
        <v>10.2018</v>
      </c>
      <c r="L483" s="74">
        <f t="shared" si="239"/>
        <v>8.4035999999999991</v>
      </c>
      <c r="M483" s="114">
        <f t="shared" si="258"/>
        <v>6.6</v>
      </c>
      <c r="N483" s="115">
        <f t="shared" si="259"/>
        <v>8.68</v>
      </c>
      <c r="O483" s="74">
        <f t="shared" si="260"/>
        <v>10.76</v>
      </c>
      <c r="P483" s="74">
        <f t="shared" si="261"/>
        <v>12.84</v>
      </c>
      <c r="Q483" s="74">
        <f t="shared" si="262"/>
        <v>14.92</v>
      </c>
      <c r="R483" s="114">
        <v>17</v>
      </c>
      <c r="S483" s="129"/>
      <c r="T483" s="117">
        <f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17.090538461538461</v>
      </c>
      <c r="U483" s="117"/>
      <c r="V483" s="129"/>
      <c r="W483" s="114"/>
    </row>
    <row r="484" spans="2:23">
      <c r="B484" s="114">
        <v>31</v>
      </c>
      <c r="C484" s="74">
        <f t="shared" si="231"/>
        <v>28.5</v>
      </c>
      <c r="D484" s="74">
        <f t="shared" si="232"/>
        <v>26</v>
      </c>
      <c r="E484" s="74">
        <f t="shared" si="233"/>
        <v>23.5</v>
      </c>
      <c r="F484" s="114">
        <v>21</v>
      </c>
      <c r="G484" s="74">
        <f t="shared" si="234"/>
        <v>18.5</v>
      </c>
      <c r="H484" s="74">
        <f t="shared" si="235"/>
        <v>16</v>
      </c>
      <c r="I484" s="74">
        <f t="shared" si="236"/>
        <v>13.5</v>
      </c>
      <c r="J484" s="114">
        <f t="shared" si="237"/>
        <v>11</v>
      </c>
      <c r="K484" s="74">
        <f t="shared" si="238"/>
        <v>9.0019999999999989</v>
      </c>
      <c r="L484" s="74">
        <f t="shared" si="239"/>
        <v>7.0039999999999996</v>
      </c>
      <c r="M484" s="114">
        <f t="shared" si="258"/>
        <v>5</v>
      </c>
      <c r="N484" s="115">
        <f t="shared" si="259"/>
        <v>7.4</v>
      </c>
      <c r="O484" s="74">
        <f t="shared" si="260"/>
        <v>9.8000000000000007</v>
      </c>
      <c r="P484" s="74">
        <f t="shared" si="261"/>
        <v>12.2</v>
      </c>
      <c r="Q484" s="74">
        <f t="shared" si="262"/>
        <v>14.600000000000001</v>
      </c>
      <c r="R484" s="114">
        <v>17</v>
      </c>
      <c r="S484" s="129"/>
      <c r="T484" s="117">
        <f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16.925538461538462</v>
      </c>
      <c r="U484" s="117"/>
      <c r="V484" s="129"/>
      <c r="W484" s="114"/>
    </row>
    <row r="485" spans="2:23">
      <c r="B485" s="114">
        <v>32</v>
      </c>
      <c r="C485" s="74">
        <f t="shared" si="231"/>
        <v>29.25</v>
      </c>
      <c r="D485" s="74">
        <f t="shared" si="232"/>
        <v>26.5</v>
      </c>
      <c r="E485" s="74">
        <f t="shared" si="233"/>
        <v>23.75</v>
      </c>
      <c r="F485" s="114">
        <v>21</v>
      </c>
      <c r="G485" s="74">
        <f t="shared" si="234"/>
        <v>18.25</v>
      </c>
      <c r="H485" s="74">
        <f t="shared" si="235"/>
        <v>15.5</v>
      </c>
      <c r="I485" s="74">
        <f t="shared" si="236"/>
        <v>12.75</v>
      </c>
      <c r="J485" s="114">
        <f t="shared" si="237"/>
        <v>10</v>
      </c>
      <c r="K485" s="74">
        <f t="shared" si="238"/>
        <v>7.8022</v>
      </c>
      <c r="L485" s="74">
        <f t="shared" si="239"/>
        <v>5.6044</v>
      </c>
      <c r="M485" s="114">
        <f t="shared" si="258"/>
        <v>3.4000000000000004</v>
      </c>
      <c r="N485" s="115">
        <f t="shared" si="259"/>
        <v>6.120000000000001</v>
      </c>
      <c r="O485" s="74">
        <f t="shared" si="260"/>
        <v>8.84</v>
      </c>
      <c r="P485" s="74">
        <f t="shared" si="261"/>
        <v>11.56</v>
      </c>
      <c r="Q485" s="74">
        <f t="shared" si="262"/>
        <v>14.280000000000001</v>
      </c>
      <c r="R485" s="114">
        <v>17</v>
      </c>
      <c r="S485" s="129"/>
      <c r="T485" s="126">
        <f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16.692338461538462</v>
      </c>
      <c r="U485" s="126"/>
      <c r="V485" s="129"/>
      <c r="W485" s="114"/>
    </row>
    <row r="486" spans="2:23">
      <c r="B486" s="114">
        <v>33</v>
      </c>
      <c r="C486" s="74">
        <f t="shared" si="231"/>
        <v>30</v>
      </c>
      <c r="D486" s="74">
        <f t="shared" si="232"/>
        <v>27</v>
      </c>
      <c r="E486" s="74">
        <f t="shared" si="233"/>
        <v>24</v>
      </c>
      <c r="F486" s="114">
        <v>21</v>
      </c>
      <c r="G486" s="74">
        <f t="shared" si="234"/>
        <v>18</v>
      </c>
      <c r="H486" s="74">
        <f t="shared" si="235"/>
        <v>15</v>
      </c>
      <c r="I486" s="74">
        <f t="shared" si="236"/>
        <v>12</v>
      </c>
      <c r="J486" s="114">
        <f t="shared" si="237"/>
        <v>9</v>
      </c>
      <c r="K486" s="74">
        <f t="shared" si="238"/>
        <v>6.6024000000000003</v>
      </c>
      <c r="L486" s="74">
        <f t="shared" si="239"/>
        <v>4.2048000000000005</v>
      </c>
      <c r="M486" s="114">
        <f t="shared" si="258"/>
        <v>1.8000000000000007</v>
      </c>
      <c r="N486" s="115">
        <f t="shared" si="259"/>
        <v>4.8400000000000007</v>
      </c>
      <c r="O486" s="74">
        <f t="shared" si="260"/>
        <v>7.8800000000000008</v>
      </c>
      <c r="P486" s="74">
        <f t="shared" si="261"/>
        <v>10.92</v>
      </c>
      <c r="Q486" s="74">
        <f t="shared" si="262"/>
        <v>13.96</v>
      </c>
      <c r="R486" s="114">
        <v>17</v>
      </c>
      <c r="S486" s="129"/>
      <c r="T486" s="131">
        <f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16.762738461538461</v>
      </c>
      <c r="U486" s="131"/>
      <c r="V486" s="129"/>
      <c r="W486" s="114"/>
    </row>
    <row r="487" spans="2:23">
      <c r="B487" s="114"/>
      <c r="C487" s="74"/>
      <c r="D487" s="74"/>
      <c r="E487" s="74"/>
      <c r="F487" s="114"/>
      <c r="G487" s="74"/>
      <c r="H487" s="74"/>
      <c r="I487" s="74"/>
      <c r="J487" s="114"/>
      <c r="K487" s="74"/>
      <c r="L487" s="74"/>
      <c r="M487" s="114"/>
      <c r="N487" s="115"/>
      <c r="O487" s="74"/>
      <c r="P487" s="74"/>
      <c r="Q487" s="74"/>
      <c r="R487" s="114"/>
      <c r="S487" s="129"/>
      <c r="T487" s="117"/>
      <c r="U487" s="117"/>
      <c r="V487" s="129"/>
      <c r="W487" s="114"/>
    </row>
    <row r="488" spans="2:23">
      <c r="B488" s="114">
        <v>24</v>
      </c>
      <c r="C488" s="74">
        <f t="shared" si="231"/>
        <v>23.5</v>
      </c>
      <c r="D488" s="74">
        <f t="shared" si="232"/>
        <v>23</v>
      </c>
      <c r="E488" s="74">
        <f t="shared" si="233"/>
        <v>22.5</v>
      </c>
      <c r="F488" s="114">
        <v>22</v>
      </c>
      <c r="G488" s="74">
        <f t="shared" si="234"/>
        <v>21.5</v>
      </c>
      <c r="H488" s="74">
        <f t="shared" si="235"/>
        <v>21</v>
      </c>
      <c r="I488" s="74">
        <f t="shared" si="236"/>
        <v>20.5</v>
      </c>
      <c r="J488" s="114">
        <f t="shared" si="237"/>
        <v>20</v>
      </c>
      <c r="K488" s="74">
        <f t="shared" si="238"/>
        <v>19.6004</v>
      </c>
      <c r="L488" s="74">
        <f t="shared" si="239"/>
        <v>19.200800000000001</v>
      </c>
      <c r="M488" s="114">
        <f t="shared" si="258"/>
        <v>18.8</v>
      </c>
      <c r="N488" s="115">
        <f t="shared" ref="N488:N499" si="263">SUM(0.2*(R488-M488),M488)</f>
        <v>18.440000000000001</v>
      </c>
      <c r="O488" s="74">
        <f t="shared" ref="O488:O499" si="264">SUM(0.4*(R488-M488),M488)</f>
        <v>18.080000000000002</v>
      </c>
      <c r="P488" s="74">
        <f t="shared" ref="P488:P499" si="265">SUM(0.6*(R488-M488),M488)</f>
        <v>17.72</v>
      </c>
      <c r="Q488" s="74">
        <f t="shared" ref="Q488:Q499" si="266">SUM(0.8*(R488-M488),M488)</f>
        <v>17.36</v>
      </c>
      <c r="R488" s="114">
        <v>17</v>
      </c>
      <c r="S488" s="129"/>
      <c r="T488" s="117">
        <f>SUM((BH20+BI19+BJ18+BK17+BL16+BM15+BN14+BO13+BP12+BQ11+BR10+BS9+BT8+BT7+BU6+BU5+BV4)*0.132,17)</f>
        <v>16.859538461538463</v>
      </c>
      <c r="U488" s="117"/>
      <c r="V488" s="129"/>
      <c r="W488" s="114"/>
    </row>
    <row r="489" spans="2:23">
      <c r="B489" s="114">
        <v>25</v>
      </c>
      <c r="C489" s="74">
        <f t="shared" si="231"/>
        <v>24.25</v>
      </c>
      <c r="D489" s="74">
        <f t="shared" si="232"/>
        <v>23.5</v>
      </c>
      <c r="E489" s="74">
        <f t="shared" si="233"/>
        <v>22.75</v>
      </c>
      <c r="F489" s="114">
        <v>22</v>
      </c>
      <c r="G489" s="74">
        <f t="shared" si="234"/>
        <v>21.25</v>
      </c>
      <c r="H489" s="74">
        <f t="shared" si="235"/>
        <v>20.5</v>
      </c>
      <c r="I489" s="74">
        <f t="shared" si="236"/>
        <v>19.75</v>
      </c>
      <c r="J489" s="114">
        <f t="shared" si="237"/>
        <v>19</v>
      </c>
      <c r="K489" s="74">
        <f t="shared" si="238"/>
        <v>18.400600000000001</v>
      </c>
      <c r="L489" s="74">
        <f t="shared" si="239"/>
        <v>17.801199999999998</v>
      </c>
      <c r="M489" s="114">
        <f t="shared" si="258"/>
        <v>17.2</v>
      </c>
      <c r="N489" s="115">
        <f t="shared" si="263"/>
        <v>17.16</v>
      </c>
      <c r="O489" s="74">
        <f t="shared" si="264"/>
        <v>17.12</v>
      </c>
      <c r="P489" s="74">
        <f t="shared" si="265"/>
        <v>17.079999999999998</v>
      </c>
      <c r="Q489" s="74">
        <f t="shared" si="266"/>
        <v>17.04</v>
      </c>
      <c r="R489" s="114">
        <v>17</v>
      </c>
      <c r="S489" s="129"/>
      <c r="T489" s="117">
        <f>SUM((BF20+BI18+BL16+BO14+BR12+BU10+BV9+BV8+BV7+BV6+BV5+BV4)*0.132,(BG19+BH19+BJ17+BK17+BM15+BN15+BP13+BQ13+BS11+BT11)*0.132/2,17)</f>
        <v>16.991538461538461</v>
      </c>
      <c r="U489" s="117"/>
      <c r="V489" s="129"/>
      <c r="W489" s="114"/>
    </row>
    <row r="490" spans="2:23">
      <c r="B490" s="114">
        <v>26</v>
      </c>
      <c r="C490" s="74">
        <f t="shared" si="231"/>
        <v>25</v>
      </c>
      <c r="D490" s="74">
        <f t="shared" si="232"/>
        <v>24</v>
      </c>
      <c r="E490" s="74">
        <f t="shared" si="233"/>
        <v>23</v>
      </c>
      <c r="F490" s="114">
        <v>22</v>
      </c>
      <c r="G490" s="74">
        <f t="shared" si="234"/>
        <v>21</v>
      </c>
      <c r="H490" s="74">
        <f t="shared" si="235"/>
        <v>20</v>
      </c>
      <c r="I490" s="74">
        <f t="shared" si="236"/>
        <v>19</v>
      </c>
      <c r="J490" s="114">
        <f t="shared" si="237"/>
        <v>18</v>
      </c>
      <c r="K490" s="74">
        <f t="shared" si="238"/>
        <v>17.200800000000001</v>
      </c>
      <c r="L490" s="74">
        <f t="shared" si="239"/>
        <v>16.401599999999998</v>
      </c>
      <c r="M490" s="114">
        <f t="shared" si="258"/>
        <v>15.6</v>
      </c>
      <c r="N490" s="115">
        <f t="shared" si="263"/>
        <v>15.879999999999999</v>
      </c>
      <c r="O490" s="74">
        <f t="shared" si="264"/>
        <v>16.16</v>
      </c>
      <c r="P490" s="74">
        <f t="shared" si="265"/>
        <v>16.440000000000001</v>
      </c>
      <c r="Q490" s="74">
        <f t="shared" si="266"/>
        <v>16.72</v>
      </c>
      <c r="R490" s="114">
        <v>17</v>
      </c>
      <c r="S490" s="129"/>
      <c r="T490" s="117">
        <f>SUM((BE19+BF19+BG18+BH18+BI17+BJ17+BK16+BL16+BM15+BN15+BO14+BP14+BQ13+BR13+BS12+BT12+BU11+BV11+BW10+BX10)*0.132/2,(BD20+BY9+BX8+BX7+BW6+BW5+BV4)*0.132,17)</f>
        <v>16.793538461538461</v>
      </c>
      <c r="U490" s="117"/>
      <c r="V490" s="129"/>
      <c r="W490" s="114"/>
    </row>
    <row r="491" spans="2:23">
      <c r="B491" s="114">
        <v>27</v>
      </c>
      <c r="C491" s="74">
        <f t="shared" si="231"/>
        <v>25.75</v>
      </c>
      <c r="D491" s="74">
        <f t="shared" si="232"/>
        <v>24.5</v>
      </c>
      <c r="E491" s="74">
        <f t="shared" si="233"/>
        <v>23.25</v>
      </c>
      <c r="F491" s="114">
        <v>22</v>
      </c>
      <c r="G491" s="74">
        <f t="shared" si="234"/>
        <v>20.75</v>
      </c>
      <c r="H491" s="74">
        <f t="shared" si="235"/>
        <v>19.5</v>
      </c>
      <c r="I491" s="74">
        <f t="shared" si="236"/>
        <v>18.25</v>
      </c>
      <c r="J491" s="114">
        <f t="shared" si="237"/>
        <v>17</v>
      </c>
      <c r="K491" s="74">
        <f t="shared" si="238"/>
        <v>16.001000000000001</v>
      </c>
      <c r="L491" s="74">
        <f t="shared" si="239"/>
        <v>15.001999999999999</v>
      </c>
      <c r="M491" s="114">
        <f t="shared" si="258"/>
        <v>14</v>
      </c>
      <c r="N491" s="115">
        <f t="shared" si="263"/>
        <v>14.6</v>
      </c>
      <c r="O491" s="74">
        <f t="shared" si="264"/>
        <v>15.2</v>
      </c>
      <c r="P491" s="74">
        <f t="shared" si="265"/>
        <v>15.8</v>
      </c>
      <c r="Q491" s="74">
        <f t="shared" si="266"/>
        <v>16.399999999999999</v>
      </c>
      <c r="R491" s="114">
        <v>17</v>
      </c>
      <c r="S491" s="129"/>
      <c r="T491" s="117">
        <f>SUM((BB20+BC20+BD19+BE19+BI17+BJ17+BK16+BL16+BP14+BQ14+BU12+BV12+BW11+BX11+BY10+BZ10+CA9+CB9+CA8+BZ8)*0.132/2,(BF18+BG18+BH18+BM15+BN15+BO15+BR13+BS13+BT13)*0.132/3,(BY7+BX6+BW5+BV4)*0.132,17)</f>
        <v>16.74953846153846</v>
      </c>
      <c r="U491" s="117"/>
      <c r="V491" s="129"/>
      <c r="W491" s="114"/>
    </row>
    <row r="492" spans="2:23">
      <c r="B492" s="114">
        <v>28</v>
      </c>
      <c r="C492" s="74">
        <f t="shared" si="231"/>
        <v>26.5</v>
      </c>
      <c r="D492" s="74">
        <f t="shared" si="232"/>
        <v>25</v>
      </c>
      <c r="E492" s="74">
        <f t="shared" si="233"/>
        <v>23.5</v>
      </c>
      <c r="F492" s="114">
        <v>22</v>
      </c>
      <c r="G492" s="74">
        <f t="shared" si="234"/>
        <v>20.5</v>
      </c>
      <c r="H492" s="74">
        <f t="shared" si="235"/>
        <v>19</v>
      </c>
      <c r="I492" s="74">
        <f t="shared" si="236"/>
        <v>17.5</v>
      </c>
      <c r="J492" s="114">
        <f t="shared" si="237"/>
        <v>16</v>
      </c>
      <c r="K492" s="74">
        <f t="shared" si="238"/>
        <v>14.8012</v>
      </c>
      <c r="L492" s="74">
        <f t="shared" si="239"/>
        <v>13.602399999999999</v>
      </c>
      <c r="M492" s="114">
        <f t="shared" si="258"/>
        <v>12.4</v>
      </c>
      <c r="N492" s="115">
        <f t="shared" si="263"/>
        <v>13.32</v>
      </c>
      <c r="O492" s="74">
        <f t="shared" si="264"/>
        <v>14.24</v>
      </c>
      <c r="P492" s="74">
        <f t="shared" si="265"/>
        <v>15.16</v>
      </c>
      <c r="Q492" s="74">
        <f t="shared" si="266"/>
        <v>16.079999999999998</v>
      </c>
      <c r="R492" s="114">
        <v>17</v>
      </c>
      <c r="S492" s="129"/>
      <c r="T492" s="117">
        <f>SUM((AZ20+BA20+BE18+BF18)*0.132/2,(BB19+BC19+BD19+BG17+BH17+BI17+BJ16+BK16+BL16+BM15+BN15+BO15+BP14+BQ14+BR14+BS13+BT13+BU13+BV12+BW12+BX12+BY11+BZ11+CA11)*0.132/3,(CB10+CC10+CD9+CE9+CD8+CC8+CB7+CA7+BZ6+BY6+BX5+BW5)*0.132/2,BV4*0.132,17)</f>
        <v>17.25553846153846</v>
      </c>
      <c r="U492" s="117"/>
      <c r="V492" s="129"/>
      <c r="W492" s="114"/>
    </row>
    <row r="493" spans="2:23">
      <c r="B493" s="114">
        <v>29</v>
      </c>
      <c r="C493" s="74">
        <f t="shared" si="231"/>
        <v>27.25</v>
      </c>
      <c r="D493" s="74">
        <f t="shared" si="232"/>
        <v>25.5</v>
      </c>
      <c r="E493" s="74">
        <f t="shared" si="233"/>
        <v>23.75</v>
      </c>
      <c r="F493" s="114">
        <v>22</v>
      </c>
      <c r="G493" s="74">
        <f t="shared" si="234"/>
        <v>20.25</v>
      </c>
      <c r="H493" s="74">
        <f t="shared" si="235"/>
        <v>18.5</v>
      </c>
      <c r="I493" s="74">
        <f t="shared" si="236"/>
        <v>16.75</v>
      </c>
      <c r="J493" s="114">
        <f t="shared" si="237"/>
        <v>15</v>
      </c>
      <c r="K493" s="74">
        <f t="shared" si="238"/>
        <v>13.6014</v>
      </c>
      <c r="L493" s="74">
        <f t="shared" si="239"/>
        <v>12.2028</v>
      </c>
      <c r="M493" s="114">
        <f t="shared" si="258"/>
        <v>10.8</v>
      </c>
      <c r="N493" s="115">
        <f t="shared" si="263"/>
        <v>12.040000000000001</v>
      </c>
      <c r="O493" s="74">
        <f t="shared" si="264"/>
        <v>13.280000000000001</v>
      </c>
      <c r="P493" s="74">
        <f t="shared" si="265"/>
        <v>14.52</v>
      </c>
      <c r="Q493" s="74">
        <f t="shared" si="266"/>
        <v>15.760000000000002</v>
      </c>
      <c r="R493" s="114">
        <v>17</v>
      </c>
      <c r="S493" s="129"/>
      <c r="T493" s="117">
        <f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17.057538461538464</v>
      </c>
      <c r="U493" s="117"/>
      <c r="V493" s="129"/>
      <c r="W493" s="114"/>
    </row>
    <row r="494" spans="2:23">
      <c r="B494" s="114">
        <v>30</v>
      </c>
      <c r="C494" s="74">
        <f t="shared" si="231"/>
        <v>28</v>
      </c>
      <c r="D494" s="74">
        <f t="shared" si="232"/>
        <v>26</v>
      </c>
      <c r="E494" s="74">
        <f t="shared" si="233"/>
        <v>24</v>
      </c>
      <c r="F494" s="114">
        <v>22</v>
      </c>
      <c r="G494" s="74">
        <f t="shared" si="234"/>
        <v>20</v>
      </c>
      <c r="H494" s="74">
        <f t="shared" si="235"/>
        <v>18</v>
      </c>
      <c r="I494" s="74">
        <f t="shared" si="236"/>
        <v>16</v>
      </c>
      <c r="J494" s="114">
        <f t="shared" si="237"/>
        <v>14</v>
      </c>
      <c r="K494" s="74">
        <f t="shared" si="238"/>
        <v>12.4016</v>
      </c>
      <c r="L494" s="74">
        <f t="shared" si="239"/>
        <v>10.8032</v>
      </c>
      <c r="M494" s="114">
        <f t="shared" si="258"/>
        <v>9.1999999999999993</v>
      </c>
      <c r="N494" s="115">
        <f t="shared" si="263"/>
        <v>10.76</v>
      </c>
      <c r="O494" s="74">
        <f t="shared" si="264"/>
        <v>12.32</v>
      </c>
      <c r="P494" s="74">
        <f t="shared" si="265"/>
        <v>13.879999999999999</v>
      </c>
      <c r="Q494" s="74">
        <f t="shared" si="266"/>
        <v>15.440000000000001</v>
      </c>
      <c r="R494" s="114">
        <v>17</v>
      </c>
      <c r="S494" s="129"/>
      <c r="T494" s="117">
        <f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17.376538461538463</v>
      </c>
      <c r="U494" s="117"/>
      <c r="V494" s="129"/>
      <c r="W494" s="114"/>
    </row>
    <row r="495" spans="2:23">
      <c r="B495" s="114">
        <v>31</v>
      </c>
      <c r="C495" s="74">
        <f t="shared" si="231"/>
        <v>28.75</v>
      </c>
      <c r="D495" s="74">
        <f t="shared" si="232"/>
        <v>26.5</v>
      </c>
      <c r="E495" s="74">
        <f t="shared" si="233"/>
        <v>24.25</v>
      </c>
      <c r="F495" s="114">
        <v>22</v>
      </c>
      <c r="G495" s="74">
        <f t="shared" si="234"/>
        <v>19.75</v>
      </c>
      <c r="H495" s="74">
        <f t="shared" si="235"/>
        <v>17.5</v>
      </c>
      <c r="I495" s="74">
        <f t="shared" si="236"/>
        <v>15.25</v>
      </c>
      <c r="J495" s="114">
        <f t="shared" si="237"/>
        <v>13</v>
      </c>
      <c r="K495" s="74">
        <f t="shared" si="238"/>
        <v>11.2018</v>
      </c>
      <c r="L495" s="74">
        <f t="shared" si="239"/>
        <v>9.4035999999999991</v>
      </c>
      <c r="M495" s="114">
        <f t="shared" si="258"/>
        <v>7.6</v>
      </c>
      <c r="N495" s="115">
        <f t="shared" si="263"/>
        <v>9.48</v>
      </c>
      <c r="O495" s="74">
        <f t="shared" si="264"/>
        <v>11.36</v>
      </c>
      <c r="P495" s="74">
        <f t="shared" si="265"/>
        <v>13.239999999999998</v>
      </c>
      <c r="Q495" s="74">
        <f t="shared" si="266"/>
        <v>15.120000000000001</v>
      </c>
      <c r="R495" s="114">
        <v>17</v>
      </c>
      <c r="S495" s="129"/>
      <c r="T495" s="117">
        <f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17.024538461538462</v>
      </c>
      <c r="U495" s="117"/>
      <c r="V495" s="129"/>
      <c r="W495" s="114"/>
    </row>
    <row r="496" spans="2:23">
      <c r="B496" s="114">
        <v>32</v>
      </c>
      <c r="C496" s="74">
        <f t="shared" si="231"/>
        <v>29.5</v>
      </c>
      <c r="D496" s="74">
        <f t="shared" si="232"/>
        <v>27</v>
      </c>
      <c r="E496" s="74">
        <f t="shared" si="233"/>
        <v>24.5</v>
      </c>
      <c r="F496" s="114">
        <v>22</v>
      </c>
      <c r="G496" s="74">
        <f t="shared" si="234"/>
        <v>19.5</v>
      </c>
      <c r="H496" s="74">
        <f t="shared" si="235"/>
        <v>17</v>
      </c>
      <c r="I496" s="74">
        <f t="shared" si="236"/>
        <v>14.5</v>
      </c>
      <c r="J496" s="114">
        <f t="shared" si="237"/>
        <v>12</v>
      </c>
      <c r="K496" s="74">
        <f t="shared" si="238"/>
        <v>10.001999999999999</v>
      </c>
      <c r="L496" s="74">
        <f t="shared" si="239"/>
        <v>8.0039999999999996</v>
      </c>
      <c r="M496" s="114">
        <f t="shared" si="258"/>
        <v>6</v>
      </c>
      <c r="N496" s="115">
        <f t="shared" si="263"/>
        <v>8.1999999999999993</v>
      </c>
      <c r="O496" s="74">
        <f t="shared" si="264"/>
        <v>10.4</v>
      </c>
      <c r="P496" s="74">
        <f t="shared" si="265"/>
        <v>12.6</v>
      </c>
      <c r="Q496" s="74">
        <f t="shared" si="266"/>
        <v>14.8</v>
      </c>
      <c r="R496" s="114">
        <v>17</v>
      </c>
      <c r="S496" s="129"/>
      <c r="T496" s="117">
        <f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16.872738461538461</v>
      </c>
      <c r="U496" s="117"/>
      <c r="V496" s="129"/>
      <c r="W496" s="114"/>
    </row>
    <row r="497" spans="2:23">
      <c r="B497" s="114">
        <v>33</v>
      </c>
      <c r="C497" s="74">
        <f t="shared" si="231"/>
        <v>30.25</v>
      </c>
      <c r="D497" s="74">
        <f t="shared" si="232"/>
        <v>27.5</v>
      </c>
      <c r="E497" s="74">
        <f t="shared" si="233"/>
        <v>24.75</v>
      </c>
      <c r="F497" s="114">
        <v>22</v>
      </c>
      <c r="G497" s="74">
        <f t="shared" si="234"/>
        <v>19.25</v>
      </c>
      <c r="H497" s="74">
        <f t="shared" si="235"/>
        <v>16.5</v>
      </c>
      <c r="I497" s="74">
        <f t="shared" si="236"/>
        <v>13.75</v>
      </c>
      <c r="J497" s="114">
        <f t="shared" si="237"/>
        <v>11</v>
      </c>
      <c r="K497" s="74">
        <f t="shared" si="238"/>
        <v>8.8021999999999991</v>
      </c>
      <c r="L497" s="74">
        <f t="shared" si="239"/>
        <v>6.6044</v>
      </c>
      <c r="M497" s="114">
        <f t="shared" si="258"/>
        <v>4.4000000000000004</v>
      </c>
      <c r="N497" s="115">
        <f t="shared" si="263"/>
        <v>6.92</v>
      </c>
      <c r="O497" s="74">
        <f t="shared" si="264"/>
        <v>9.4400000000000013</v>
      </c>
      <c r="P497" s="74">
        <f t="shared" si="265"/>
        <v>11.96</v>
      </c>
      <c r="Q497" s="74">
        <f t="shared" si="266"/>
        <v>14.48</v>
      </c>
      <c r="R497" s="114">
        <v>17</v>
      </c>
      <c r="S497" s="129"/>
      <c r="T497" s="117">
        <f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16.690138461538464</v>
      </c>
      <c r="U497" s="117"/>
      <c r="V497" s="129"/>
      <c r="W497" s="114"/>
    </row>
    <row r="498" spans="2:23">
      <c r="B498" s="114">
        <v>34</v>
      </c>
      <c r="C498" s="74">
        <f t="shared" si="231"/>
        <v>31</v>
      </c>
      <c r="D498" s="74">
        <f t="shared" si="232"/>
        <v>28</v>
      </c>
      <c r="E498" s="74">
        <f t="shared" si="233"/>
        <v>25</v>
      </c>
      <c r="F498" s="114">
        <v>22</v>
      </c>
      <c r="G498" s="74">
        <f t="shared" si="234"/>
        <v>19</v>
      </c>
      <c r="H498" s="74">
        <f t="shared" si="235"/>
        <v>16</v>
      </c>
      <c r="I498" s="74">
        <f t="shared" si="236"/>
        <v>13</v>
      </c>
      <c r="J498" s="114">
        <f t="shared" si="237"/>
        <v>10</v>
      </c>
      <c r="K498" s="74">
        <f t="shared" si="238"/>
        <v>7.6024000000000003</v>
      </c>
      <c r="L498" s="74">
        <f t="shared" si="239"/>
        <v>5.2048000000000005</v>
      </c>
      <c r="M498" s="114">
        <f t="shared" si="258"/>
        <v>2.8000000000000007</v>
      </c>
      <c r="N498" s="115">
        <f t="shared" si="263"/>
        <v>5.6400000000000006</v>
      </c>
      <c r="O498" s="74">
        <f t="shared" si="264"/>
        <v>8.48</v>
      </c>
      <c r="P498" s="74">
        <f t="shared" si="265"/>
        <v>11.32</v>
      </c>
      <c r="Q498" s="74">
        <f t="shared" si="266"/>
        <v>14.16</v>
      </c>
      <c r="R498" s="114">
        <v>17</v>
      </c>
      <c r="S498" s="129"/>
      <c r="T498" s="131">
        <f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16.518538461538462</v>
      </c>
      <c r="U498" s="131"/>
      <c r="V498" s="129"/>
      <c r="W498" s="114"/>
    </row>
    <row r="499" spans="2:23">
      <c r="B499" s="114">
        <v>35</v>
      </c>
      <c r="C499" s="74">
        <f t="shared" si="231"/>
        <v>31.75</v>
      </c>
      <c r="D499" s="74">
        <f t="shared" si="232"/>
        <v>28.5</v>
      </c>
      <c r="E499" s="74">
        <f t="shared" si="233"/>
        <v>25.25</v>
      </c>
      <c r="F499" s="114">
        <v>22</v>
      </c>
      <c r="G499" s="74">
        <f t="shared" si="234"/>
        <v>18.75</v>
      </c>
      <c r="H499" s="74">
        <f t="shared" si="235"/>
        <v>15.5</v>
      </c>
      <c r="I499" s="74">
        <f t="shared" si="236"/>
        <v>12.25</v>
      </c>
      <c r="J499" s="114">
        <f t="shared" si="237"/>
        <v>9</v>
      </c>
      <c r="K499" s="74">
        <f t="shared" si="238"/>
        <v>6.4025999999999996</v>
      </c>
      <c r="L499" s="74">
        <f t="shared" ref="L499:L571" si="267">SUM(0.666*(M499-J499),J499)</f>
        <v>3.8052000000000001</v>
      </c>
      <c r="M499" s="114">
        <f t="shared" si="258"/>
        <v>1.2000000000000002</v>
      </c>
      <c r="N499" s="115">
        <f t="shared" si="263"/>
        <v>4.3600000000000003</v>
      </c>
      <c r="O499" s="74">
        <f t="shared" si="264"/>
        <v>7.5200000000000005</v>
      </c>
      <c r="P499" s="74">
        <f t="shared" si="265"/>
        <v>10.68</v>
      </c>
      <c r="Q499" s="74">
        <f t="shared" si="266"/>
        <v>13.84</v>
      </c>
      <c r="R499" s="114">
        <v>17</v>
      </c>
      <c r="S499" s="129"/>
      <c r="T499" s="131">
        <f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16.554681318681318</v>
      </c>
      <c r="U499" s="131"/>
      <c r="V499" s="129"/>
      <c r="W499" s="114"/>
    </row>
    <row r="500" spans="2:23">
      <c r="B500" s="114"/>
      <c r="C500" s="74"/>
      <c r="D500" s="74"/>
      <c r="E500" s="74"/>
      <c r="F500" s="114"/>
      <c r="G500" s="74"/>
      <c r="H500" s="74"/>
      <c r="I500" s="74"/>
      <c r="J500" s="114"/>
      <c r="K500" s="74"/>
      <c r="L500" s="74"/>
      <c r="M500" s="114"/>
      <c r="N500" s="115"/>
      <c r="O500" s="74"/>
      <c r="P500" s="74"/>
      <c r="Q500" s="74"/>
      <c r="R500" s="114"/>
      <c r="S500" s="129"/>
      <c r="T500" s="117"/>
      <c r="U500" s="117"/>
      <c r="V500" s="129"/>
      <c r="W500" s="114"/>
    </row>
    <row r="501" spans="2:23">
      <c r="B501" s="114">
        <v>25</v>
      </c>
      <c r="C501" s="74">
        <f t="shared" si="231"/>
        <v>24.5</v>
      </c>
      <c r="D501" s="74">
        <f t="shared" si="232"/>
        <v>24</v>
      </c>
      <c r="E501" s="74">
        <f t="shared" si="233"/>
        <v>23.5</v>
      </c>
      <c r="F501" s="114">
        <v>23</v>
      </c>
      <c r="G501" s="74">
        <f t="shared" si="234"/>
        <v>22.5</v>
      </c>
      <c r="H501" s="74">
        <f t="shared" si="235"/>
        <v>22</v>
      </c>
      <c r="I501" s="74">
        <f t="shared" si="236"/>
        <v>21.5</v>
      </c>
      <c r="J501" s="114">
        <f t="shared" si="237"/>
        <v>21</v>
      </c>
      <c r="K501" s="74">
        <f t="shared" ref="K501:K574" si="268">SUM(0.333*(M501-J501),J501)</f>
        <v>20.500499999999999</v>
      </c>
      <c r="L501" s="74">
        <f t="shared" si="267"/>
        <v>20.001000000000001</v>
      </c>
      <c r="M501" s="114">
        <f>SUM(J501,J501-G501)</f>
        <v>19.5</v>
      </c>
      <c r="N501" s="115">
        <f t="shared" ref="N501:N512" si="269">SUM(0.2*(R501-M501),M501)</f>
        <v>19</v>
      </c>
      <c r="O501" s="74">
        <f t="shared" ref="O501:O512" si="270">SUM(0.4*(R501-M501),M501)</f>
        <v>18.5</v>
      </c>
      <c r="P501" s="74">
        <f t="shared" ref="P501:P512" si="271">SUM(0.6*(R501-M501),M501)</f>
        <v>18</v>
      </c>
      <c r="Q501" s="74">
        <f t="shared" ref="Q501:Q512" si="272">SUM(0.8*(R501-M501),M501)</f>
        <v>17.5</v>
      </c>
      <c r="R501" s="114">
        <v>17</v>
      </c>
      <c r="S501" s="129"/>
      <c r="T501" s="117">
        <f>SUM((BF20+BG19+BH18+BI17+BJ16+BK15+BL14+BM13+BN12+BO11+BP10+BQ9+BR8+BS7+BT6+BU5+BV4)*0.132,17)</f>
        <v>16.727538461538462</v>
      </c>
      <c r="U501" s="117"/>
      <c r="V501" s="129"/>
      <c r="W501" s="114"/>
    </row>
    <row r="502" spans="2:23">
      <c r="B502" s="114">
        <v>26</v>
      </c>
      <c r="C502" s="74">
        <f t="shared" si="231"/>
        <v>25.25</v>
      </c>
      <c r="D502" s="74">
        <f t="shared" si="232"/>
        <v>24.5</v>
      </c>
      <c r="E502" s="74">
        <f t="shared" si="233"/>
        <v>23.75</v>
      </c>
      <c r="F502" s="114">
        <v>23</v>
      </c>
      <c r="G502" s="74">
        <f t="shared" si="234"/>
        <v>22.25</v>
      </c>
      <c r="H502" s="74">
        <f t="shared" si="235"/>
        <v>21.5</v>
      </c>
      <c r="I502" s="74">
        <f t="shared" si="236"/>
        <v>20.75</v>
      </c>
      <c r="J502" s="114">
        <f t="shared" si="237"/>
        <v>20</v>
      </c>
      <c r="K502" s="74">
        <f t="shared" si="268"/>
        <v>19.400600000000001</v>
      </c>
      <c r="L502" s="74">
        <f t="shared" si="267"/>
        <v>18.801199999999998</v>
      </c>
      <c r="M502" s="114">
        <f t="shared" ref="M502:M538" si="273">SUM(J502,-F502,J502,0.4*ABS(J502-F502))</f>
        <v>18.2</v>
      </c>
      <c r="N502" s="115">
        <f t="shared" si="269"/>
        <v>17.96</v>
      </c>
      <c r="O502" s="74">
        <f t="shared" si="270"/>
        <v>17.72</v>
      </c>
      <c r="P502" s="74">
        <f t="shared" si="271"/>
        <v>17.48</v>
      </c>
      <c r="Q502" s="74">
        <f t="shared" si="272"/>
        <v>17.239999999999998</v>
      </c>
      <c r="R502" s="114">
        <v>17</v>
      </c>
      <c r="S502" s="129"/>
      <c r="T502" s="117">
        <f>SUM((BD20+BG18+BJ16+BM14+BP12+BS10+BT9+BU8+BU7+BV6+BV5+BV4)*0.132,(BE19+BF19+BH17+BI17+BK15+BL15+BN13+BO13+BQ11+BR11)*0.132/2,17)</f>
        <v>16.859538461538463</v>
      </c>
      <c r="U502" s="117"/>
      <c r="V502" s="129"/>
      <c r="W502" s="114"/>
    </row>
    <row r="503" spans="2:23">
      <c r="B503" s="114">
        <v>27</v>
      </c>
      <c r="C503" s="74">
        <f t="shared" si="231"/>
        <v>26</v>
      </c>
      <c r="D503" s="74">
        <f t="shared" si="232"/>
        <v>25</v>
      </c>
      <c r="E503" s="74">
        <f t="shared" si="233"/>
        <v>24</v>
      </c>
      <c r="F503" s="114">
        <v>23</v>
      </c>
      <c r="G503" s="74">
        <f t="shared" si="234"/>
        <v>22</v>
      </c>
      <c r="H503" s="74">
        <f t="shared" si="235"/>
        <v>21</v>
      </c>
      <c r="I503" s="74">
        <f t="shared" si="236"/>
        <v>20</v>
      </c>
      <c r="J503" s="114">
        <f t="shared" si="237"/>
        <v>19</v>
      </c>
      <c r="K503" s="74">
        <f t="shared" si="268"/>
        <v>18.200800000000001</v>
      </c>
      <c r="L503" s="74">
        <f t="shared" si="267"/>
        <v>17.401600000000002</v>
      </c>
      <c r="M503" s="114">
        <f t="shared" si="273"/>
        <v>16.600000000000001</v>
      </c>
      <c r="N503" s="115">
        <f t="shared" si="269"/>
        <v>16.68</v>
      </c>
      <c r="O503" s="74">
        <f t="shared" si="270"/>
        <v>16.760000000000002</v>
      </c>
      <c r="P503" s="74">
        <f t="shared" si="271"/>
        <v>16.84</v>
      </c>
      <c r="Q503" s="74">
        <f t="shared" si="272"/>
        <v>16.920000000000002</v>
      </c>
      <c r="R503" s="114">
        <v>17</v>
      </c>
      <c r="S503" s="129"/>
      <c r="T503" s="117">
        <f>SUM((BC19+BD19+BE18+BF18+BG17+BH17+BI16+BJ16+BK15+BL15+BM14+BN14+BO13+BP13+BQ12+BR12+BS11+BT11+BU10+BV10)*0.132/2,(BB20+BW9+BW8+BW7+BV6+BV5+BV4)*0.132,17)</f>
        <v>16.59553846153846</v>
      </c>
      <c r="U503" s="117"/>
      <c r="V503" s="129"/>
      <c r="W503" s="114"/>
    </row>
    <row r="504" spans="2:23">
      <c r="B504" s="114">
        <v>28</v>
      </c>
      <c r="C504" s="74">
        <f t="shared" si="231"/>
        <v>26.75</v>
      </c>
      <c r="D504" s="74">
        <f t="shared" si="232"/>
        <v>25.5</v>
      </c>
      <c r="E504" s="74">
        <f t="shared" si="233"/>
        <v>24.25</v>
      </c>
      <c r="F504" s="114">
        <v>23</v>
      </c>
      <c r="G504" s="74">
        <f t="shared" si="234"/>
        <v>21.75</v>
      </c>
      <c r="H504" s="74">
        <f t="shared" si="235"/>
        <v>20.5</v>
      </c>
      <c r="I504" s="74">
        <f t="shared" si="236"/>
        <v>19.25</v>
      </c>
      <c r="J504" s="114">
        <f t="shared" si="237"/>
        <v>18</v>
      </c>
      <c r="K504" s="74">
        <f t="shared" si="268"/>
        <v>17.001000000000001</v>
      </c>
      <c r="L504" s="74">
        <f t="shared" si="267"/>
        <v>16.001999999999999</v>
      </c>
      <c r="M504" s="114">
        <f t="shared" si="273"/>
        <v>15</v>
      </c>
      <c r="N504" s="115">
        <f t="shared" si="269"/>
        <v>15.4</v>
      </c>
      <c r="O504" s="74">
        <f t="shared" si="270"/>
        <v>15.8</v>
      </c>
      <c r="P504" s="74">
        <f t="shared" si="271"/>
        <v>16.2</v>
      </c>
      <c r="Q504" s="74">
        <f t="shared" si="272"/>
        <v>16.600000000000001</v>
      </c>
      <c r="R504" s="114">
        <v>17</v>
      </c>
      <c r="S504" s="129"/>
      <c r="T504" s="117">
        <f>SUM((AZ20+BA20+BB19+BC19+BG17+BH17+BI16+BJ16+BN14+BO14+BS12+BT12+BU11+BV11+BW10+BX10+BY9+BZ9)*0.132/2,(BD18+BE18+BF18+BK15+BL15+BM15+BP13+BQ13+BR13)*0.132/3,(BY8+BX7+BW6+BV5+BV4)*0.132,17)</f>
        <v>16.859538461538463</v>
      </c>
      <c r="U504" s="117"/>
      <c r="V504" s="129"/>
      <c r="W504" s="114"/>
    </row>
    <row r="505" spans="2:23">
      <c r="B505" s="114">
        <v>29</v>
      </c>
      <c r="C505" s="74">
        <f t="shared" si="231"/>
        <v>27.5</v>
      </c>
      <c r="D505" s="74">
        <f t="shared" si="232"/>
        <v>26</v>
      </c>
      <c r="E505" s="74">
        <f t="shared" si="233"/>
        <v>24.5</v>
      </c>
      <c r="F505" s="114">
        <v>23</v>
      </c>
      <c r="G505" s="74">
        <f t="shared" si="234"/>
        <v>21.5</v>
      </c>
      <c r="H505" s="74">
        <f t="shared" si="235"/>
        <v>20</v>
      </c>
      <c r="I505" s="74">
        <f t="shared" si="236"/>
        <v>18.5</v>
      </c>
      <c r="J505" s="114">
        <f t="shared" si="237"/>
        <v>17</v>
      </c>
      <c r="K505" s="74">
        <f t="shared" si="268"/>
        <v>15.8012</v>
      </c>
      <c r="L505" s="74">
        <f t="shared" si="267"/>
        <v>14.602399999999999</v>
      </c>
      <c r="M505" s="114">
        <f t="shared" si="273"/>
        <v>13.4</v>
      </c>
      <c r="N505" s="115">
        <f t="shared" si="269"/>
        <v>14.120000000000001</v>
      </c>
      <c r="O505" s="74">
        <f t="shared" si="270"/>
        <v>14.84</v>
      </c>
      <c r="P505" s="74">
        <f t="shared" si="271"/>
        <v>15.56</v>
      </c>
      <c r="Q505" s="74">
        <f t="shared" si="272"/>
        <v>16.28</v>
      </c>
      <c r="R505" s="114">
        <v>17</v>
      </c>
      <c r="S505" s="129"/>
      <c r="T505" s="117">
        <f>SUM((AX20+AY20+BC18+BD18)*0.132/2,(AZ19+BA19+BB19+BE17+BF17+BG17+BH16+BI16+BJ16+BK15+BL15+BM15+BN14+BO14+BP14+BQ13+BR13+BS13+BT12+BU12+BV12+BW11+BX11+BY11)*0.132/3,(BZ10+CA10+CB9+CC9+CB8+CA8+BZ7+BY7)*0.132/2,(BX6+BW5+BV4)*0.132,17)</f>
        <v>16.793538461538461</v>
      </c>
      <c r="U505" s="117"/>
      <c r="V505" s="129"/>
      <c r="W505" s="114"/>
    </row>
    <row r="506" spans="2:23">
      <c r="B506" s="114">
        <v>30</v>
      </c>
      <c r="C506" s="74">
        <f t="shared" si="231"/>
        <v>28.25</v>
      </c>
      <c r="D506" s="74">
        <f t="shared" si="232"/>
        <v>26.5</v>
      </c>
      <c r="E506" s="74">
        <f t="shared" si="233"/>
        <v>24.75</v>
      </c>
      <c r="F506" s="114">
        <v>23</v>
      </c>
      <c r="G506" s="74">
        <f t="shared" si="234"/>
        <v>21.25</v>
      </c>
      <c r="H506" s="74">
        <f t="shared" si="235"/>
        <v>19.5</v>
      </c>
      <c r="I506" s="74">
        <f t="shared" si="236"/>
        <v>17.75</v>
      </c>
      <c r="J506" s="114">
        <f t="shared" si="237"/>
        <v>16</v>
      </c>
      <c r="K506" s="74">
        <f t="shared" si="268"/>
        <v>14.6014</v>
      </c>
      <c r="L506" s="74">
        <f t="shared" si="267"/>
        <v>13.2028</v>
      </c>
      <c r="M506" s="114">
        <f t="shared" si="273"/>
        <v>11.8</v>
      </c>
      <c r="N506" s="115">
        <f t="shared" si="269"/>
        <v>12.84</v>
      </c>
      <c r="O506" s="74">
        <f t="shared" si="270"/>
        <v>13.88</v>
      </c>
      <c r="P506" s="74">
        <f t="shared" si="271"/>
        <v>14.92</v>
      </c>
      <c r="Q506" s="74">
        <f t="shared" si="272"/>
        <v>15.96</v>
      </c>
      <c r="R506" s="114">
        <v>17</v>
      </c>
      <c r="S506" s="129"/>
      <c r="T506" s="117">
        <f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16.914538461538463</v>
      </c>
      <c r="U506" s="117"/>
      <c r="V506" s="129"/>
      <c r="W506" s="114"/>
    </row>
    <row r="507" spans="2:23">
      <c r="B507" s="114">
        <v>31</v>
      </c>
      <c r="C507" s="74">
        <f t="shared" si="231"/>
        <v>29</v>
      </c>
      <c r="D507" s="74">
        <f t="shared" si="232"/>
        <v>27</v>
      </c>
      <c r="E507" s="74">
        <f t="shared" si="233"/>
        <v>25</v>
      </c>
      <c r="F507" s="114">
        <v>23</v>
      </c>
      <c r="G507" s="74">
        <f t="shared" si="234"/>
        <v>21</v>
      </c>
      <c r="H507" s="74">
        <f t="shared" si="235"/>
        <v>19</v>
      </c>
      <c r="I507" s="74">
        <f t="shared" si="236"/>
        <v>17</v>
      </c>
      <c r="J507" s="114">
        <f t="shared" si="237"/>
        <v>15</v>
      </c>
      <c r="K507" s="74">
        <f t="shared" si="268"/>
        <v>13.4016</v>
      </c>
      <c r="L507" s="74">
        <f t="shared" si="267"/>
        <v>11.8032</v>
      </c>
      <c r="M507" s="114">
        <f t="shared" si="273"/>
        <v>10.199999999999999</v>
      </c>
      <c r="N507" s="115">
        <f t="shared" si="269"/>
        <v>11.559999999999999</v>
      </c>
      <c r="O507" s="74">
        <f t="shared" si="270"/>
        <v>12.92</v>
      </c>
      <c r="P507" s="74">
        <f t="shared" si="271"/>
        <v>14.28</v>
      </c>
      <c r="Q507" s="74">
        <f t="shared" si="272"/>
        <v>15.64</v>
      </c>
      <c r="R507" s="114">
        <v>17</v>
      </c>
      <c r="S507" s="129"/>
      <c r="T507" s="117">
        <f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16.969538461538463</v>
      </c>
      <c r="U507" s="117"/>
      <c r="V507" s="129"/>
      <c r="W507" s="114"/>
    </row>
    <row r="508" spans="2:23">
      <c r="B508" s="114">
        <v>32</v>
      </c>
      <c r="C508" s="74">
        <f t="shared" si="231"/>
        <v>29.75</v>
      </c>
      <c r="D508" s="74">
        <f t="shared" si="232"/>
        <v>27.5</v>
      </c>
      <c r="E508" s="74">
        <f t="shared" si="233"/>
        <v>25.25</v>
      </c>
      <c r="F508" s="114">
        <v>23</v>
      </c>
      <c r="G508" s="74">
        <f t="shared" si="234"/>
        <v>20.75</v>
      </c>
      <c r="H508" s="74">
        <f t="shared" si="235"/>
        <v>18.5</v>
      </c>
      <c r="I508" s="74">
        <f t="shared" si="236"/>
        <v>16.25</v>
      </c>
      <c r="J508" s="114">
        <f t="shared" si="237"/>
        <v>14</v>
      </c>
      <c r="K508" s="74">
        <f t="shared" si="268"/>
        <v>12.2018</v>
      </c>
      <c r="L508" s="74">
        <f t="shared" si="267"/>
        <v>10.403599999999999</v>
      </c>
      <c r="M508" s="114">
        <f t="shared" si="273"/>
        <v>8.6</v>
      </c>
      <c r="N508" s="115">
        <f t="shared" si="269"/>
        <v>10.28</v>
      </c>
      <c r="O508" s="74">
        <f t="shared" si="270"/>
        <v>11.96</v>
      </c>
      <c r="P508" s="74">
        <f t="shared" si="271"/>
        <v>13.64</v>
      </c>
      <c r="Q508" s="74">
        <f t="shared" si="272"/>
        <v>15.32</v>
      </c>
      <c r="R508" s="114">
        <v>17</v>
      </c>
      <c r="S508" s="129"/>
      <c r="T508" s="117">
        <f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16.989338461538463</v>
      </c>
      <c r="U508" s="117"/>
      <c r="V508" s="129"/>
      <c r="W508" s="114"/>
    </row>
    <row r="509" spans="2:23">
      <c r="B509" s="114">
        <v>33</v>
      </c>
      <c r="C509" s="74">
        <f t="shared" ref="C509:C577" si="274">SUM(0.25*(F509-B509),B509)</f>
        <v>30.5</v>
      </c>
      <c r="D509" s="74">
        <f t="shared" ref="D509:D577" si="275">SUM(0.5*(F509-B509)+B509)</f>
        <v>28</v>
      </c>
      <c r="E509" s="74">
        <f t="shared" ref="E509:E577" si="276">SUM(0.75*(F509-B509),B509)</f>
        <v>25.5</v>
      </c>
      <c r="F509" s="114">
        <v>23</v>
      </c>
      <c r="G509" s="74">
        <f t="shared" ref="G509:G577" si="277">SUM(0.25*(J509-F509),F509)</f>
        <v>20.5</v>
      </c>
      <c r="H509" s="74">
        <f t="shared" ref="H509:H577" si="278">SUM(0.5*(J509-F509),F509)</f>
        <v>18</v>
      </c>
      <c r="I509" s="74">
        <f t="shared" ref="I509:I577" si="279">SUM(0.75*(J509-F509),F509)</f>
        <v>15.5</v>
      </c>
      <c r="J509" s="114">
        <f t="shared" ref="J509:J577" si="280">SUM(F509,-B509,F509)</f>
        <v>13</v>
      </c>
      <c r="K509" s="74">
        <f t="shared" si="268"/>
        <v>11.001999999999999</v>
      </c>
      <c r="L509" s="74">
        <f t="shared" si="267"/>
        <v>9.0039999999999996</v>
      </c>
      <c r="M509" s="114">
        <f t="shared" si="273"/>
        <v>7</v>
      </c>
      <c r="N509" s="115">
        <f t="shared" si="269"/>
        <v>9</v>
      </c>
      <c r="O509" s="74">
        <f t="shared" si="270"/>
        <v>11</v>
      </c>
      <c r="P509" s="74">
        <f t="shared" si="271"/>
        <v>13</v>
      </c>
      <c r="Q509" s="74">
        <f t="shared" si="272"/>
        <v>15</v>
      </c>
      <c r="R509" s="114">
        <v>17</v>
      </c>
      <c r="S509" s="129"/>
      <c r="T509" s="117">
        <f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16.767138461538462</v>
      </c>
      <c r="U509" s="117"/>
      <c r="V509" s="129"/>
      <c r="W509" s="114"/>
    </row>
    <row r="510" spans="2:23">
      <c r="B510" s="114">
        <v>34</v>
      </c>
      <c r="C510" s="74">
        <f t="shared" si="274"/>
        <v>31.25</v>
      </c>
      <c r="D510" s="74">
        <f t="shared" si="275"/>
        <v>28.5</v>
      </c>
      <c r="E510" s="74">
        <f t="shared" si="276"/>
        <v>25.75</v>
      </c>
      <c r="F510" s="114">
        <v>23</v>
      </c>
      <c r="G510" s="74">
        <f t="shared" si="277"/>
        <v>20.25</v>
      </c>
      <c r="H510" s="74">
        <f t="shared" si="278"/>
        <v>17.5</v>
      </c>
      <c r="I510" s="74">
        <f t="shared" si="279"/>
        <v>14.75</v>
      </c>
      <c r="J510" s="114">
        <f t="shared" si="280"/>
        <v>12</v>
      </c>
      <c r="K510" s="74">
        <f t="shared" si="268"/>
        <v>9.8021999999999991</v>
      </c>
      <c r="L510" s="74">
        <f t="shared" si="267"/>
        <v>7.6044</v>
      </c>
      <c r="M510" s="114">
        <f t="shared" si="273"/>
        <v>5.4</v>
      </c>
      <c r="N510" s="115">
        <f t="shared" si="269"/>
        <v>7.7200000000000006</v>
      </c>
      <c r="O510" s="74">
        <f t="shared" si="270"/>
        <v>10.039999999999999</v>
      </c>
      <c r="P510" s="74">
        <f t="shared" si="271"/>
        <v>12.36</v>
      </c>
      <c r="Q510" s="74">
        <f t="shared" si="272"/>
        <v>14.68</v>
      </c>
      <c r="R510" s="114">
        <v>17</v>
      </c>
      <c r="S510" s="129"/>
      <c r="T510" s="117">
        <f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16.538338461538462</v>
      </c>
      <c r="U510" s="117"/>
      <c r="V510" s="129"/>
      <c r="W510" s="114"/>
    </row>
    <row r="511" spans="2:23">
      <c r="B511" s="114">
        <v>35</v>
      </c>
      <c r="C511" s="74">
        <f t="shared" si="274"/>
        <v>32</v>
      </c>
      <c r="D511" s="74">
        <f t="shared" si="275"/>
        <v>29</v>
      </c>
      <c r="E511" s="74">
        <f t="shared" si="276"/>
        <v>26</v>
      </c>
      <c r="F511" s="114">
        <v>23</v>
      </c>
      <c r="G511" s="74">
        <f t="shared" si="277"/>
        <v>20</v>
      </c>
      <c r="H511" s="74">
        <f t="shared" si="278"/>
        <v>17</v>
      </c>
      <c r="I511" s="74">
        <f t="shared" si="279"/>
        <v>14</v>
      </c>
      <c r="J511" s="114">
        <f t="shared" si="280"/>
        <v>11</v>
      </c>
      <c r="K511" s="74">
        <f t="shared" si="268"/>
        <v>8.6023999999999994</v>
      </c>
      <c r="L511" s="74">
        <f t="shared" si="267"/>
        <v>6.2048000000000005</v>
      </c>
      <c r="M511" s="114">
        <f t="shared" si="273"/>
        <v>3.8000000000000007</v>
      </c>
      <c r="N511" s="115">
        <f t="shared" si="269"/>
        <v>6.4400000000000013</v>
      </c>
      <c r="O511" s="74">
        <f t="shared" si="270"/>
        <v>9.0800000000000018</v>
      </c>
      <c r="P511" s="74">
        <f t="shared" si="271"/>
        <v>11.719999999999999</v>
      </c>
      <c r="Q511" s="74">
        <f t="shared" si="272"/>
        <v>14.360000000000001</v>
      </c>
      <c r="R511" s="114">
        <v>17</v>
      </c>
      <c r="S511" s="129"/>
      <c r="T511" s="126">
        <f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16.274338461538463</v>
      </c>
      <c r="U511" s="126"/>
      <c r="V511" s="129"/>
      <c r="W511" s="114"/>
    </row>
    <row r="512" spans="2:23">
      <c r="B512" s="114">
        <v>36</v>
      </c>
      <c r="C512" s="74">
        <f t="shared" si="274"/>
        <v>32.75</v>
      </c>
      <c r="D512" s="74">
        <f t="shared" si="275"/>
        <v>29.5</v>
      </c>
      <c r="E512" s="74">
        <f t="shared" si="276"/>
        <v>26.25</v>
      </c>
      <c r="F512" s="114">
        <v>23</v>
      </c>
      <c r="G512" s="74">
        <f t="shared" si="277"/>
        <v>19.75</v>
      </c>
      <c r="H512" s="74">
        <f t="shared" si="278"/>
        <v>16.5</v>
      </c>
      <c r="I512" s="74">
        <f t="shared" si="279"/>
        <v>13.25</v>
      </c>
      <c r="J512" s="114">
        <f t="shared" si="280"/>
        <v>10</v>
      </c>
      <c r="K512" s="74">
        <f t="shared" si="268"/>
        <v>7.4025999999999996</v>
      </c>
      <c r="L512" s="74">
        <f t="shared" si="267"/>
        <v>4.8052000000000001</v>
      </c>
      <c r="M512" s="114">
        <f t="shared" si="273"/>
        <v>2.2000000000000002</v>
      </c>
      <c r="N512" s="115">
        <f t="shared" si="269"/>
        <v>5.16</v>
      </c>
      <c r="O512" s="74">
        <f t="shared" si="270"/>
        <v>8.120000000000001</v>
      </c>
      <c r="P512" s="74">
        <f t="shared" si="271"/>
        <v>11.080000000000002</v>
      </c>
      <c r="Q512" s="74">
        <f t="shared" si="272"/>
        <v>14.040000000000003</v>
      </c>
      <c r="R512" s="114">
        <v>17</v>
      </c>
      <c r="S512" s="129"/>
      <c r="T512" s="131">
        <f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16.161824175824176</v>
      </c>
      <c r="U512" s="131"/>
      <c r="V512" s="129"/>
      <c r="W512" s="114"/>
    </row>
    <row r="513" spans="2:23">
      <c r="B513" s="114"/>
      <c r="C513" s="74"/>
      <c r="D513" s="74"/>
      <c r="E513" s="74"/>
      <c r="F513" s="114"/>
      <c r="G513" s="74"/>
      <c r="H513" s="74"/>
      <c r="I513" s="74"/>
      <c r="J513" s="114"/>
      <c r="K513" s="74"/>
      <c r="L513" s="74"/>
      <c r="M513" s="114"/>
      <c r="N513" s="115"/>
      <c r="O513" s="74"/>
      <c r="P513" s="74"/>
      <c r="Q513" s="74"/>
      <c r="R513" s="114"/>
      <c r="S513" s="129"/>
      <c r="T513" s="117"/>
      <c r="U513" s="117"/>
      <c r="V513" s="129"/>
      <c r="W513" s="114"/>
    </row>
    <row r="514" spans="2:23">
      <c r="B514" s="114">
        <v>27</v>
      </c>
      <c r="C514" s="74">
        <f t="shared" si="274"/>
        <v>26.25</v>
      </c>
      <c r="D514" s="74">
        <f t="shared" si="275"/>
        <v>25.5</v>
      </c>
      <c r="E514" s="74">
        <f t="shared" si="276"/>
        <v>24.75</v>
      </c>
      <c r="F514" s="114">
        <v>24</v>
      </c>
      <c r="G514" s="74">
        <f t="shared" si="277"/>
        <v>23.25</v>
      </c>
      <c r="H514" s="74">
        <f t="shared" si="278"/>
        <v>22.5</v>
      </c>
      <c r="I514" s="74">
        <f t="shared" si="279"/>
        <v>21.75</v>
      </c>
      <c r="J514" s="114">
        <f t="shared" si="280"/>
        <v>21</v>
      </c>
      <c r="K514" s="74">
        <f t="shared" si="268"/>
        <v>20.400600000000001</v>
      </c>
      <c r="L514" s="74">
        <f t="shared" si="267"/>
        <v>19.801199999999998</v>
      </c>
      <c r="M514" s="114">
        <f t="shared" si="273"/>
        <v>19.2</v>
      </c>
      <c r="N514" s="115">
        <f t="shared" ref="N514:N525" si="281">SUM(0.2*(R514-M514),M514)</f>
        <v>18.759999999999998</v>
      </c>
      <c r="O514" s="74">
        <f t="shared" ref="O514:O525" si="282">SUM(0.4*(R514-M514),M514)</f>
        <v>18.32</v>
      </c>
      <c r="P514" s="74">
        <f t="shared" ref="P514:P525" si="283">SUM(0.6*(R514-M514),M514)</f>
        <v>17.88</v>
      </c>
      <c r="Q514" s="74">
        <f t="shared" ref="Q514:Q525" si="284">SUM(0.8*(R514-M514),M514)</f>
        <v>17.440000000000001</v>
      </c>
      <c r="R514" s="114">
        <v>17</v>
      </c>
      <c r="S514" s="129"/>
      <c r="T514" s="117">
        <f>SUM((BB20+BE18+BH16+BK14+BN12+BQ10+BR9+BS8+BT7+BU6+BV5+BV4)*0.132,(BC19+BD19+BF17+BG17+BI15+BJ15+BL13+BM13+BO11+BP11)*0.132/2,17)</f>
        <v>16.59553846153846</v>
      </c>
      <c r="U514" s="117"/>
      <c r="V514" s="129"/>
      <c r="W514" s="114"/>
    </row>
    <row r="515" spans="2:23">
      <c r="B515" s="114">
        <v>28</v>
      </c>
      <c r="C515" s="74">
        <f t="shared" si="274"/>
        <v>27</v>
      </c>
      <c r="D515" s="74">
        <f t="shared" si="275"/>
        <v>26</v>
      </c>
      <c r="E515" s="74">
        <f t="shared" si="276"/>
        <v>25</v>
      </c>
      <c r="F515" s="114">
        <v>24</v>
      </c>
      <c r="G515" s="74">
        <f t="shared" si="277"/>
        <v>23</v>
      </c>
      <c r="H515" s="74">
        <f t="shared" si="278"/>
        <v>22</v>
      </c>
      <c r="I515" s="74">
        <f t="shared" si="279"/>
        <v>21</v>
      </c>
      <c r="J515" s="114">
        <f t="shared" si="280"/>
        <v>20</v>
      </c>
      <c r="K515" s="74">
        <f t="shared" si="268"/>
        <v>19.200800000000001</v>
      </c>
      <c r="L515" s="74">
        <f t="shared" si="267"/>
        <v>18.401600000000002</v>
      </c>
      <c r="M515" s="114">
        <f t="shared" si="273"/>
        <v>17.600000000000001</v>
      </c>
      <c r="N515" s="115">
        <f t="shared" si="281"/>
        <v>17.48</v>
      </c>
      <c r="O515" s="74">
        <f t="shared" si="282"/>
        <v>17.36</v>
      </c>
      <c r="P515" s="74">
        <f t="shared" si="283"/>
        <v>17.240000000000002</v>
      </c>
      <c r="Q515" s="74">
        <f t="shared" si="284"/>
        <v>17.12</v>
      </c>
      <c r="R515" s="114">
        <v>17</v>
      </c>
      <c r="S515" s="129"/>
      <c r="T515" s="117">
        <f>SUM((BA19+BB19+BC18+BD18+BE17+BF17+BG16+BH16+BI15+BJ15+BK14+BL14+BM13+BN13+BO12+BP12+BQ11+BR11+BS10+BT10)*0.132/2,(AZ20+BU9+BU8+BU7+BV6+BV5+BV4)*0.132,17)</f>
        <v>16.727538461538462</v>
      </c>
      <c r="U515" s="117"/>
      <c r="V515" s="129"/>
      <c r="W515" s="114"/>
    </row>
    <row r="516" spans="2:23">
      <c r="B516" s="114">
        <v>29</v>
      </c>
      <c r="C516" s="74">
        <f t="shared" si="274"/>
        <v>27.75</v>
      </c>
      <c r="D516" s="74">
        <f t="shared" si="275"/>
        <v>26.5</v>
      </c>
      <c r="E516" s="74">
        <f t="shared" si="276"/>
        <v>25.25</v>
      </c>
      <c r="F516" s="114">
        <v>24</v>
      </c>
      <c r="G516" s="74">
        <f t="shared" si="277"/>
        <v>22.75</v>
      </c>
      <c r="H516" s="74">
        <f t="shared" si="278"/>
        <v>21.5</v>
      </c>
      <c r="I516" s="74">
        <f t="shared" si="279"/>
        <v>20.25</v>
      </c>
      <c r="J516" s="114">
        <f t="shared" si="280"/>
        <v>19</v>
      </c>
      <c r="K516" s="74">
        <f t="shared" si="268"/>
        <v>18.001000000000001</v>
      </c>
      <c r="L516" s="74">
        <f t="shared" si="267"/>
        <v>17.001999999999999</v>
      </c>
      <c r="M516" s="114">
        <f t="shared" si="273"/>
        <v>16</v>
      </c>
      <c r="N516" s="115">
        <f t="shared" si="281"/>
        <v>16.2</v>
      </c>
      <c r="O516" s="74">
        <f t="shared" si="282"/>
        <v>16.399999999999999</v>
      </c>
      <c r="P516" s="74">
        <f t="shared" si="283"/>
        <v>16.600000000000001</v>
      </c>
      <c r="Q516" s="74">
        <f t="shared" si="284"/>
        <v>16.8</v>
      </c>
      <c r="R516" s="114">
        <v>17</v>
      </c>
      <c r="S516" s="129"/>
      <c r="T516" s="117">
        <f>SUM((AX20+AY20+AZ19+BA19+BE17+BF17+BG16+BH16+BL14+BM14+BQ12+BR12+BS11+BT11+BU10+BV10+BW9+BX9)*0.132/2,(BB18+BC18+BD18+BI15+BJ15+BK15+BN13+BO13+BP13)*0.132/3,(BW8+BW7+BV6+BV5+BV4)*0.132,17)</f>
        <v>16.551538461538463</v>
      </c>
      <c r="U516" s="117"/>
      <c r="V516" s="129"/>
      <c r="W516" s="114"/>
    </row>
    <row r="517" spans="2:23">
      <c r="B517" s="114">
        <v>30</v>
      </c>
      <c r="C517" s="74">
        <f t="shared" si="274"/>
        <v>28.5</v>
      </c>
      <c r="D517" s="74">
        <f t="shared" si="275"/>
        <v>27</v>
      </c>
      <c r="E517" s="74">
        <f t="shared" si="276"/>
        <v>25.5</v>
      </c>
      <c r="F517" s="114">
        <v>24</v>
      </c>
      <c r="G517" s="74">
        <f t="shared" si="277"/>
        <v>22.5</v>
      </c>
      <c r="H517" s="74">
        <f t="shared" si="278"/>
        <v>21</v>
      </c>
      <c r="I517" s="74">
        <f t="shared" si="279"/>
        <v>19.5</v>
      </c>
      <c r="J517" s="114">
        <f t="shared" si="280"/>
        <v>18</v>
      </c>
      <c r="K517" s="74">
        <f t="shared" si="268"/>
        <v>16.801200000000001</v>
      </c>
      <c r="L517" s="74">
        <f t="shared" si="267"/>
        <v>15.602399999999999</v>
      </c>
      <c r="M517" s="114">
        <f t="shared" si="273"/>
        <v>14.4</v>
      </c>
      <c r="N517" s="115">
        <f t="shared" si="281"/>
        <v>14.92</v>
      </c>
      <c r="O517" s="74">
        <f t="shared" si="282"/>
        <v>15.44</v>
      </c>
      <c r="P517" s="74">
        <f t="shared" si="283"/>
        <v>15.96</v>
      </c>
      <c r="Q517" s="74">
        <f t="shared" si="284"/>
        <v>16.48</v>
      </c>
      <c r="R517" s="114">
        <v>17</v>
      </c>
      <c r="S517" s="129"/>
      <c r="T517" s="117">
        <f>SUM((AV20+AW20+BA18+BB18)*0.132/2,(AX19+AY19+AZ19+BC17+BD17+BE17++BF16+BG16+BH16+BI15+BJ15+BK15+BL14+BM14+BN14+BO13+BP13+BQ13+BR12+BS12+BT12+BU11+BV11+BW11)*0.132/3,(BX10+BY10+BZ9+CA9)*0.132/2,(BZ8+BY7+BX6+BW5+BV4)*0.132,17)</f>
        <v>16.617538461538462</v>
      </c>
      <c r="U517" s="117"/>
      <c r="V517" s="129"/>
      <c r="W517" s="114"/>
    </row>
    <row r="518" spans="2:23">
      <c r="B518" s="114">
        <v>31</v>
      </c>
      <c r="C518" s="74">
        <f t="shared" si="274"/>
        <v>29.25</v>
      </c>
      <c r="D518" s="74">
        <f t="shared" si="275"/>
        <v>27.5</v>
      </c>
      <c r="E518" s="74">
        <f t="shared" si="276"/>
        <v>25.75</v>
      </c>
      <c r="F518" s="114">
        <v>24</v>
      </c>
      <c r="G518" s="74">
        <f t="shared" si="277"/>
        <v>22.25</v>
      </c>
      <c r="H518" s="74">
        <f t="shared" si="278"/>
        <v>20.5</v>
      </c>
      <c r="I518" s="74">
        <f t="shared" si="279"/>
        <v>18.75</v>
      </c>
      <c r="J518" s="114">
        <f t="shared" si="280"/>
        <v>17</v>
      </c>
      <c r="K518" s="74">
        <f t="shared" si="268"/>
        <v>15.6014</v>
      </c>
      <c r="L518" s="74">
        <f t="shared" si="267"/>
        <v>14.2028</v>
      </c>
      <c r="M518" s="114">
        <f t="shared" si="273"/>
        <v>12.8</v>
      </c>
      <c r="N518" s="115">
        <f t="shared" si="281"/>
        <v>13.64</v>
      </c>
      <c r="O518" s="74">
        <f t="shared" si="282"/>
        <v>14.48</v>
      </c>
      <c r="P518" s="74">
        <f t="shared" si="283"/>
        <v>15.32</v>
      </c>
      <c r="Q518" s="74">
        <f t="shared" si="284"/>
        <v>16.16</v>
      </c>
      <c r="R518" s="114">
        <v>17</v>
      </c>
      <c r="S518" s="129"/>
      <c r="T518" s="117">
        <f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16.870538461538462</v>
      </c>
      <c r="U518" s="117"/>
      <c r="V518" s="129"/>
      <c r="W518" s="114"/>
    </row>
    <row r="519" spans="2:23">
      <c r="B519" s="114">
        <v>32</v>
      </c>
      <c r="C519" s="74">
        <f t="shared" si="274"/>
        <v>30</v>
      </c>
      <c r="D519" s="74">
        <f t="shared" si="275"/>
        <v>28</v>
      </c>
      <c r="E519" s="74">
        <f t="shared" si="276"/>
        <v>26</v>
      </c>
      <c r="F519" s="114">
        <v>24</v>
      </c>
      <c r="G519" s="74">
        <f t="shared" si="277"/>
        <v>22</v>
      </c>
      <c r="H519" s="74">
        <f t="shared" si="278"/>
        <v>20</v>
      </c>
      <c r="I519" s="74">
        <f t="shared" si="279"/>
        <v>18</v>
      </c>
      <c r="J519" s="114">
        <f t="shared" si="280"/>
        <v>16</v>
      </c>
      <c r="K519" s="74">
        <f t="shared" si="268"/>
        <v>14.4016</v>
      </c>
      <c r="L519" s="74">
        <f t="shared" si="267"/>
        <v>12.8032</v>
      </c>
      <c r="M519" s="114">
        <f t="shared" si="273"/>
        <v>11.2</v>
      </c>
      <c r="N519" s="115">
        <f t="shared" si="281"/>
        <v>12.36</v>
      </c>
      <c r="O519" s="74">
        <f t="shared" si="282"/>
        <v>13.52</v>
      </c>
      <c r="P519" s="74">
        <f t="shared" si="283"/>
        <v>14.68</v>
      </c>
      <c r="Q519" s="74">
        <f t="shared" si="284"/>
        <v>15.84</v>
      </c>
      <c r="R519" s="114">
        <v>17</v>
      </c>
      <c r="S519" s="129"/>
      <c r="T519" s="117">
        <f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16.771538461538462</v>
      </c>
      <c r="U519" s="117"/>
      <c r="V519" s="129"/>
      <c r="W519" s="114"/>
    </row>
    <row r="520" spans="2:23">
      <c r="B520" s="114">
        <v>33</v>
      </c>
      <c r="C520" s="74">
        <f t="shared" si="274"/>
        <v>30.75</v>
      </c>
      <c r="D520" s="74">
        <f t="shared" si="275"/>
        <v>28.5</v>
      </c>
      <c r="E520" s="74">
        <f t="shared" si="276"/>
        <v>26.25</v>
      </c>
      <c r="F520" s="114">
        <v>24</v>
      </c>
      <c r="G520" s="74">
        <f t="shared" si="277"/>
        <v>21.75</v>
      </c>
      <c r="H520" s="74">
        <f t="shared" si="278"/>
        <v>19.5</v>
      </c>
      <c r="I520" s="74">
        <f t="shared" si="279"/>
        <v>17.25</v>
      </c>
      <c r="J520" s="114">
        <f t="shared" si="280"/>
        <v>15</v>
      </c>
      <c r="K520" s="74">
        <f t="shared" si="268"/>
        <v>13.2018</v>
      </c>
      <c r="L520" s="74">
        <f t="shared" si="267"/>
        <v>11.403599999999999</v>
      </c>
      <c r="M520" s="114">
        <f t="shared" si="273"/>
        <v>9.6</v>
      </c>
      <c r="N520" s="115">
        <f t="shared" si="281"/>
        <v>11.08</v>
      </c>
      <c r="O520" s="74">
        <f t="shared" si="282"/>
        <v>12.56</v>
      </c>
      <c r="P520" s="74">
        <f t="shared" si="283"/>
        <v>14.04</v>
      </c>
      <c r="Q520" s="74">
        <f t="shared" si="284"/>
        <v>15.52</v>
      </c>
      <c r="R520" s="114">
        <v>17</v>
      </c>
      <c r="S520" s="129"/>
      <c r="T520" s="117">
        <f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16.857338461538461</v>
      </c>
      <c r="U520" s="117"/>
      <c r="V520" s="129"/>
      <c r="W520" s="114"/>
    </row>
    <row r="521" spans="2:23">
      <c r="B521" s="114">
        <v>34</v>
      </c>
      <c r="C521" s="74">
        <f t="shared" si="274"/>
        <v>31.5</v>
      </c>
      <c r="D521" s="74">
        <f t="shared" si="275"/>
        <v>29</v>
      </c>
      <c r="E521" s="74">
        <f t="shared" si="276"/>
        <v>26.5</v>
      </c>
      <c r="F521" s="114">
        <v>24</v>
      </c>
      <c r="G521" s="74">
        <f t="shared" si="277"/>
        <v>21.5</v>
      </c>
      <c r="H521" s="74">
        <f t="shared" si="278"/>
        <v>19</v>
      </c>
      <c r="I521" s="74">
        <f t="shared" si="279"/>
        <v>16.5</v>
      </c>
      <c r="J521" s="114">
        <f t="shared" si="280"/>
        <v>14</v>
      </c>
      <c r="K521" s="74">
        <f t="shared" si="268"/>
        <v>12.001999999999999</v>
      </c>
      <c r="L521" s="74">
        <f t="shared" si="267"/>
        <v>10.004</v>
      </c>
      <c r="M521" s="114">
        <f t="shared" si="273"/>
        <v>8</v>
      </c>
      <c r="N521" s="115">
        <f t="shared" si="281"/>
        <v>9.8000000000000007</v>
      </c>
      <c r="O521" s="74">
        <f t="shared" si="282"/>
        <v>11.6</v>
      </c>
      <c r="P521" s="74">
        <f t="shared" si="283"/>
        <v>13.399999999999999</v>
      </c>
      <c r="Q521" s="74">
        <f t="shared" si="284"/>
        <v>15.2</v>
      </c>
      <c r="R521" s="114">
        <v>17</v>
      </c>
      <c r="S521" s="129"/>
      <c r="T521" s="117">
        <f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16.751738461538462</v>
      </c>
      <c r="U521" s="117"/>
      <c r="V521" s="129"/>
      <c r="W521" s="114"/>
    </row>
    <row r="522" spans="2:23">
      <c r="B522" s="114">
        <v>35</v>
      </c>
      <c r="C522" s="74">
        <f t="shared" si="274"/>
        <v>32.25</v>
      </c>
      <c r="D522" s="74">
        <f t="shared" si="275"/>
        <v>29.5</v>
      </c>
      <c r="E522" s="74">
        <f t="shared" si="276"/>
        <v>26.75</v>
      </c>
      <c r="F522" s="114">
        <v>24</v>
      </c>
      <c r="G522" s="74">
        <f t="shared" si="277"/>
        <v>21.25</v>
      </c>
      <c r="H522" s="74">
        <f t="shared" si="278"/>
        <v>18.5</v>
      </c>
      <c r="I522" s="74">
        <f t="shared" si="279"/>
        <v>15.75</v>
      </c>
      <c r="J522" s="114">
        <f t="shared" si="280"/>
        <v>13</v>
      </c>
      <c r="K522" s="74">
        <f t="shared" si="268"/>
        <v>10.802199999999999</v>
      </c>
      <c r="L522" s="74">
        <f t="shared" si="267"/>
        <v>8.6044</v>
      </c>
      <c r="M522" s="114">
        <f t="shared" si="273"/>
        <v>6.4</v>
      </c>
      <c r="N522" s="115">
        <f t="shared" si="281"/>
        <v>8.52</v>
      </c>
      <c r="O522" s="74">
        <f t="shared" si="282"/>
        <v>10.64</v>
      </c>
      <c r="P522" s="74">
        <f t="shared" si="283"/>
        <v>12.76</v>
      </c>
      <c r="Q522" s="74">
        <f t="shared" si="284"/>
        <v>14.88</v>
      </c>
      <c r="R522" s="114">
        <v>17</v>
      </c>
      <c r="S522" s="129"/>
      <c r="T522" s="117">
        <f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16.448138461538463</v>
      </c>
      <c r="U522" s="117"/>
      <c r="V522" s="129"/>
      <c r="W522" s="114"/>
    </row>
    <row r="523" spans="2:23">
      <c r="B523" s="114">
        <v>36</v>
      </c>
      <c r="C523" s="74">
        <f t="shared" si="274"/>
        <v>33</v>
      </c>
      <c r="D523" s="74">
        <f t="shared" si="275"/>
        <v>30</v>
      </c>
      <c r="E523" s="74">
        <f t="shared" si="276"/>
        <v>27</v>
      </c>
      <c r="F523" s="114">
        <v>24</v>
      </c>
      <c r="G523" s="74">
        <f t="shared" si="277"/>
        <v>21</v>
      </c>
      <c r="H523" s="74">
        <f t="shared" si="278"/>
        <v>18</v>
      </c>
      <c r="I523" s="74">
        <f t="shared" si="279"/>
        <v>15</v>
      </c>
      <c r="J523" s="114">
        <f t="shared" si="280"/>
        <v>12</v>
      </c>
      <c r="K523" s="74">
        <f t="shared" si="268"/>
        <v>9.6023999999999994</v>
      </c>
      <c r="L523" s="74">
        <f t="shared" si="267"/>
        <v>7.2048000000000005</v>
      </c>
      <c r="M523" s="114">
        <f t="shared" si="273"/>
        <v>4.8000000000000007</v>
      </c>
      <c r="N523" s="115">
        <f t="shared" si="281"/>
        <v>7.24</v>
      </c>
      <c r="O523" s="74">
        <f t="shared" si="282"/>
        <v>9.68</v>
      </c>
      <c r="P523" s="74">
        <f t="shared" si="283"/>
        <v>12.120000000000001</v>
      </c>
      <c r="Q523" s="74">
        <f t="shared" si="284"/>
        <v>14.56</v>
      </c>
      <c r="R523" s="114">
        <v>17</v>
      </c>
      <c r="S523" s="129"/>
      <c r="T523" s="117">
        <f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16.043338461538461</v>
      </c>
      <c r="U523" s="117"/>
      <c r="V523" s="129"/>
      <c r="W523" s="114"/>
    </row>
    <row r="524" spans="2:23">
      <c r="B524" s="114">
        <v>37</v>
      </c>
      <c r="C524" s="74">
        <f t="shared" si="274"/>
        <v>33.75</v>
      </c>
      <c r="D524" s="74">
        <f t="shared" si="275"/>
        <v>30.5</v>
      </c>
      <c r="E524" s="74">
        <f t="shared" si="276"/>
        <v>27.25</v>
      </c>
      <c r="F524" s="114">
        <v>24</v>
      </c>
      <c r="G524" s="74">
        <f t="shared" si="277"/>
        <v>20.75</v>
      </c>
      <c r="H524" s="74">
        <f t="shared" si="278"/>
        <v>17.5</v>
      </c>
      <c r="I524" s="74">
        <f t="shared" si="279"/>
        <v>14.25</v>
      </c>
      <c r="J524" s="114">
        <f t="shared" si="280"/>
        <v>11</v>
      </c>
      <c r="K524" s="74">
        <f t="shared" si="268"/>
        <v>8.4025999999999996</v>
      </c>
      <c r="L524" s="74">
        <f t="shared" si="267"/>
        <v>5.8052000000000001</v>
      </c>
      <c r="M524" s="114">
        <f t="shared" si="273"/>
        <v>3.2</v>
      </c>
      <c r="N524" s="115">
        <f t="shared" si="281"/>
        <v>5.9600000000000009</v>
      </c>
      <c r="O524" s="74">
        <f t="shared" si="282"/>
        <v>8.7200000000000006</v>
      </c>
      <c r="P524" s="74">
        <f t="shared" si="283"/>
        <v>11.48</v>
      </c>
      <c r="Q524" s="74">
        <f t="shared" si="284"/>
        <v>14.240000000000002</v>
      </c>
      <c r="R524" s="114">
        <v>17</v>
      </c>
      <c r="S524" s="129"/>
      <c r="T524" s="131">
        <f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15.88650989010989</v>
      </c>
      <c r="U524" s="131"/>
      <c r="V524" s="129"/>
      <c r="W524" s="114"/>
    </row>
    <row r="525" spans="2:23">
      <c r="B525" s="114">
        <v>38</v>
      </c>
      <c r="C525" s="74">
        <f t="shared" si="274"/>
        <v>34.5</v>
      </c>
      <c r="D525" s="74">
        <f t="shared" si="275"/>
        <v>31</v>
      </c>
      <c r="E525" s="74">
        <f t="shared" si="276"/>
        <v>27.5</v>
      </c>
      <c r="F525" s="114">
        <v>24</v>
      </c>
      <c r="G525" s="74">
        <f t="shared" si="277"/>
        <v>20.5</v>
      </c>
      <c r="H525" s="74">
        <f t="shared" si="278"/>
        <v>17</v>
      </c>
      <c r="I525" s="74">
        <f t="shared" si="279"/>
        <v>13.5</v>
      </c>
      <c r="J525" s="114">
        <f t="shared" si="280"/>
        <v>10</v>
      </c>
      <c r="K525" s="74">
        <f t="shared" si="268"/>
        <v>7.2027999999999999</v>
      </c>
      <c r="L525" s="74">
        <f t="shared" si="267"/>
        <v>4.4056000000000006</v>
      </c>
      <c r="M525" s="114">
        <f t="shared" si="273"/>
        <v>1.6000000000000005</v>
      </c>
      <c r="N525" s="115">
        <f t="shared" si="281"/>
        <v>4.6800000000000006</v>
      </c>
      <c r="O525" s="74">
        <f t="shared" si="282"/>
        <v>7.7600000000000007</v>
      </c>
      <c r="P525" s="74">
        <f t="shared" si="283"/>
        <v>10.84</v>
      </c>
      <c r="Q525" s="74">
        <f t="shared" si="284"/>
        <v>13.920000000000002</v>
      </c>
      <c r="R525" s="114">
        <v>17</v>
      </c>
      <c r="S525" s="129"/>
      <c r="T525" s="131">
        <f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15.756395604395605</v>
      </c>
      <c r="U525" s="131"/>
      <c r="V525" s="129"/>
      <c r="W525" s="114"/>
    </row>
    <row r="526" spans="2:23">
      <c r="B526" s="114"/>
      <c r="C526" s="74"/>
      <c r="D526" s="74"/>
      <c r="E526" s="74"/>
      <c r="F526" s="114"/>
      <c r="G526" s="74"/>
      <c r="H526" s="74"/>
      <c r="I526" s="74"/>
      <c r="J526" s="114"/>
      <c r="K526" s="74"/>
      <c r="L526" s="74"/>
      <c r="M526" s="114"/>
      <c r="N526" s="115"/>
      <c r="O526" s="74"/>
      <c r="P526" s="74"/>
      <c r="Q526" s="74"/>
      <c r="R526" s="114"/>
      <c r="S526" s="129"/>
      <c r="T526" s="117"/>
      <c r="U526" s="117"/>
      <c r="V526" s="129"/>
      <c r="W526" s="114"/>
    </row>
    <row r="527" spans="2:23">
      <c r="B527" s="114">
        <v>28</v>
      </c>
      <c r="C527" s="74">
        <f t="shared" si="274"/>
        <v>27.25</v>
      </c>
      <c r="D527" s="74">
        <f t="shared" si="275"/>
        <v>26.5</v>
      </c>
      <c r="E527" s="74">
        <f t="shared" si="276"/>
        <v>25.75</v>
      </c>
      <c r="F527" s="114">
        <v>25</v>
      </c>
      <c r="G527" s="74">
        <f t="shared" si="277"/>
        <v>24.25</v>
      </c>
      <c r="H527" s="74">
        <f t="shared" si="278"/>
        <v>23.5</v>
      </c>
      <c r="I527" s="74">
        <f t="shared" si="279"/>
        <v>22.75</v>
      </c>
      <c r="J527" s="114">
        <f t="shared" si="280"/>
        <v>22</v>
      </c>
      <c r="K527" s="74">
        <f t="shared" si="268"/>
        <v>21.400600000000001</v>
      </c>
      <c r="L527" s="74">
        <f t="shared" si="267"/>
        <v>20.801199999999998</v>
      </c>
      <c r="M527" s="114">
        <f t="shared" si="273"/>
        <v>20.2</v>
      </c>
      <c r="N527" s="115">
        <f t="shared" ref="N527:N538" si="285">SUM(0.2*(R527-M527),M527)</f>
        <v>19.559999999999999</v>
      </c>
      <c r="O527" s="74">
        <f t="shared" ref="O527:O538" si="286">SUM(0.4*(R527-M527),M527)</f>
        <v>18.919999999999998</v>
      </c>
      <c r="P527" s="74">
        <f t="shared" ref="P527:P538" si="287">SUM(0.6*(R527-M527),M527)</f>
        <v>18.28</v>
      </c>
      <c r="Q527" s="74">
        <f t="shared" ref="Q527:Q538" si="288">SUM(0.8*(R527-M527),M527)</f>
        <v>17.64</v>
      </c>
      <c r="R527" s="114">
        <v>17</v>
      </c>
      <c r="S527" s="129"/>
      <c r="T527" s="117">
        <f>SUM((AZ20+BC18+BF16+BI14+BL12+BO10+BP9+BQ8+BR7+BS6+BT5)*0.132,(BA19+BB19+BD17+BE17+BG15+BH15+BJ13+BK13+BM11+BN11+BU4+BV4)*0.132/2,17)</f>
        <v>16.991538461538461</v>
      </c>
      <c r="U527" s="117"/>
      <c r="V527" s="129"/>
      <c r="W527" s="114"/>
    </row>
    <row r="528" spans="2:23">
      <c r="B528" s="114">
        <v>29</v>
      </c>
      <c r="C528" s="74">
        <f t="shared" si="274"/>
        <v>28</v>
      </c>
      <c r="D528" s="74">
        <f t="shared" si="275"/>
        <v>27</v>
      </c>
      <c r="E528" s="74">
        <f t="shared" si="276"/>
        <v>26</v>
      </c>
      <c r="F528" s="114">
        <v>25</v>
      </c>
      <c r="G528" s="74">
        <f t="shared" si="277"/>
        <v>24</v>
      </c>
      <c r="H528" s="74">
        <f t="shared" si="278"/>
        <v>23</v>
      </c>
      <c r="I528" s="74">
        <f t="shared" si="279"/>
        <v>22</v>
      </c>
      <c r="J528" s="114">
        <f t="shared" si="280"/>
        <v>21</v>
      </c>
      <c r="K528" s="74">
        <f t="shared" si="268"/>
        <v>20.200800000000001</v>
      </c>
      <c r="L528" s="74">
        <f t="shared" si="267"/>
        <v>19.401600000000002</v>
      </c>
      <c r="M528" s="114">
        <f t="shared" si="273"/>
        <v>18.600000000000001</v>
      </c>
      <c r="N528" s="115">
        <f t="shared" si="285"/>
        <v>18.28</v>
      </c>
      <c r="O528" s="74">
        <f t="shared" si="286"/>
        <v>17.96</v>
      </c>
      <c r="P528" s="74">
        <f t="shared" si="287"/>
        <v>17.64</v>
      </c>
      <c r="Q528" s="74">
        <f t="shared" si="288"/>
        <v>17.32</v>
      </c>
      <c r="R528" s="114">
        <v>17</v>
      </c>
      <c r="S528" s="129"/>
      <c r="T528" s="117">
        <f>SUM((AY19+AZ19+BA18+BB18+BC17+BD17+BE16+BF16+BG15+BH15+BI14+BJ14+BK13+BL13+BM12+BN12+BO11+BP11+BQ10+BR10)*0.132/2,(AX20+BS9+BT8+BT7+BU6+BU5+BV4)*0.132,17)</f>
        <v>16.595538461538464</v>
      </c>
      <c r="U528" s="117"/>
      <c r="V528" s="129"/>
      <c r="W528" s="114"/>
    </row>
    <row r="529" spans="2:23">
      <c r="B529" s="114">
        <v>30</v>
      </c>
      <c r="C529" s="74">
        <f t="shared" si="274"/>
        <v>28.75</v>
      </c>
      <c r="D529" s="74">
        <f t="shared" si="275"/>
        <v>27.5</v>
      </c>
      <c r="E529" s="74">
        <f t="shared" si="276"/>
        <v>26.25</v>
      </c>
      <c r="F529" s="114">
        <v>25</v>
      </c>
      <c r="G529" s="74">
        <f t="shared" si="277"/>
        <v>23.75</v>
      </c>
      <c r="H529" s="74">
        <f t="shared" si="278"/>
        <v>22.5</v>
      </c>
      <c r="I529" s="74">
        <f t="shared" si="279"/>
        <v>21.25</v>
      </c>
      <c r="J529" s="114">
        <f t="shared" si="280"/>
        <v>20</v>
      </c>
      <c r="K529" s="74">
        <f t="shared" si="268"/>
        <v>19.001000000000001</v>
      </c>
      <c r="L529" s="74">
        <f t="shared" si="267"/>
        <v>18.001999999999999</v>
      </c>
      <c r="M529" s="114">
        <f t="shared" si="273"/>
        <v>17</v>
      </c>
      <c r="N529" s="115">
        <f t="shared" si="285"/>
        <v>17</v>
      </c>
      <c r="O529" s="74">
        <f t="shared" si="286"/>
        <v>17</v>
      </c>
      <c r="P529" s="74">
        <f t="shared" si="287"/>
        <v>17</v>
      </c>
      <c r="Q529" s="74">
        <f t="shared" si="288"/>
        <v>17</v>
      </c>
      <c r="R529" s="114">
        <v>17</v>
      </c>
      <c r="S529" s="129"/>
      <c r="T529" s="117">
        <f>SUM((AV20+AW20+AX19+AY19+BC17+BD17+BE16+BF16+BJ14+BK14+BO12+BP12+BQ11+BR11+BS10+BT10+BU9+BV9)*0.132/2,(AZ18+BA18+BB18+BG15+BH15+BI15+BL13+BM13+BN13)*0.132/3,(BV8+BV7+BV6+BV5+BV4)*0.132,17)</f>
        <v>16.595538461538464</v>
      </c>
      <c r="U529" s="117"/>
      <c r="V529" s="129"/>
      <c r="W529" s="114"/>
    </row>
    <row r="530" spans="2:23">
      <c r="B530" s="114">
        <v>31</v>
      </c>
      <c r="C530" s="74">
        <f t="shared" si="274"/>
        <v>29.5</v>
      </c>
      <c r="D530" s="74">
        <f t="shared" si="275"/>
        <v>28</v>
      </c>
      <c r="E530" s="74">
        <f t="shared" si="276"/>
        <v>26.5</v>
      </c>
      <c r="F530" s="114">
        <v>25</v>
      </c>
      <c r="G530" s="74">
        <f t="shared" si="277"/>
        <v>23.5</v>
      </c>
      <c r="H530" s="74">
        <f t="shared" si="278"/>
        <v>22</v>
      </c>
      <c r="I530" s="74">
        <f t="shared" si="279"/>
        <v>20.5</v>
      </c>
      <c r="J530" s="114">
        <f t="shared" si="280"/>
        <v>19</v>
      </c>
      <c r="K530" s="74">
        <f t="shared" si="268"/>
        <v>17.801200000000001</v>
      </c>
      <c r="L530" s="74">
        <f t="shared" si="267"/>
        <v>16.602399999999999</v>
      </c>
      <c r="M530" s="114">
        <f t="shared" si="273"/>
        <v>15.4</v>
      </c>
      <c r="N530" s="115">
        <f t="shared" si="285"/>
        <v>15.72</v>
      </c>
      <c r="O530" s="74">
        <f t="shared" si="286"/>
        <v>16.04</v>
      </c>
      <c r="P530" s="74">
        <f t="shared" si="287"/>
        <v>16.36</v>
      </c>
      <c r="Q530" s="74">
        <f t="shared" si="288"/>
        <v>16.68</v>
      </c>
      <c r="R530" s="114">
        <v>17</v>
      </c>
      <c r="S530" s="129"/>
      <c r="T530" s="117">
        <f>SUM((AT20+AU20+AY18+AZ18)*0.132/2,(AV19+AW19+AX19+BA17+BB17+BC17+BD16+BE16+BF16+BG15+BH15+BI15+BJ14+BK14+BL14+BM13+BN13+BO13+BP12+BQ12+BR12+BS11+BT11+BU11)*0.132/3,(BV10+BW10+BX9+BY9)*0.132/2,(BX8+BX7+BW6+BW5+BV4)*0.132,17)</f>
        <v>16.59553846153846</v>
      </c>
      <c r="U530" s="117"/>
      <c r="V530" s="129"/>
      <c r="W530" s="114"/>
    </row>
    <row r="531" spans="2:23">
      <c r="B531" s="114">
        <v>32</v>
      </c>
      <c r="C531" s="74">
        <f t="shared" si="274"/>
        <v>30.25</v>
      </c>
      <c r="D531" s="74">
        <f t="shared" si="275"/>
        <v>28.5</v>
      </c>
      <c r="E531" s="74">
        <f t="shared" si="276"/>
        <v>26.75</v>
      </c>
      <c r="F531" s="114">
        <v>25</v>
      </c>
      <c r="G531" s="74">
        <f t="shared" si="277"/>
        <v>23.25</v>
      </c>
      <c r="H531" s="74">
        <f t="shared" si="278"/>
        <v>21.5</v>
      </c>
      <c r="I531" s="74">
        <f t="shared" si="279"/>
        <v>19.75</v>
      </c>
      <c r="J531" s="114">
        <f t="shared" si="280"/>
        <v>18</v>
      </c>
      <c r="K531" s="74">
        <f t="shared" si="268"/>
        <v>16.601400000000002</v>
      </c>
      <c r="L531" s="74">
        <f t="shared" si="267"/>
        <v>15.2028</v>
      </c>
      <c r="M531" s="114">
        <f t="shared" si="273"/>
        <v>13.8</v>
      </c>
      <c r="N531" s="115">
        <f t="shared" si="285"/>
        <v>14.440000000000001</v>
      </c>
      <c r="O531" s="74">
        <f t="shared" si="286"/>
        <v>15.08</v>
      </c>
      <c r="P531" s="74">
        <f t="shared" si="287"/>
        <v>15.72</v>
      </c>
      <c r="Q531" s="74">
        <f t="shared" si="288"/>
        <v>16.36</v>
      </c>
      <c r="R531" s="114">
        <v>17</v>
      </c>
      <c r="S531" s="129"/>
      <c r="T531" s="117">
        <f>SUM((AR20+AS20+AT20+AU19+AV19+AW19+AX18+AY18+AZ18+BA17+BB17+BC17+BD16+BE16+BF16+BK14+BL14+BM14+BR12+BS12+BT12+BU11+BV11+BW11+BX10+BY10+BZ10)*0.132/3,(BG15+BH15+BI15+BJ15+BN13+BO13+BP13+BQ13)*0.132/4,(CA9+CB9+CA8+BZ8)*0.132/2,(BY7+BX6+BW5+BV4)*0.132,17)</f>
        <v>16.397538461538463</v>
      </c>
      <c r="U531" s="117"/>
      <c r="V531" s="129"/>
      <c r="W531" s="114"/>
    </row>
    <row r="532" spans="2:23">
      <c r="B532" s="114">
        <v>33</v>
      </c>
      <c r="C532" s="74">
        <f t="shared" si="274"/>
        <v>31</v>
      </c>
      <c r="D532" s="74">
        <f t="shared" si="275"/>
        <v>29</v>
      </c>
      <c r="E532" s="74">
        <f t="shared" si="276"/>
        <v>27</v>
      </c>
      <c r="F532" s="114">
        <v>25</v>
      </c>
      <c r="G532" s="74">
        <f t="shared" si="277"/>
        <v>23</v>
      </c>
      <c r="H532" s="74">
        <f t="shared" si="278"/>
        <v>21</v>
      </c>
      <c r="I532" s="74">
        <f t="shared" si="279"/>
        <v>19</v>
      </c>
      <c r="J532" s="114">
        <f t="shared" si="280"/>
        <v>17</v>
      </c>
      <c r="K532" s="74">
        <f t="shared" si="268"/>
        <v>15.4016</v>
      </c>
      <c r="L532" s="74">
        <f t="shared" si="267"/>
        <v>13.8032</v>
      </c>
      <c r="M532" s="114">
        <f t="shared" si="273"/>
        <v>12.2</v>
      </c>
      <c r="N532" s="115">
        <f t="shared" si="285"/>
        <v>13.16</v>
      </c>
      <c r="O532" s="74">
        <f t="shared" si="286"/>
        <v>14.12</v>
      </c>
      <c r="P532" s="74">
        <f t="shared" si="287"/>
        <v>15.08</v>
      </c>
      <c r="Q532" s="74">
        <f t="shared" si="288"/>
        <v>16.04</v>
      </c>
      <c r="R532" s="114">
        <v>17</v>
      </c>
      <c r="S532" s="129"/>
      <c r="T532" s="117">
        <f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16.749538461538464</v>
      </c>
      <c r="U532" s="117"/>
      <c r="V532" s="129"/>
      <c r="W532" s="114"/>
    </row>
    <row r="533" spans="2:23">
      <c r="B533" s="114">
        <v>34</v>
      </c>
      <c r="C533" s="74">
        <f t="shared" si="274"/>
        <v>31.75</v>
      </c>
      <c r="D533" s="74">
        <f t="shared" si="275"/>
        <v>29.5</v>
      </c>
      <c r="E533" s="74">
        <f t="shared" si="276"/>
        <v>27.25</v>
      </c>
      <c r="F533" s="114">
        <v>25</v>
      </c>
      <c r="G533" s="74">
        <f t="shared" si="277"/>
        <v>22.75</v>
      </c>
      <c r="H533" s="74">
        <f t="shared" si="278"/>
        <v>20.5</v>
      </c>
      <c r="I533" s="74">
        <f t="shared" si="279"/>
        <v>18.25</v>
      </c>
      <c r="J533" s="114">
        <f t="shared" si="280"/>
        <v>16</v>
      </c>
      <c r="K533" s="74">
        <f t="shared" si="268"/>
        <v>14.2018</v>
      </c>
      <c r="L533" s="74">
        <f t="shared" si="267"/>
        <v>12.403599999999999</v>
      </c>
      <c r="M533" s="114">
        <f t="shared" si="273"/>
        <v>10.6</v>
      </c>
      <c r="N533" s="115">
        <f t="shared" si="285"/>
        <v>11.879999999999999</v>
      </c>
      <c r="O533" s="74">
        <f t="shared" si="286"/>
        <v>13.16</v>
      </c>
      <c r="P533" s="74">
        <f t="shared" si="287"/>
        <v>14.44</v>
      </c>
      <c r="Q533" s="74">
        <f t="shared" si="288"/>
        <v>15.72</v>
      </c>
      <c r="R533" s="114">
        <v>17</v>
      </c>
      <c r="S533" s="129"/>
      <c r="T533" s="117">
        <f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16.417338461538463</v>
      </c>
      <c r="U533" s="117"/>
      <c r="V533" s="129"/>
      <c r="W533" s="114"/>
    </row>
    <row r="534" spans="2:23">
      <c r="B534" s="114">
        <v>35</v>
      </c>
      <c r="C534" s="74">
        <f t="shared" si="274"/>
        <v>32.5</v>
      </c>
      <c r="D534" s="74">
        <f t="shared" si="275"/>
        <v>30</v>
      </c>
      <c r="E534" s="74">
        <f t="shared" si="276"/>
        <v>27.5</v>
      </c>
      <c r="F534" s="114">
        <v>25</v>
      </c>
      <c r="G534" s="74">
        <f t="shared" si="277"/>
        <v>22.5</v>
      </c>
      <c r="H534" s="74">
        <f t="shared" si="278"/>
        <v>20</v>
      </c>
      <c r="I534" s="74">
        <f t="shared" si="279"/>
        <v>17.5</v>
      </c>
      <c r="J534" s="114">
        <f t="shared" si="280"/>
        <v>15</v>
      </c>
      <c r="K534" s="74">
        <f t="shared" si="268"/>
        <v>13.001999999999999</v>
      </c>
      <c r="L534" s="74">
        <f t="shared" si="267"/>
        <v>11.004</v>
      </c>
      <c r="M534" s="114">
        <f t="shared" si="273"/>
        <v>9</v>
      </c>
      <c r="N534" s="115">
        <f t="shared" si="285"/>
        <v>10.6</v>
      </c>
      <c r="O534" s="74">
        <f t="shared" si="286"/>
        <v>12.2</v>
      </c>
      <c r="P534" s="74">
        <f t="shared" si="287"/>
        <v>13.8</v>
      </c>
      <c r="Q534" s="74">
        <f t="shared" si="288"/>
        <v>15.4</v>
      </c>
      <c r="R534" s="114">
        <v>17</v>
      </c>
      <c r="S534" s="129"/>
      <c r="T534" s="117">
        <f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16.507538461538463</v>
      </c>
      <c r="U534" s="117"/>
      <c r="V534" s="129"/>
      <c r="W534" s="114"/>
    </row>
    <row r="535" spans="2:23">
      <c r="B535" s="114">
        <v>36</v>
      </c>
      <c r="C535" s="74">
        <f t="shared" si="274"/>
        <v>33.25</v>
      </c>
      <c r="D535" s="74">
        <f t="shared" si="275"/>
        <v>30.5</v>
      </c>
      <c r="E535" s="74">
        <f t="shared" si="276"/>
        <v>27.75</v>
      </c>
      <c r="F535" s="114">
        <v>25</v>
      </c>
      <c r="G535" s="74">
        <f t="shared" si="277"/>
        <v>22.25</v>
      </c>
      <c r="H535" s="74">
        <f t="shared" si="278"/>
        <v>19.5</v>
      </c>
      <c r="I535" s="74">
        <f t="shared" si="279"/>
        <v>16.75</v>
      </c>
      <c r="J535" s="114">
        <f t="shared" si="280"/>
        <v>14</v>
      </c>
      <c r="K535" s="74">
        <f t="shared" si="268"/>
        <v>11.802199999999999</v>
      </c>
      <c r="L535" s="74">
        <f t="shared" si="267"/>
        <v>9.6044</v>
      </c>
      <c r="M535" s="114">
        <f t="shared" si="273"/>
        <v>7.4</v>
      </c>
      <c r="N535" s="115">
        <f t="shared" si="285"/>
        <v>9.32</v>
      </c>
      <c r="O535" s="74">
        <f t="shared" si="286"/>
        <v>11.24</v>
      </c>
      <c r="P535" s="74">
        <f t="shared" si="287"/>
        <v>13.16</v>
      </c>
      <c r="Q535" s="74">
        <f t="shared" si="288"/>
        <v>15.08</v>
      </c>
      <c r="R535" s="114">
        <v>17</v>
      </c>
      <c r="S535" s="129"/>
      <c r="T535" s="117">
        <f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16.274338461538463</v>
      </c>
      <c r="U535" s="117"/>
      <c r="V535" s="129"/>
      <c r="W535" s="114"/>
    </row>
    <row r="536" spans="2:23">
      <c r="B536" s="114">
        <v>37</v>
      </c>
      <c r="C536" s="74">
        <f t="shared" si="274"/>
        <v>34</v>
      </c>
      <c r="D536" s="74">
        <f t="shared" si="275"/>
        <v>31</v>
      </c>
      <c r="E536" s="74">
        <f t="shared" si="276"/>
        <v>28</v>
      </c>
      <c r="F536" s="114">
        <v>25</v>
      </c>
      <c r="G536" s="74">
        <f t="shared" si="277"/>
        <v>22</v>
      </c>
      <c r="H536" s="74">
        <f t="shared" si="278"/>
        <v>19</v>
      </c>
      <c r="I536" s="74">
        <f t="shared" si="279"/>
        <v>16</v>
      </c>
      <c r="J536" s="114">
        <f t="shared" si="280"/>
        <v>13</v>
      </c>
      <c r="K536" s="74">
        <f t="shared" si="268"/>
        <v>10.602399999999999</v>
      </c>
      <c r="L536" s="74">
        <f t="shared" si="267"/>
        <v>8.2048000000000005</v>
      </c>
      <c r="M536" s="114">
        <f t="shared" si="273"/>
        <v>5.8000000000000007</v>
      </c>
      <c r="N536" s="115">
        <f t="shared" si="285"/>
        <v>8.0400000000000009</v>
      </c>
      <c r="O536" s="74">
        <f t="shared" si="286"/>
        <v>10.280000000000001</v>
      </c>
      <c r="P536" s="74">
        <f t="shared" si="287"/>
        <v>12.52</v>
      </c>
      <c r="Q536" s="74">
        <f t="shared" si="288"/>
        <v>14.76</v>
      </c>
      <c r="R536" s="114">
        <v>17</v>
      </c>
      <c r="S536" s="129"/>
      <c r="T536" s="117">
        <f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16.071938461538462</v>
      </c>
      <c r="U536" s="117"/>
      <c r="V536" s="129"/>
      <c r="W536" s="114"/>
    </row>
    <row r="537" spans="2:23">
      <c r="B537" s="114">
        <v>38</v>
      </c>
      <c r="C537" s="74">
        <f t="shared" si="274"/>
        <v>34.75</v>
      </c>
      <c r="D537" s="74">
        <f t="shared" si="275"/>
        <v>31.5</v>
      </c>
      <c r="E537" s="74">
        <f t="shared" si="276"/>
        <v>28.25</v>
      </c>
      <c r="F537" s="114">
        <v>25</v>
      </c>
      <c r="G537" s="74">
        <f t="shared" si="277"/>
        <v>21.75</v>
      </c>
      <c r="H537" s="74">
        <f t="shared" si="278"/>
        <v>18.5</v>
      </c>
      <c r="I537" s="74">
        <f t="shared" si="279"/>
        <v>15.25</v>
      </c>
      <c r="J537" s="114">
        <f t="shared" si="280"/>
        <v>12</v>
      </c>
      <c r="K537" s="74">
        <f t="shared" si="268"/>
        <v>9.4025999999999996</v>
      </c>
      <c r="L537" s="74">
        <f t="shared" si="267"/>
        <v>6.8052000000000001</v>
      </c>
      <c r="M537" s="114">
        <f t="shared" si="273"/>
        <v>4.2</v>
      </c>
      <c r="N537" s="115">
        <f t="shared" si="285"/>
        <v>6.7600000000000007</v>
      </c>
      <c r="O537" s="74">
        <f t="shared" si="286"/>
        <v>9.32</v>
      </c>
      <c r="P537" s="74">
        <f t="shared" si="287"/>
        <v>11.879999999999999</v>
      </c>
      <c r="Q537" s="74">
        <f t="shared" si="288"/>
        <v>14.440000000000001</v>
      </c>
      <c r="R537" s="114">
        <v>17</v>
      </c>
      <c r="S537" s="129"/>
      <c r="T537" s="126">
        <f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15.69730989010989</v>
      </c>
      <c r="U537" s="126"/>
      <c r="V537" s="129"/>
      <c r="W537" s="114"/>
    </row>
    <row r="538" spans="2:23">
      <c r="B538" s="114">
        <v>39</v>
      </c>
      <c r="C538" s="74">
        <f t="shared" si="274"/>
        <v>35.5</v>
      </c>
      <c r="D538" s="74">
        <f t="shared" si="275"/>
        <v>32</v>
      </c>
      <c r="E538" s="74">
        <f t="shared" si="276"/>
        <v>28.5</v>
      </c>
      <c r="F538" s="114">
        <v>25</v>
      </c>
      <c r="G538" s="74">
        <f t="shared" si="277"/>
        <v>21.5</v>
      </c>
      <c r="H538" s="74">
        <f t="shared" si="278"/>
        <v>18</v>
      </c>
      <c r="I538" s="74">
        <f t="shared" si="279"/>
        <v>14.5</v>
      </c>
      <c r="J538" s="114">
        <f t="shared" si="280"/>
        <v>11</v>
      </c>
      <c r="K538" s="74">
        <f t="shared" si="268"/>
        <v>8.2027999999999999</v>
      </c>
      <c r="L538" s="74">
        <f t="shared" si="267"/>
        <v>5.4056000000000006</v>
      </c>
      <c r="M538" s="114">
        <f t="shared" si="273"/>
        <v>2.6000000000000005</v>
      </c>
      <c r="N538" s="115">
        <f t="shared" si="285"/>
        <v>5.48</v>
      </c>
      <c r="O538" s="74">
        <f t="shared" si="286"/>
        <v>8.36</v>
      </c>
      <c r="P538" s="74">
        <f t="shared" si="287"/>
        <v>11.239999999999998</v>
      </c>
      <c r="Q538" s="74">
        <f t="shared" si="288"/>
        <v>14.120000000000001</v>
      </c>
      <c r="R538" s="114">
        <v>17</v>
      </c>
      <c r="S538" s="129"/>
      <c r="T538" s="131">
        <f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15.560281318681319</v>
      </c>
      <c r="U538" s="131"/>
      <c r="V538" s="129"/>
      <c r="W538" s="114"/>
    </row>
    <row r="539" spans="2:23">
      <c r="B539" s="114"/>
      <c r="C539" s="74"/>
      <c r="D539" s="74"/>
      <c r="E539" s="74"/>
      <c r="F539" s="114"/>
      <c r="G539" s="74"/>
      <c r="H539" s="74"/>
      <c r="I539" s="74"/>
      <c r="J539" s="114"/>
      <c r="K539" s="74"/>
      <c r="L539" s="74"/>
      <c r="M539" s="114"/>
      <c r="N539" s="115"/>
      <c r="O539" s="74"/>
      <c r="P539" s="74"/>
      <c r="Q539" s="74"/>
      <c r="R539" s="114"/>
      <c r="S539" s="129"/>
      <c r="T539" s="117"/>
      <c r="U539" s="117"/>
      <c r="V539" s="129"/>
      <c r="W539" s="114"/>
    </row>
    <row r="540" spans="2:23">
      <c r="B540" s="114">
        <v>29</v>
      </c>
      <c r="C540" s="74">
        <f t="shared" si="274"/>
        <v>28.25</v>
      </c>
      <c r="D540" s="74">
        <f t="shared" si="275"/>
        <v>27.5</v>
      </c>
      <c r="E540" s="74">
        <f t="shared" si="276"/>
        <v>26.75</v>
      </c>
      <c r="F540" s="114">
        <v>26</v>
      </c>
      <c r="G540" s="74">
        <f t="shared" si="277"/>
        <v>25.25</v>
      </c>
      <c r="H540" s="74">
        <f t="shared" si="278"/>
        <v>24.5</v>
      </c>
      <c r="I540" s="74">
        <f t="shared" si="279"/>
        <v>23.75</v>
      </c>
      <c r="J540" s="114">
        <f t="shared" si="280"/>
        <v>23</v>
      </c>
      <c r="K540" s="74">
        <f t="shared" si="268"/>
        <v>22.25075</v>
      </c>
      <c r="L540" s="74">
        <f t="shared" si="267"/>
        <v>21.5015</v>
      </c>
      <c r="M540" s="114">
        <f>SUM(J540,J540-G540)</f>
        <v>20.75</v>
      </c>
      <c r="N540" s="115">
        <f t="shared" ref="N540:N550" si="289">SUM(0.2*(R540-M540),M540)</f>
        <v>20</v>
      </c>
      <c r="O540" s="74">
        <f t="shared" ref="O540:O550" si="290">SUM(0.4*(R540-M540),M540)</f>
        <v>19.25</v>
      </c>
      <c r="P540" s="74">
        <f t="shared" ref="P540:P550" si="291">SUM(0.6*(R540-M540),M540)</f>
        <v>18.5</v>
      </c>
      <c r="Q540" s="74">
        <f t="shared" ref="Q540:Q550" si="292">SUM(0.8*(R540-M540),M540)</f>
        <v>17.75</v>
      </c>
      <c r="R540" s="114">
        <v>17</v>
      </c>
      <c r="S540" s="129"/>
      <c r="T540" s="117">
        <f>SUM((AX20+BA18+BD16+BG14+BJ12+BM10+BN9+BO8+BP7)*0.132,(AY19+AZ19+BB17+BC17+BE15+BF15+BH13+BI13+BK11+BL11+BQ6+BR6+BS5+BT5+BU4+BV4)*0.132/2,17)</f>
        <v>16.859538461538463</v>
      </c>
      <c r="U540" s="117"/>
      <c r="V540" s="129"/>
      <c r="W540" s="114"/>
    </row>
    <row r="541" spans="2:23">
      <c r="B541" s="114">
        <v>30</v>
      </c>
      <c r="C541" s="74">
        <f t="shared" si="274"/>
        <v>29</v>
      </c>
      <c r="D541" s="74">
        <f t="shared" si="275"/>
        <v>28</v>
      </c>
      <c r="E541" s="74">
        <f t="shared" si="276"/>
        <v>27</v>
      </c>
      <c r="F541" s="114">
        <v>26</v>
      </c>
      <c r="G541" s="74">
        <f t="shared" si="277"/>
        <v>25</v>
      </c>
      <c r="H541" s="74">
        <f t="shared" si="278"/>
        <v>24</v>
      </c>
      <c r="I541" s="74">
        <f t="shared" si="279"/>
        <v>23</v>
      </c>
      <c r="J541" s="114">
        <f t="shared" si="280"/>
        <v>22</v>
      </c>
      <c r="K541" s="74">
        <f t="shared" si="268"/>
        <v>21.200800000000001</v>
      </c>
      <c r="L541" s="74">
        <f t="shared" si="267"/>
        <v>20.401600000000002</v>
      </c>
      <c r="M541" s="114">
        <f t="shared" ref="M541:M569" si="293">SUM(J541,-F541,J541,0.4*ABS(J541-F541))</f>
        <v>19.600000000000001</v>
      </c>
      <c r="N541" s="115">
        <f t="shared" si="289"/>
        <v>19.080000000000002</v>
      </c>
      <c r="O541" s="74">
        <f t="shared" si="290"/>
        <v>18.560000000000002</v>
      </c>
      <c r="P541" s="74">
        <f t="shared" si="291"/>
        <v>18.04</v>
      </c>
      <c r="Q541" s="74">
        <f t="shared" si="292"/>
        <v>17.52</v>
      </c>
      <c r="R541" s="114">
        <v>17</v>
      </c>
      <c r="S541" s="129"/>
      <c r="T541" s="117">
        <f>SUM((AW19+AX19+AY18+AZ18+BA17+BB17+BC16+BD16+BE15+BF15+BG14+BH14+BI13+BJ13+BK12+BL12)*0.132/2,(AV20+BM11+BN10+BO9+BN8+BM7+BL6+BK5+BJ4)*0.132,17)</f>
        <v>17.057538461538464</v>
      </c>
      <c r="U541" s="117"/>
      <c r="V541" s="129"/>
      <c r="W541" s="114"/>
    </row>
    <row r="542" spans="2:23">
      <c r="B542" s="114">
        <v>31</v>
      </c>
      <c r="C542" s="74">
        <f t="shared" si="274"/>
        <v>29.75</v>
      </c>
      <c r="D542" s="74">
        <f t="shared" si="275"/>
        <v>28.5</v>
      </c>
      <c r="E542" s="74">
        <f t="shared" si="276"/>
        <v>27.25</v>
      </c>
      <c r="F542" s="114">
        <v>26</v>
      </c>
      <c r="G542" s="74">
        <f t="shared" si="277"/>
        <v>24.75</v>
      </c>
      <c r="H542" s="74">
        <f t="shared" si="278"/>
        <v>23.5</v>
      </c>
      <c r="I542" s="74">
        <f t="shared" si="279"/>
        <v>22.25</v>
      </c>
      <c r="J542" s="114">
        <f t="shared" si="280"/>
        <v>21</v>
      </c>
      <c r="K542" s="74">
        <f t="shared" si="268"/>
        <v>20.001000000000001</v>
      </c>
      <c r="L542" s="74">
        <f t="shared" si="267"/>
        <v>19.001999999999999</v>
      </c>
      <c r="M542" s="114">
        <f t="shared" si="293"/>
        <v>18</v>
      </c>
      <c r="N542" s="115">
        <f t="shared" si="289"/>
        <v>17.8</v>
      </c>
      <c r="O542" s="74">
        <f t="shared" si="290"/>
        <v>17.600000000000001</v>
      </c>
      <c r="P542" s="74">
        <f t="shared" si="291"/>
        <v>17.399999999999999</v>
      </c>
      <c r="Q542" s="74">
        <f t="shared" si="292"/>
        <v>17.2</v>
      </c>
      <c r="R542" s="114">
        <v>17</v>
      </c>
      <c r="S542" s="129"/>
      <c r="T542" s="117">
        <f>SUM((AT20+AU20+AV19+AW19+BA17+BB17+BC16+BD16+BH14+BI14+BM12+BN12+BO11+BP11+BQ10+BR10+BS9+BT9)*0.132/2,(AX18+AY18+AZ18+BE15+BF15+BG15+BJ13+BK13+BL13)*0.132/3,(BU8+BU7+BV6+BV5+BV4)*0.132,17)</f>
        <v>16.749538461538464</v>
      </c>
      <c r="U542" s="117"/>
      <c r="V542" s="129"/>
      <c r="W542" s="114"/>
    </row>
    <row r="543" spans="2:23">
      <c r="B543" s="114">
        <v>32</v>
      </c>
      <c r="C543" s="74">
        <f t="shared" si="274"/>
        <v>30.5</v>
      </c>
      <c r="D543" s="74">
        <f t="shared" si="275"/>
        <v>29</v>
      </c>
      <c r="E543" s="74">
        <f t="shared" si="276"/>
        <v>27.5</v>
      </c>
      <c r="F543" s="114">
        <v>26</v>
      </c>
      <c r="G543" s="74">
        <f t="shared" si="277"/>
        <v>24.5</v>
      </c>
      <c r="H543" s="74">
        <f t="shared" si="278"/>
        <v>23</v>
      </c>
      <c r="I543" s="74">
        <f t="shared" si="279"/>
        <v>21.5</v>
      </c>
      <c r="J543" s="114">
        <f t="shared" si="280"/>
        <v>20</v>
      </c>
      <c r="K543" s="74">
        <f t="shared" si="268"/>
        <v>18.801199999999998</v>
      </c>
      <c r="L543" s="74">
        <f t="shared" si="267"/>
        <v>17.602399999999999</v>
      </c>
      <c r="M543" s="114">
        <f t="shared" si="293"/>
        <v>16.399999999999999</v>
      </c>
      <c r="N543" s="115">
        <f t="shared" si="289"/>
        <v>16.52</v>
      </c>
      <c r="O543" s="74">
        <f t="shared" si="290"/>
        <v>16.64</v>
      </c>
      <c r="P543" s="74">
        <f t="shared" si="291"/>
        <v>16.759999999999998</v>
      </c>
      <c r="Q543" s="74">
        <f t="shared" si="292"/>
        <v>16.88</v>
      </c>
      <c r="R543" s="114">
        <v>17</v>
      </c>
      <c r="S543" s="129"/>
      <c r="T543" s="117">
        <f>SUM((AR20+AS20+AW18+AX18)*0.132/2,(AT19+AU19+AV19+AY17+AZ17+BA17+BB16+BC16+BD16+BE15+BF15+BG15+BH14+BI14+BJ14+BK13+BL13+BM13+BN12+BO12+BP12+BQ11+BR11+BS11)*0.132/3,(BT10+BU10+BV9+BW9)*0.132/2,(BW8+BW7+BV6+BV5+BV4)*0.132,17)</f>
        <v>16.375538461538461</v>
      </c>
      <c r="U543" s="117"/>
      <c r="V543" s="129"/>
      <c r="W543" s="114"/>
    </row>
    <row r="544" spans="2:23">
      <c r="B544" s="114">
        <v>33</v>
      </c>
      <c r="C544" s="74">
        <f t="shared" si="274"/>
        <v>31.25</v>
      </c>
      <c r="D544" s="74">
        <f t="shared" si="275"/>
        <v>29.5</v>
      </c>
      <c r="E544" s="74">
        <f t="shared" si="276"/>
        <v>27.75</v>
      </c>
      <c r="F544" s="114">
        <v>26</v>
      </c>
      <c r="G544" s="74">
        <f t="shared" si="277"/>
        <v>24.25</v>
      </c>
      <c r="H544" s="74">
        <f t="shared" si="278"/>
        <v>22.5</v>
      </c>
      <c r="I544" s="74">
        <f t="shared" si="279"/>
        <v>20.75</v>
      </c>
      <c r="J544" s="114">
        <f t="shared" si="280"/>
        <v>19</v>
      </c>
      <c r="K544" s="74">
        <f t="shared" si="268"/>
        <v>17.601400000000002</v>
      </c>
      <c r="L544" s="74">
        <f t="shared" si="267"/>
        <v>16.2028</v>
      </c>
      <c r="M544" s="114">
        <f t="shared" si="293"/>
        <v>14.8</v>
      </c>
      <c r="N544" s="115">
        <f t="shared" si="289"/>
        <v>15.24</v>
      </c>
      <c r="O544" s="74">
        <f t="shared" si="290"/>
        <v>15.68</v>
      </c>
      <c r="P544" s="74">
        <f t="shared" si="291"/>
        <v>16.12</v>
      </c>
      <c r="Q544" s="74">
        <f t="shared" si="292"/>
        <v>16.559999999999999</v>
      </c>
      <c r="R544" s="114">
        <v>17</v>
      </c>
      <c r="S544" s="129"/>
      <c r="T544" s="117">
        <f>SUM((AP20+AQ20+AR20+AS19+AT19+AU19+AV18+AW18+AX18+AY17+AZ17+BA17+BB16+BC16+BD16+BI14+BJ14+BK14+BP12+BQ12+BR12+BS11+BT11+BU11+BV10+BW10+BX10)*0.132/3,(BE15+BF15+BG15+BH15+BL13+BM13+BN13+BO13)*0.132/4,(BY9+BZ9)*0.132/2,(BY8+BX7+BW6+BV5+BV4)*0.132,17)</f>
        <v>16.639538461538461</v>
      </c>
      <c r="U544" s="117"/>
      <c r="V544" s="129"/>
      <c r="W544" s="114"/>
    </row>
    <row r="545" spans="2:23">
      <c r="B545" s="114">
        <v>34</v>
      </c>
      <c r="C545" s="74">
        <f t="shared" si="274"/>
        <v>32</v>
      </c>
      <c r="D545" s="74">
        <f t="shared" si="275"/>
        <v>30</v>
      </c>
      <c r="E545" s="74">
        <f t="shared" si="276"/>
        <v>28</v>
      </c>
      <c r="F545" s="114">
        <v>26</v>
      </c>
      <c r="G545" s="74">
        <f t="shared" si="277"/>
        <v>24</v>
      </c>
      <c r="H545" s="74">
        <f t="shared" si="278"/>
        <v>22</v>
      </c>
      <c r="I545" s="74">
        <f t="shared" si="279"/>
        <v>20</v>
      </c>
      <c r="J545" s="114">
        <f t="shared" si="280"/>
        <v>18</v>
      </c>
      <c r="K545" s="74">
        <f t="shared" si="268"/>
        <v>16.401599999999998</v>
      </c>
      <c r="L545" s="74">
        <f t="shared" si="267"/>
        <v>14.8032</v>
      </c>
      <c r="M545" s="114">
        <f t="shared" si="293"/>
        <v>13.2</v>
      </c>
      <c r="N545" s="115">
        <f t="shared" si="289"/>
        <v>13.959999999999999</v>
      </c>
      <c r="O545" s="74">
        <f t="shared" si="290"/>
        <v>14.719999999999999</v>
      </c>
      <c r="P545" s="74">
        <f t="shared" si="291"/>
        <v>15.48</v>
      </c>
      <c r="Q545" s="74">
        <f t="shared" si="292"/>
        <v>16.240000000000002</v>
      </c>
      <c r="R545" s="114">
        <v>17</v>
      </c>
      <c r="S545" s="129"/>
      <c r="T545" s="117">
        <f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16.353538461538463</v>
      </c>
      <c r="U545" s="117"/>
      <c r="V545" s="129"/>
      <c r="W545" s="114"/>
    </row>
    <row r="546" spans="2:23">
      <c r="B546" s="114">
        <v>35</v>
      </c>
      <c r="C546" s="74">
        <f t="shared" si="274"/>
        <v>32.75</v>
      </c>
      <c r="D546" s="74">
        <f t="shared" si="275"/>
        <v>30.5</v>
      </c>
      <c r="E546" s="74">
        <f t="shared" si="276"/>
        <v>28.25</v>
      </c>
      <c r="F546" s="114">
        <v>26</v>
      </c>
      <c r="G546" s="74">
        <f t="shared" si="277"/>
        <v>23.75</v>
      </c>
      <c r="H546" s="74">
        <f t="shared" si="278"/>
        <v>21.5</v>
      </c>
      <c r="I546" s="74">
        <f t="shared" si="279"/>
        <v>19.25</v>
      </c>
      <c r="J546" s="114">
        <f t="shared" si="280"/>
        <v>17</v>
      </c>
      <c r="K546" s="74">
        <f t="shared" si="268"/>
        <v>15.2018</v>
      </c>
      <c r="L546" s="74">
        <f t="shared" si="267"/>
        <v>13.403599999999999</v>
      </c>
      <c r="M546" s="114">
        <f t="shared" si="293"/>
        <v>11.6</v>
      </c>
      <c r="N546" s="115">
        <f t="shared" si="289"/>
        <v>12.68</v>
      </c>
      <c r="O546" s="74">
        <f t="shared" si="290"/>
        <v>13.76</v>
      </c>
      <c r="P546" s="74">
        <f t="shared" si="291"/>
        <v>14.84</v>
      </c>
      <c r="Q546" s="74">
        <f t="shared" si="292"/>
        <v>15.92</v>
      </c>
      <c r="R546" s="114">
        <v>17</v>
      </c>
      <c r="S546" s="129"/>
      <c r="T546" s="117">
        <f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16.173138461538461</v>
      </c>
      <c r="U546" s="117"/>
      <c r="V546" s="129"/>
      <c r="W546" s="114"/>
    </row>
    <row r="547" spans="2:23">
      <c r="B547" s="114">
        <v>36</v>
      </c>
      <c r="C547" s="74">
        <f t="shared" si="274"/>
        <v>33.5</v>
      </c>
      <c r="D547" s="74">
        <f t="shared" si="275"/>
        <v>31</v>
      </c>
      <c r="E547" s="74">
        <f t="shared" si="276"/>
        <v>28.5</v>
      </c>
      <c r="F547" s="114">
        <v>26</v>
      </c>
      <c r="G547" s="74">
        <f t="shared" si="277"/>
        <v>23.5</v>
      </c>
      <c r="H547" s="74">
        <f t="shared" si="278"/>
        <v>21</v>
      </c>
      <c r="I547" s="74">
        <f t="shared" si="279"/>
        <v>18.5</v>
      </c>
      <c r="J547" s="114">
        <f t="shared" si="280"/>
        <v>16</v>
      </c>
      <c r="K547" s="74">
        <f t="shared" si="268"/>
        <v>14.001999999999999</v>
      </c>
      <c r="L547" s="74">
        <f t="shared" si="267"/>
        <v>12.004</v>
      </c>
      <c r="M547" s="114">
        <f t="shared" si="293"/>
        <v>10</v>
      </c>
      <c r="N547" s="115">
        <f t="shared" si="289"/>
        <v>11.4</v>
      </c>
      <c r="O547" s="74">
        <f t="shared" si="290"/>
        <v>12.8</v>
      </c>
      <c r="P547" s="74">
        <f t="shared" si="291"/>
        <v>14.2</v>
      </c>
      <c r="Q547" s="74">
        <f t="shared" si="292"/>
        <v>15.600000000000001</v>
      </c>
      <c r="R547" s="114">
        <v>17</v>
      </c>
      <c r="S547" s="129"/>
      <c r="T547" s="117">
        <f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15.990538461538462</v>
      </c>
      <c r="U547" s="117"/>
      <c r="V547" s="129"/>
      <c r="W547" s="114"/>
    </row>
    <row r="548" spans="2:23">
      <c r="B548" s="114">
        <v>37</v>
      </c>
      <c r="C548" s="74">
        <f t="shared" si="274"/>
        <v>34.25</v>
      </c>
      <c r="D548" s="74">
        <f t="shared" si="275"/>
        <v>31.5</v>
      </c>
      <c r="E548" s="74">
        <f t="shared" si="276"/>
        <v>28.75</v>
      </c>
      <c r="F548" s="114">
        <v>26</v>
      </c>
      <c r="G548" s="74">
        <f t="shared" si="277"/>
        <v>23.25</v>
      </c>
      <c r="H548" s="74">
        <f t="shared" si="278"/>
        <v>20.5</v>
      </c>
      <c r="I548" s="74">
        <f t="shared" si="279"/>
        <v>17.75</v>
      </c>
      <c r="J548" s="114">
        <f t="shared" si="280"/>
        <v>15</v>
      </c>
      <c r="K548" s="74">
        <f t="shared" si="268"/>
        <v>12.802199999999999</v>
      </c>
      <c r="L548" s="74">
        <f t="shared" si="267"/>
        <v>10.6044</v>
      </c>
      <c r="M548" s="114">
        <f t="shared" si="293"/>
        <v>8.4</v>
      </c>
      <c r="N548" s="115">
        <f t="shared" si="289"/>
        <v>10.120000000000001</v>
      </c>
      <c r="O548" s="74">
        <f t="shared" si="290"/>
        <v>11.84</v>
      </c>
      <c r="P548" s="74">
        <f t="shared" si="291"/>
        <v>13.559999999999999</v>
      </c>
      <c r="Q548" s="74">
        <f t="shared" si="292"/>
        <v>15.280000000000001</v>
      </c>
      <c r="R548" s="114">
        <v>17</v>
      </c>
      <c r="S548" s="129"/>
      <c r="T548" s="117">
        <f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16.003738461538461</v>
      </c>
      <c r="U548" s="117"/>
      <c r="V548" s="129"/>
      <c r="W548" s="114"/>
    </row>
    <row r="549" spans="2:23">
      <c r="B549" s="114">
        <v>38</v>
      </c>
      <c r="C549" s="74">
        <f t="shared" si="274"/>
        <v>35</v>
      </c>
      <c r="D549" s="74">
        <f t="shared" si="275"/>
        <v>32</v>
      </c>
      <c r="E549" s="74">
        <f t="shared" si="276"/>
        <v>29</v>
      </c>
      <c r="F549" s="114">
        <v>26</v>
      </c>
      <c r="G549" s="74">
        <f t="shared" si="277"/>
        <v>23</v>
      </c>
      <c r="H549" s="74">
        <f t="shared" si="278"/>
        <v>20</v>
      </c>
      <c r="I549" s="74">
        <f t="shared" si="279"/>
        <v>17</v>
      </c>
      <c r="J549" s="114">
        <f t="shared" si="280"/>
        <v>14</v>
      </c>
      <c r="K549" s="74">
        <f t="shared" si="268"/>
        <v>11.602399999999999</v>
      </c>
      <c r="L549" s="74">
        <f t="shared" si="267"/>
        <v>9.2048000000000005</v>
      </c>
      <c r="M549" s="114">
        <f t="shared" si="293"/>
        <v>6.8000000000000007</v>
      </c>
      <c r="N549" s="115">
        <f t="shared" si="289"/>
        <v>8.84</v>
      </c>
      <c r="O549" s="74">
        <f t="shared" si="290"/>
        <v>10.88</v>
      </c>
      <c r="P549" s="74">
        <f t="shared" si="291"/>
        <v>12.92</v>
      </c>
      <c r="Q549" s="74">
        <f t="shared" si="292"/>
        <v>14.96</v>
      </c>
      <c r="R549" s="114">
        <v>17</v>
      </c>
      <c r="S549" s="129"/>
      <c r="T549" s="117">
        <f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15.876138461538462</v>
      </c>
      <c r="U549" s="117"/>
      <c r="V549" s="129"/>
      <c r="W549" s="114"/>
    </row>
    <row r="550" spans="2:23">
      <c r="B550" s="114">
        <v>39</v>
      </c>
      <c r="C550" s="74">
        <f t="shared" si="274"/>
        <v>35.75</v>
      </c>
      <c r="D550" s="74">
        <f t="shared" si="275"/>
        <v>32.5</v>
      </c>
      <c r="E550" s="74">
        <f t="shared" si="276"/>
        <v>29.25</v>
      </c>
      <c r="F550" s="114">
        <v>26</v>
      </c>
      <c r="G550" s="74">
        <f t="shared" si="277"/>
        <v>22.75</v>
      </c>
      <c r="H550" s="74">
        <f t="shared" si="278"/>
        <v>19.5</v>
      </c>
      <c r="I550" s="74">
        <f t="shared" si="279"/>
        <v>16.25</v>
      </c>
      <c r="J550" s="114">
        <f t="shared" si="280"/>
        <v>13</v>
      </c>
      <c r="K550" s="74">
        <f t="shared" si="268"/>
        <v>10.4026</v>
      </c>
      <c r="L550" s="74">
        <f t="shared" si="267"/>
        <v>7.8052000000000001</v>
      </c>
      <c r="M550" s="114">
        <f t="shared" si="293"/>
        <v>5.2</v>
      </c>
      <c r="N550" s="115">
        <f t="shared" si="289"/>
        <v>7.5600000000000005</v>
      </c>
      <c r="O550" s="74">
        <f t="shared" si="290"/>
        <v>9.9200000000000017</v>
      </c>
      <c r="P550" s="74">
        <f t="shared" si="291"/>
        <v>12.280000000000001</v>
      </c>
      <c r="Q550" s="74">
        <f t="shared" si="292"/>
        <v>14.64</v>
      </c>
      <c r="R550" s="114">
        <v>17</v>
      </c>
      <c r="S550" s="129"/>
      <c r="T550" s="117">
        <f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15.752624175824177</v>
      </c>
      <c r="U550" s="117"/>
      <c r="V550" s="129"/>
      <c r="W550" s="114"/>
    </row>
    <row r="551" spans="2:23">
      <c r="B551" s="114"/>
      <c r="C551" s="74"/>
      <c r="D551" s="74"/>
      <c r="E551" s="74"/>
      <c r="F551" s="114"/>
      <c r="G551" s="74"/>
      <c r="H551" s="74"/>
      <c r="I551" s="74"/>
      <c r="J551" s="114"/>
      <c r="K551" s="74"/>
      <c r="L551" s="74"/>
      <c r="M551" s="114"/>
      <c r="N551" s="115"/>
      <c r="O551" s="74"/>
      <c r="P551" s="74"/>
      <c r="Q551" s="74"/>
      <c r="R551" s="114"/>
      <c r="S551" s="129"/>
      <c r="T551" s="117"/>
      <c r="U551" s="117"/>
      <c r="V551" s="129"/>
      <c r="W551" s="114"/>
    </row>
    <row r="552" spans="2:23">
      <c r="B552" s="114">
        <v>31</v>
      </c>
      <c r="C552" s="74">
        <f t="shared" si="274"/>
        <v>30</v>
      </c>
      <c r="D552" s="74">
        <f t="shared" si="275"/>
        <v>29</v>
      </c>
      <c r="E552" s="74">
        <f t="shared" si="276"/>
        <v>28</v>
      </c>
      <c r="F552" s="114">
        <v>27</v>
      </c>
      <c r="G552" s="74">
        <f t="shared" si="277"/>
        <v>26</v>
      </c>
      <c r="H552" s="74">
        <f t="shared" si="278"/>
        <v>25</v>
      </c>
      <c r="I552" s="74">
        <f t="shared" si="279"/>
        <v>24</v>
      </c>
      <c r="J552" s="114">
        <f t="shared" si="280"/>
        <v>23</v>
      </c>
      <c r="K552" s="74">
        <f t="shared" si="268"/>
        <v>22.200800000000001</v>
      </c>
      <c r="L552" s="74">
        <f t="shared" si="267"/>
        <v>21.401600000000002</v>
      </c>
      <c r="M552" s="114">
        <f t="shared" si="293"/>
        <v>20.6</v>
      </c>
      <c r="N552" s="115">
        <f t="shared" ref="N552:N560" si="294">SUM(0.2*(R552-M552),M552)</f>
        <v>19.880000000000003</v>
      </c>
      <c r="O552" s="74">
        <f t="shared" ref="O552:O560" si="295">SUM(0.4*(R552-M552),M552)</f>
        <v>19.16</v>
      </c>
      <c r="P552" s="74">
        <f t="shared" ref="P552:P560" si="296">SUM(0.6*(R552-M552),M552)</f>
        <v>18.440000000000001</v>
      </c>
      <c r="Q552" s="74">
        <f t="shared" ref="Q552:Q560" si="297">SUM(0.8*(R552-M552),M552)</f>
        <v>17.72</v>
      </c>
      <c r="R552" s="114">
        <v>17</v>
      </c>
      <c r="S552" s="129"/>
      <c r="T552" s="117">
        <f>SUM((AU19+AV19+AW18+AX18+AY17+AZ17+BA16+BB16+BC15+BD15+BE14+BF14+BG13+BH13+BI12+BJ12+BK11+BL11+BM10+BN10+BS5+BT5+BU4+BV4)*0.132/2,(AT20+BO9+BP8+BQ7+BR6)*0.132,17)</f>
        <v>16.529538461538461</v>
      </c>
      <c r="U552" s="117"/>
      <c r="V552" s="129"/>
      <c r="W552" s="114"/>
    </row>
    <row r="553" spans="2:23">
      <c r="B553" s="114">
        <v>32</v>
      </c>
      <c r="C553" s="74">
        <f t="shared" si="274"/>
        <v>30.75</v>
      </c>
      <c r="D553" s="74">
        <f t="shared" si="275"/>
        <v>29.5</v>
      </c>
      <c r="E553" s="74">
        <f t="shared" si="276"/>
        <v>28.25</v>
      </c>
      <c r="F553" s="114">
        <v>27</v>
      </c>
      <c r="G553" s="74">
        <f t="shared" si="277"/>
        <v>25.75</v>
      </c>
      <c r="H553" s="74">
        <f t="shared" si="278"/>
        <v>24.5</v>
      </c>
      <c r="I553" s="74">
        <f t="shared" si="279"/>
        <v>23.25</v>
      </c>
      <c r="J553" s="114">
        <f t="shared" si="280"/>
        <v>22</v>
      </c>
      <c r="K553" s="74">
        <f t="shared" si="268"/>
        <v>21.001000000000001</v>
      </c>
      <c r="L553" s="74">
        <f t="shared" si="267"/>
        <v>20.001999999999999</v>
      </c>
      <c r="M553" s="114">
        <f t="shared" si="293"/>
        <v>19</v>
      </c>
      <c r="N553" s="115">
        <f t="shared" si="294"/>
        <v>18.600000000000001</v>
      </c>
      <c r="O553" s="74">
        <f t="shared" si="295"/>
        <v>18.2</v>
      </c>
      <c r="P553" s="74">
        <f t="shared" si="296"/>
        <v>17.8</v>
      </c>
      <c r="Q553" s="74">
        <f t="shared" si="297"/>
        <v>17.399999999999999</v>
      </c>
      <c r="R553" s="114">
        <v>17</v>
      </c>
      <c r="S553" s="129"/>
      <c r="T553" s="117">
        <f>SUM((AR20+AS20+AT19+AU19+AY17+AZ17+BA16+BB16+BF14+BG14+BK12+BL12+BM11+BN11+BO10+BP10+BQ9+BR9)*0.132/2,(AV18+AW18+AX18+BC15+BD15+BE15+BH13+BI13+BJ13)*0.132/3,(BS8+BS7+BT6+BU5+BV4)*0.132,17)</f>
        <v>16.419538461538462</v>
      </c>
      <c r="U553" s="117"/>
      <c r="V553" s="129"/>
      <c r="W553" s="114"/>
    </row>
    <row r="554" spans="2:23">
      <c r="B554" s="114">
        <v>33</v>
      </c>
      <c r="C554" s="74">
        <f t="shared" si="274"/>
        <v>31.5</v>
      </c>
      <c r="D554" s="74">
        <f t="shared" si="275"/>
        <v>30</v>
      </c>
      <c r="E554" s="74">
        <f t="shared" si="276"/>
        <v>28.5</v>
      </c>
      <c r="F554" s="114">
        <v>27</v>
      </c>
      <c r="G554" s="74">
        <f t="shared" si="277"/>
        <v>25.5</v>
      </c>
      <c r="H554" s="74">
        <f t="shared" si="278"/>
        <v>24</v>
      </c>
      <c r="I554" s="74">
        <f t="shared" si="279"/>
        <v>22.5</v>
      </c>
      <c r="J554" s="114">
        <f t="shared" si="280"/>
        <v>21</v>
      </c>
      <c r="K554" s="74">
        <f t="shared" si="268"/>
        <v>19.801199999999998</v>
      </c>
      <c r="L554" s="74">
        <f t="shared" si="267"/>
        <v>18.602399999999999</v>
      </c>
      <c r="M554" s="114">
        <f t="shared" si="293"/>
        <v>17.399999999999999</v>
      </c>
      <c r="N554" s="115">
        <f t="shared" si="294"/>
        <v>17.32</v>
      </c>
      <c r="O554" s="74">
        <f t="shared" si="295"/>
        <v>17.239999999999998</v>
      </c>
      <c r="P554" s="74">
        <f t="shared" si="296"/>
        <v>17.16</v>
      </c>
      <c r="Q554" s="74">
        <f t="shared" si="297"/>
        <v>17.079999999999998</v>
      </c>
      <c r="R554" s="114">
        <v>17</v>
      </c>
      <c r="S554" s="129"/>
      <c r="T554" s="117">
        <f>SUM((AP20+AQ20+AU18+AV18)*0.132/2,(AR19+AS19+AT19+AW17+AX17+AY17+AZ16+BA16+BB16+BC15+BD15+BE15+BF14+BG14+BH14+BI13+BJ13+BK13+BL12+BM12+BN12+BO11+BP11+BQ11)*0.132/3,(BR10+BS10+BT9+BU9)*0.132/2,(BU8+BU7+BV6+BV5+BV4)*0.132,17)</f>
        <v>16.485538461538461</v>
      </c>
      <c r="U554" s="117"/>
      <c r="V554" s="129"/>
      <c r="W554" s="114"/>
    </row>
    <row r="555" spans="2:23">
      <c r="B555" s="114">
        <v>34</v>
      </c>
      <c r="C555" s="74">
        <f t="shared" si="274"/>
        <v>32.25</v>
      </c>
      <c r="D555" s="74">
        <f t="shared" si="275"/>
        <v>30.5</v>
      </c>
      <c r="E555" s="74">
        <f t="shared" si="276"/>
        <v>28.75</v>
      </c>
      <c r="F555" s="114">
        <v>27</v>
      </c>
      <c r="G555" s="74">
        <f t="shared" si="277"/>
        <v>25.25</v>
      </c>
      <c r="H555" s="74">
        <f t="shared" si="278"/>
        <v>23.5</v>
      </c>
      <c r="I555" s="74">
        <f t="shared" si="279"/>
        <v>21.75</v>
      </c>
      <c r="J555" s="114">
        <f t="shared" si="280"/>
        <v>20</v>
      </c>
      <c r="K555" s="74">
        <f t="shared" si="268"/>
        <v>18.601400000000002</v>
      </c>
      <c r="L555" s="74">
        <f t="shared" si="267"/>
        <v>17.2028</v>
      </c>
      <c r="M555" s="114">
        <f t="shared" si="293"/>
        <v>15.8</v>
      </c>
      <c r="N555" s="115">
        <f t="shared" si="294"/>
        <v>16.04</v>
      </c>
      <c r="O555" s="74">
        <f t="shared" si="295"/>
        <v>16.28</v>
      </c>
      <c r="P555" s="74">
        <f t="shared" si="296"/>
        <v>16.52</v>
      </c>
      <c r="Q555" s="74">
        <f t="shared" si="297"/>
        <v>16.760000000000002</v>
      </c>
      <c r="R555" s="114">
        <v>17</v>
      </c>
      <c r="S555" s="129"/>
      <c r="T555" s="117">
        <f>SUM((AN20+AO20+AP20+AQ19+AR19+AS19+AT18+AU18+AV18+AW17+AX17+AY17+AZ16+BA16+BB16+BG14+BH14+BI14+BN12+BO12+BP12+BQ11+BR11+BS11+BT10+BU10+BV10)*0.132/3,(BC15+BD15+BE15+BF15+BJ13+BK13+BL13+BM13)*0.132/4,(BW9+BX9)*0.132/2,(BX8+BW7+BW6+BV5+BV4)*0.132,17)</f>
        <v>15.836538461538462</v>
      </c>
      <c r="U555" s="117"/>
      <c r="V555" s="129"/>
      <c r="W555" s="114"/>
    </row>
    <row r="556" spans="2:23">
      <c r="B556" s="114">
        <v>35</v>
      </c>
      <c r="C556" s="74">
        <f t="shared" si="274"/>
        <v>33</v>
      </c>
      <c r="D556" s="74">
        <f t="shared" si="275"/>
        <v>31</v>
      </c>
      <c r="E556" s="74">
        <f t="shared" si="276"/>
        <v>29</v>
      </c>
      <c r="F556" s="114">
        <v>27</v>
      </c>
      <c r="G556" s="74">
        <f t="shared" si="277"/>
        <v>25</v>
      </c>
      <c r="H556" s="74">
        <f t="shared" si="278"/>
        <v>23</v>
      </c>
      <c r="I556" s="74">
        <f t="shared" si="279"/>
        <v>21</v>
      </c>
      <c r="J556" s="114">
        <f t="shared" si="280"/>
        <v>19</v>
      </c>
      <c r="K556" s="74">
        <f t="shared" si="268"/>
        <v>17.401599999999998</v>
      </c>
      <c r="L556" s="74">
        <f t="shared" si="267"/>
        <v>15.8032</v>
      </c>
      <c r="M556" s="114">
        <f t="shared" si="293"/>
        <v>14.2</v>
      </c>
      <c r="N556" s="115">
        <f t="shared" si="294"/>
        <v>14.76</v>
      </c>
      <c r="O556" s="74">
        <f t="shared" si="295"/>
        <v>15.32</v>
      </c>
      <c r="P556" s="74">
        <f t="shared" si="296"/>
        <v>15.879999999999999</v>
      </c>
      <c r="Q556" s="74">
        <f t="shared" si="297"/>
        <v>16.440000000000001</v>
      </c>
      <c r="R556" s="114">
        <v>17</v>
      </c>
      <c r="S556" s="129"/>
      <c r="T556" s="117">
        <f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15.836538461538462</v>
      </c>
      <c r="U556" s="117"/>
      <c r="V556" s="129"/>
      <c r="W556" s="114"/>
    </row>
    <row r="557" spans="2:23">
      <c r="B557" s="114">
        <v>36</v>
      </c>
      <c r="C557" s="74">
        <f t="shared" si="274"/>
        <v>33.75</v>
      </c>
      <c r="D557" s="74">
        <f t="shared" si="275"/>
        <v>31.5</v>
      </c>
      <c r="E557" s="74">
        <f t="shared" si="276"/>
        <v>29.25</v>
      </c>
      <c r="F557" s="114">
        <v>27</v>
      </c>
      <c r="G557" s="74">
        <f t="shared" si="277"/>
        <v>24.75</v>
      </c>
      <c r="H557" s="74">
        <f t="shared" si="278"/>
        <v>22.5</v>
      </c>
      <c r="I557" s="74">
        <f t="shared" si="279"/>
        <v>20.25</v>
      </c>
      <c r="J557" s="114">
        <f t="shared" si="280"/>
        <v>18</v>
      </c>
      <c r="K557" s="74">
        <f t="shared" si="268"/>
        <v>16.201799999999999</v>
      </c>
      <c r="L557" s="74">
        <f t="shared" si="267"/>
        <v>14.403599999999999</v>
      </c>
      <c r="M557" s="114">
        <f t="shared" si="293"/>
        <v>12.6</v>
      </c>
      <c r="N557" s="115">
        <f t="shared" si="294"/>
        <v>13.48</v>
      </c>
      <c r="O557" s="74">
        <f t="shared" si="295"/>
        <v>14.36</v>
      </c>
      <c r="P557" s="74">
        <f t="shared" si="296"/>
        <v>15.24</v>
      </c>
      <c r="Q557" s="74">
        <f t="shared" si="297"/>
        <v>16.12</v>
      </c>
      <c r="R557" s="114">
        <v>17</v>
      </c>
      <c r="S557" s="129"/>
      <c r="T557" s="117">
        <f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15.873938461538462</v>
      </c>
      <c r="U557" s="117"/>
      <c r="V557" s="129"/>
      <c r="W557" s="114"/>
    </row>
    <row r="558" spans="2:23">
      <c r="B558" s="114">
        <v>37</v>
      </c>
      <c r="C558" s="74">
        <f t="shared" si="274"/>
        <v>34.5</v>
      </c>
      <c r="D558" s="74">
        <f t="shared" si="275"/>
        <v>32</v>
      </c>
      <c r="E558" s="74">
        <f t="shared" si="276"/>
        <v>29.5</v>
      </c>
      <c r="F558" s="114">
        <v>27</v>
      </c>
      <c r="G558" s="74">
        <f t="shared" si="277"/>
        <v>24.5</v>
      </c>
      <c r="H558" s="74">
        <f t="shared" si="278"/>
        <v>22</v>
      </c>
      <c r="I558" s="74">
        <f t="shared" si="279"/>
        <v>19.5</v>
      </c>
      <c r="J558" s="114">
        <f t="shared" si="280"/>
        <v>17</v>
      </c>
      <c r="K558" s="74">
        <f t="shared" si="268"/>
        <v>15.001999999999999</v>
      </c>
      <c r="L558" s="74">
        <f t="shared" si="267"/>
        <v>13.004</v>
      </c>
      <c r="M558" s="114">
        <f t="shared" si="293"/>
        <v>11</v>
      </c>
      <c r="N558" s="115">
        <f t="shared" si="294"/>
        <v>12.2</v>
      </c>
      <c r="O558" s="74">
        <f t="shared" si="295"/>
        <v>13.4</v>
      </c>
      <c r="P558" s="74">
        <f t="shared" si="296"/>
        <v>14.6</v>
      </c>
      <c r="Q558" s="74">
        <f t="shared" si="297"/>
        <v>15.8</v>
      </c>
      <c r="R558" s="114">
        <v>17</v>
      </c>
      <c r="S558" s="129"/>
      <c r="T558" s="117">
        <f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15.807938461538463</v>
      </c>
      <c r="U558" s="117"/>
      <c r="V558" s="129"/>
      <c r="W558" s="114"/>
    </row>
    <row r="559" spans="2:23">
      <c r="B559" s="114">
        <v>38</v>
      </c>
      <c r="C559" s="74">
        <f t="shared" si="274"/>
        <v>35.25</v>
      </c>
      <c r="D559" s="74">
        <f t="shared" si="275"/>
        <v>32.5</v>
      </c>
      <c r="E559" s="74">
        <f t="shared" si="276"/>
        <v>29.75</v>
      </c>
      <c r="F559" s="114">
        <v>27</v>
      </c>
      <c r="G559" s="74">
        <f t="shared" si="277"/>
        <v>24.25</v>
      </c>
      <c r="H559" s="74">
        <f t="shared" si="278"/>
        <v>21.5</v>
      </c>
      <c r="I559" s="74">
        <f t="shared" si="279"/>
        <v>18.75</v>
      </c>
      <c r="J559" s="114">
        <f t="shared" si="280"/>
        <v>16</v>
      </c>
      <c r="K559" s="74">
        <f t="shared" si="268"/>
        <v>13.802199999999999</v>
      </c>
      <c r="L559" s="74">
        <f t="shared" si="267"/>
        <v>11.6044</v>
      </c>
      <c r="M559" s="114">
        <f t="shared" si="293"/>
        <v>9.4</v>
      </c>
      <c r="N559" s="115">
        <f t="shared" si="294"/>
        <v>10.92</v>
      </c>
      <c r="O559" s="74">
        <f t="shared" si="295"/>
        <v>12.440000000000001</v>
      </c>
      <c r="P559" s="74">
        <f t="shared" si="296"/>
        <v>13.96</v>
      </c>
      <c r="Q559" s="74">
        <f t="shared" si="297"/>
        <v>15.48</v>
      </c>
      <c r="R559" s="114">
        <v>17</v>
      </c>
      <c r="S559" s="129"/>
      <c r="T559" s="117">
        <f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15.845338461538461</v>
      </c>
      <c r="U559" s="117"/>
      <c r="V559" s="129"/>
      <c r="W559" s="114"/>
    </row>
    <row r="560" spans="2:23">
      <c r="B560" s="114">
        <v>39</v>
      </c>
      <c r="C560" s="74">
        <f t="shared" si="274"/>
        <v>36</v>
      </c>
      <c r="D560" s="74">
        <f t="shared" si="275"/>
        <v>33</v>
      </c>
      <c r="E560" s="74">
        <f t="shared" si="276"/>
        <v>30</v>
      </c>
      <c r="F560" s="114">
        <v>27</v>
      </c>
      <c r="G560" s="74">
        <f t="shared" si="277"/>
        <v>24</v>
      </c>
      <c r="H560" s="74">
        <f t="shared" si="278"/>
        <v>21</v>
      </c>
      <c r="I560" s="74">
        <f t="shared" si="279"/>
        <v>18</v>
      </c>
      <c r="J560" s="114">
        <f t="shared" si="280"/>
        <v>15</v>
      </c>
      <c r="K560" s="74">
        <f t="shared" si="268"/>
        <v>12.602399999999999</v>
      </c>
      <c r="L560" s="74">
        <f t="shared" si="267"/>
        <v>10.204800000000001</v>
      </c>
      <c r="M560" s="114">
        <f t="shared" si="293"/>
        <v>7.8000000000000007</v>
      </c>
      <c r="N560" s="115">
        <f t="shared" si="294"/>
        <v>9.64</v>
      </c>
      <c r="O560" s="74">
        <f t="shared" si="295"/>
        <v>11.48</v>
      </c>
      <c r="P560" s="74">
        <f t="shared" si="296"/>
        <v>13.32</v>
      </c>
      <c r="Q560" s="74">
        <f t="shared" si="297"/>
        <v>15.16</v>
      </c>
      <c r="R560" s="114">
        <v>17</v>
      </c>
      <c r="S560" s="129"/>
      <c r="T560" s="117">
        <f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15.794738461538461</v>
      </c>
      <c r="U560" s="117"/>
      <c r="V560" s="129"/>
      <c r="W560" s="114"/>
    </row>
    <row r="561" spans="2:23">
      <c r="B561" s="114"/>
      <c r="C561" s="74"/>
      <c r="D561" s="74"/>
      <c r="E561" s="74"/>
      <c r="F561" s="114"/>
      <c r="G561" s="74"/>
      <c r="H561" s="74"/>
      <c r="I561" s="74"/>
      <c r="J561" s="114"/>
      <c r="K561" s="74"/>
      <c r="L561" s="74"/>
      <c r="M561" s="114"/>
      <c r="N561" s="115"/>
      <c r="O561" s="74"/>
      <c r="P561" s="74"/>
      <c r="Q561" s="74"/>
      <c r="R561" s="114"/>
      <c r="S561" s="129"/>
      <c r="T561" s="117"/>
      <c r="U561" s="117"/>
      <c r="V561" s="129"/>
      <c r="W561" s="114"/>
    </row>
    <row r="562" spans="2:23">
      <c r="B562" s="114">
        <v>32</v>
      </c>
      <c r="C562" s="74">
        <f t="shared" si="274"/>
        <v>31</v>
      </c>
      <c r="D562" s="74">
        <f t="shared" si="275"/>
        <v>30</v>
      </c>
      <c r="E562" s="74">
        <f t="shared" si="276"/>
        <v>29</v>
      </c>
      <c r="F562" s="114">
        <v>28</v>
      </c>
      <c r="G562" s="74">
        <f t="shared" si="277"/>
        <v>27</v>
      </c>
      <c r="H562" s="74">
        <f t="shared" si="278"/>
        <v>26</v>
      </c>
      <c r="I562" s="74">
        <f t="shared" si="279"/>
        <v>25</v>
      </c>
      <c r="J562" s="114">
        <f t="shared" si="280"/>
        <v>24</v>
      </c>
      <c r="K562" s="74">
        <f t="shared" si="268"/>
        <v>23.200800000000001</v>
      </c>
      <c r="L562" s="74">
        <f t="shared" si="267"/>
        <v>22.401600000000002</v>
      </c>
      <c r="M562" s="114">
        <f t="shared" si="293"/>
        <v>21.6</v>
      </c>
      <c r="N562" s="115">
        <f t="shared" ref="N562:N569" si="298">SUM(0.2*(R562-M562),M562)</f>
        <v>20.68</v>
      </c>
      <c r="O562" s="74">
        <f t="shared" ref="O562:O569" si="299">SUM(0.4*(R562-M562),M562)</f>
        <v>19.760000000000002</v>
      </c>
      <c r="P562" s="74">
        <f t="shared" ref="P562:P569" si="300">SUM(0.6*(R562-M562),M562)</f>
        <v>18.84</v>
      </c>
      <c r="Q562" s="74">
        <f t="shared" ref="Q562:Q569" si="301">SUM(0.8*(R562-M562),M562)</f>
        <v>17.920000000000002</v>
      </c>
      <c r="R562" s="114">
        <v>17</v>
      </c>
      <c r="S562" s="129"/>
      <c r="T562" s="117">
        <f>SUM((AS19+AT19+AU18+AV18+AW17+AX17+AY16+AZ16+BA15+BB15+BC14+BD14+BE13+BF13+BG12+BH12+BI11+BJ11+BK10+BL10)*0.132/2,(AR20+BM9+BN8)*0.132,(BO7+BP7+BQ6+BR6+BS5+BT5+BU4+BV4)*0.132/2,17)</f>
        <v>16.133538461538464</v>
      </c>
      <c r="U562" s="117"/>
      <c r="V562" s="129"/>
      <c r="W562" s="114"/>
    </row>
    <row r="563" spans="2:23">
      <c r="B563" s="114">
        <v>33</v>
      </c>
      <c r="C563" s="74">
        <f t="shared" si="274"/>
        <v>31.75</v>
      </c>
      <c r="D563" s="74">
        <f t="shared" si="275"/>
        <v>30.5</v>
      </c>
      <c r="E563" s="74">
        <f t="shared" si="276"/>
        <v>29.25</v>
      </c>
      <c r="F563" s="114">
        <v>28</v>
      </c>
      <c r="G563" s="74">
        <f t="shared" si="277"/>
        <v>26.75</v>
      </c>
      <c r="H563" s="74">
        <f t="shared" si="278"/>
        <v>25.5</v>
      </c>
      <c r="I563" s="74">
        <f t="shared" si="279"/>
        <v>24.25</v>
      </c>
      <c r="J563" s="114">
        <f t="shared" si="280"/>
        <v>23</v>
      </c>
      <c r="K563" s="74">
        <f t="shared" si="268"/>
        <v>22.001000000000001</v>
      </c>
      <c r="L563" s="74">
        <f t="shared" si="267"/>
        <v>21.001999999999999</v>
      </c>
      <c r="M563" s="114">
        <f t="shared" si="293"/>
        <v>20</v>
      </c>
      <c r="N563" s="115">
        <f t="shared" si="298"/>
        <v>19.399999999999999</v>
      </c>
      <c r="O563" s="74">
        <f t="shared" si="299"/>
        <v>18.8</v>
      </c>
      <c r="P563" s="74">
        <f t="shared" si="300"/>
        <v>18.2</v>
      </c>
      <c r="Q563" s="74">
        <f t="shared" si="301"/>
        <v>17.600000000000001</v>
      </c>
      <c r="R563" s="114">
        <v>17</v>
      </c>
      <c r="S563" s="129"/>
      <c r="T563" s="117">
        <f>SUM((AP20+AQ20+AR19+AS19+AW17+AX17+AY16+AZ16)*0.132/2,(AT18+AU18+AV18+BA15+BB15+BC15+BF13+BG13+BH13)*0.132/3,(BD14+BE14+BI12+BJ12+BK11+BL11+BM10+BN10+BO9+BP9+BU4+BV4)*0.132/2,(BQ8+BR7+BS6+BT5)*0.132,17)</f>
        <v>16.155538461538463</v>
      </c>
      <c r="U563" s="117"/>
      <c r="V563" s="129"/>
      <c r="W563" s="114"/>
    </row>
    <row r="564" spans="2:23">
      <c r="B564" s="114">
        <v>34</v>
      </c>
      <c r="C564" s="74">
        <f t="shared" si="274"/>
        <v>32.5</v>
      </c>
      <c r="D564" s="74">
        <f t="shared" si="275"/>
        <v>31</v>
      </c>
      <c r="E564" s="74">
        <f t="shared" si="276"/>
        <v>29.5</v>
      </c>
      <c r="F564" s="114">
        <v>28</v>
      </c>
      <c r="G564" s="74">
        <f t="shared" si="277"/>
        <v>26.5</v>
      </c>
      <c r="H564" s="74">
        <f t="shared" si="278"/>
        <v>25</v>
      </c>
      <c r="I564" s="74">
        <f t="shared" si="279"/>
        <v>23.5</v>
      </c>
      <c r="J564" s="114">
        <f t="shared" si="280"/>
        <v>22</v>
      </c>
      <c r="K564" s="74">
        <f t="shared" si="268"/>
        <v>20.801199999999998</v>
      </c>
      <c r="L564" s="74">
        <f t="shared" si="267"/>
        <v>19.602399999999999</v>
      </c>
      <c r="M564" s="114">
        <f t="shared" si="293"/>
        <v>18.399999999999999</v>
      </c>
      <c r="N564" s="115">
        <f t="shared" si="298"/>
        <v>18.119999999999997</v>
      </c>
      <c r="O564" s="74">
        <f t="shared" si="299"/>
        <v>17.84</v>
      </c>
      <c r="P564" s="74">
        <f t="shared" si="300"/>
        <v>17.559999999999999</v>
      </c>
      <c r="Q564" s="74">
        <f t="shared" si="301"/>
        <v>17.28</v>
      </c>
      <c r="R564" s="114">
        <v>17</v>
      </c>
      <c r="S564" s="129"/>
      <c r="T564" s="117">
        <f>SUM((AN20+AO20+AS18+AT18)*0.132/2,(AP19+AQ19+AR19+AU17+AV17+AW17+AX16+AY16+AZ16+BA15+BB15+BC15+BD14+BE14+BF14+BG13+BH13+BI13+BJ12+BK12+BL12+BM11+BN11+BO11)*0.132/3,(BP10+BQ10+BR9+BS9)*0.132/2,(BT8+BT7+BU6+BU5+BV4)*0.132,17)</f>
        <v>15.649538461538462</v>
      </c>
      <c r="U564" s="117"/>
      <c r="V564" s="129"/>
      <c r="W564" s="114"/>
    </row>
    <row r="565" spans="2:23">
      <c r="B565" s="114">
        <v>35</v>
      </c>
      <c r="C565" s="74">
        <f t="shared" si="274"/>
        <v>33.25</v>
      </c>
      <c r="D565" s="74">
        <f t="shared" si="275"/>
        <v>31.5</v>
      </c>
      <c r="E565" s="74">
        <f t="shared" si="276"/>
        <v>29.75</v>
      </c>
      <c r="F565" s="114">
        <v>28</v>
      </c>
      <c r="G565" s="74">
        <f t="shared" si="277"/>
        <v>26.25</v>
      </c>
      <c r="H565" s="74">
        <f t="shared" si="278"/>
        <v>24.5</v>
      </c>
      <c r="I565" s="74">
        <f t="shared" si="279"/>
        <v>22.75</v>
      </c>
      <c r="J565" s="114">
        <f t="shared" si="280"/>
        <v>21</v>
      </c>
      <c r="K565" s="74">
        <f t="shared" si="268"/>
        <v>19.601400000000002</v>
      </c>
      <c r="L565" s="74">
        <f t="shared" si="267"/>
        <v>18.2028</v>
      </c>
      <c r="M565" s="114">
        <f t="shared" si="293"/>
        <v>16.8</v>
      </c>
      <c r="N565" s="115">
        <f t="shared" si="298"/>
        <v>16.84</v>
      </c>
      <c r="O565" s="74">
        <f t="shared" si="299"/>
        <v>16.88</v>
      </c>
      <c r="P565" s="74">
        <f t="shared" si="300"/>
        <v>16.920000000000002</v>
      </c>
      <c r="Q565" s="74">
        <f t="shared" si="301"/>
        <v>16.96</v>
      </c>
      <c r="R565" s="114">
        <v>17</v>
      </c>
      <c r="S565" s="129"/>
      <c r="T565" s="117">
        <f>SUM((AL20+AM20+AN20+AO19+AP19+AQ19+AR18+AS18+AT18+AU17+AV17+AW17+AX16+AY16+AZ16+BE14+BF14+BG14+BL12+BM12+BN12+BO11+BP11+BQ11+BR10+BS10+BT10)*0.132/3,(BA15+BB15+BC15+BD15+BH13+BI13+BJ13+BK13)*0.132/4,(BU9+BV9)*0.132/2,(BV8+BV7+BV6+BV5+BV4)*0.132,17)</f>
        <v>15.737538461538461</v>
      </c>
      <c r="U565" s="117"/>
      <c r="V565" s="129"/>
      <c r="W565" s="114"/>
    </row>
    <row r="566" spans="2:23">
      <c r="B566" s="114">
        <v>36</v>
      </c>
      <c r="C566" s="74">
        <f t="shared" si="274"/>
        <v>34</v>
      </c>
      <c r="D566" s="74">
        <f t="shared" si="275"/>
        <v>32</v>
      </c>
      <c r="E566" s="74">
        <f t="shared" si="276"/>
        <v>30</v>
      </c>
      <c r="F566" s="114">
        <v>28</v>
      </c>
      <c r="G566" s="74">
        <f t="shared" si="277"/>
        <v>26</v>
      </c>
      <c r="H566" s="74">
        <f t="shared" si="278"/>
        <v>24</v>
      </c>
      <c r="I566" s="74">
        <f t="shared" si="279"/>
        <v>22</v>
      </c>
      <c r="J566" s="114">
        <f t="shared" si="280"/>
        <v>20</v>
      </c>
      <c r="K566" s="74">
        <f t="shared" si="268"/>
        <v>18.401599999999998</v>
      </c>
      <c r="L566" s="74">
        <f t="shared" si="267"/>
        <v>16.8032</v>
      </c>
      <c r="M566" s="114">
        <f t="shared" si="293"/>
        <v>15.2</v>
      </c>
      <c r="N566" s="115">
        <f t="shared" si="298"/>
        <v>15.559999999999999</v>
      </c>
      <c r="O566" s="74">
        <f t="shared" si="299"/>
        <v>15.92</v>
      </c>
      <c r="P566" s="74">
        <f t="shared" si="300"/>
        <v>16.28</v>
      </c>
      <c r="Q566" s="74">
        <f t="shared" si="301"/>
        <v>16.64</v>
      </c>
      <c r="R566" s="114">
        <v>17</v>
      </c>
      <c r="S566" s="129"/>
      <c r="T566" s="117">
        <f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15.880538461538462</v>
      </c>
      <c r="U566" s="117"/>
      <c r="V566" s="129"/>
      <c r="W566" s="114"/>
    </row>
    <row r="567" spans="2:23">
      <c r="B567" s="114">
        <v>37</v>
      </c>
      <c r="C567" s="74">
        <f t="shared" si="274"/>
        <v>34.75</v>
      </c>
      <c r="D567" s="74">
        <f t="shared" si="275"/>
        <v>32.5</v>
      </c>
      <c r="E567" s="74">
        <f t="shared" si="276"/>
        <v>30.25</v>
      </c>
      <c r="F567" s="114">
        <v>28</v>
      </c>
      <c r="G567" s="74">
        <f t="shared" si="277"/>
        <v>25.75</v>
      </c>
      <c r="H567" s="74">
        <f t="shared" si="278"/>
        <v>23.5</v>
      </c>
      <c r="I567" s="74">
        <f t="shared" si="279"/>
        <v>21.25</v>
      </c>
      <c r="J567" s="114">
        <f t="shared" si="280"/>
        <v>19</v>
      </c>
      <c r="K567" s="74">
        <f t="shared" si="268"/>
        <v>17.201799999999999</v>
      </c>
      <c r="L567" s="74">
        <f t="shared" si="267"/>
        <v>15.403599999999999</v>
      </c>
      <c r="M567" s="114">
        <f t="shared" si="293"/>
        <v>13.6</v>
      </c>
      <c r="N567" s="115">
        <f t="shared" si="298"/>
        <v>14.28</v>
      </c>
      <c r="O567" s="74">
        <f t="shared" si="299"/>
        <v>14.96</v>
      </c>
      <c r="P567" s="74">
        <f t="shared" si="300"/>
        <v>15.64</v>
      </c>
      <c r="Q567" s="74">
        <f t="shared" si="301"/>
        <v>16.32</v>
      </c>
      <c r="R567" s="114">
        <v>17</v>
      </c>
      <c r="S567" s="129"/>
      <c r="T567" s="117">
        <f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15.365738461538461</v>
      </c>
      <c r="U567" s="117"/>
      <c r="V567" s="129"/>
      <c r="W567" s="114"/>
    </row>
    <row r="568" spans="2:23">
      <c r="B568" s="114">
        <v>38</v>
      </c>
      <c r="C568" s="74">
        <f t="shared" si="274"/>
        <v>35.5</v>
      </c>
      <c r="D568" s="74">
        <f t="shared" si="275"/>
        <v>33</v>
      </c>
      <c r="E568" s="74">
        <f t="shared" si="276"/>
        <v>30.5</v>
      </c>
      <c r="F568" s="114">
        <v>28</v>
      </c>
      <c r="G568" s="74">
        <f t="shared" si="277"/>
        <v>25.5</v>
      </c>
      <c r="H568" s="74">
        <f t="shared" si="278"/>
        <v>23</v>
      </c>
      <c r="I568" s="74">
        <f t="shared" si="279"/>
        <v>20.5</v>
      </c>
      <c r="J568" s="114">
        <f t="shared" si="280"/>
        <v>18</v>
      </c>
      <c r="K568" s="74">
        <f t="shared" si="268"/>
        <v>16.001999999999999</v>
      </c>
      <c r="L568" s="74">
        <f t="shared" si="267"/>
        <v>14.004</v>
      </c>
      <c r="M568" s="114">
        <f t="shared" si="293"/>
        <v>12</v>
      </c>
      <c r="N568" s="115">
        <f t="shared" si="298"/>
        <v>13</v>
      </c>
      <c r="O568" s="74">
        <f t="shared" si="299"/>
        <v>14</v>
      </c>
      <c r="P568" s="74">
        <f t="shared" si="300"/>
        <v>15</v>
      </c>
      <c r="Q568" s="74">
        <f t="shared" si="301"/>
        <v>16</v>
      </c>
      <c r="R568" s="114">
        <v>17</v>
      </c>
      <c r="S568" s="129"/>
      <c r="T568" s="117">
        <f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15.539538461538463</v>
      </c>
      <c r="U568" s="117"/>
      <c r="V568" s="129"/>
      <c r="W568" s="114"/>
    </row>
    <row r="569" spans="2:23">
      <c r="B569" s="114">
        <v>39</v>
      </c>
      <c r="C569" s="74">
        <f t="shared" si="274"/>
        <v>36.25</v>
      </c>
      <c r="D569" s="74">
        <f t="shared" si="275"/>
        <v>33.5</v>
      </c>
      <c r="E569" s="74">
        <f t="shared" si="276"/>
        <v>30.75</v>
      </c>
      <c r="F569" s="114">
        <v>28</v>
      </c>
      <c r="G569" s="74">
        <f t="shared" si="277"/>
        <v>25.25</v>
      </c>
      <c r="H569" s="74">
        <f t="shared" si="278"/>
        <v>22.5</v>
      </c>
      <c r="I569" s="74">
        <f t="shared" si="279"/>
        <v>19.75</v>
      </c>
      <c r="J569" s="114">
        <f t="shared" si="280"/>
        <v>17</v>
      </c>
      <c r="K569" s="74">
        <f t="shared" si="268"/>
        <v>14.802199999999999</v>
      </c>
      <c r="L569" s="74">
        <f t="shared" si="267"/>
        <v>12.6044</v>
      </c>
      <c r="M569" s="114">
        <f t="shared" si="293"/>
        <v>10.4</v>
      </c>
      <c r="N569" s="115">
        <f t="shared" si="298"/>
        <v>11.72</v>
      </c>
      <c r="O569" s="74">
        <f t="shared" si="299"/>
        <v>13.040000000000001</v>
      </c>
      <c r="P569" s="74">
        <f t="shared" si="300"/>
        <v>14.36</v>
      </c>
      <c r="Q569" s="74">
        <f t="shared" si="301"/>
        <v>15.68</v>
      </c>
      <c r="R569" s="114">
        <v>17</v>
      </c>
      <c r="S569" s="129"/>
      <c r="T569" s="117">
        <f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15.585738461538462</v>
      </c>
      <c r="U569" s="117"/>
      <c r="V569" s="129"/>
      <c r="W569" s="114"/>
    </row>
    <row r="570" spans="2:23">
      <c r="B570" s="114"/>
      <c r="C570" s="74"/>
      <c r="D570" s="74"/>
      <c r="E570" s="74"/>
      <c r="F570" s="114"/>
      <c r="G570" s="74"/>
      <c r="H570" s="74"/>
      <c r="I570" s="74"/>
      <c r="J570" s="114"/>
      <c r="K570" s="74"/>
      <c r="L570" s="74"/>
      <c r="M570" s="114"/>
      <c r="N570" s="115"/>
      <c r="O570" s="74"/>
      <c r="P570" s="74"/>
      <c r="Q570" s="74"/>
      <c r="R570" s="114"/>
      <c r="S570" s="129"/>
      <c r="T570" s="117"/>
      <c r="U570" s="117"/>
      <c r="V570" s="129"/>
      <c r="W570" s="114"/>
    </row>
    <row r="571" spans="2:23">
      <c r="B571" s="114">
        <v>33</v>
      </c>
      <c r="C571" s="74">
        <f t="shared" si="274"/>
        <v>32</v>
      </c>
      <c r="D571" s="74">
        <f t="shared" si="275"/>
        <v>31</v>
      </c>
      <c r="E571" s="74">
        <f t="shared" si="276"/>
        <v>30</v>
      </c>
      <c r="F571" s="114">
        <v>29</v>
      </c>
      <c r="G571" s="74">
        <f t="shared" si="277"/>
        <v>28</v>
      </c>
      <c r="H571" s="74">
        <f t="shared" si="278"/>
        <v>27</v>
      </c>
      <c r="I571" s="74">
        <f t="shared" si="279"/>
        <v>26</v>
      </c>
      <c r="J571" s="114">
        <f t="shared" si="280"/>
        <v>25</v>
      </c>
      <c r="K571" s="74">
        <f t="shared" si="268"/>
        <v>24.001000000000001</v>
      </c>
      <c r="L571" s="74">
        <f t="shared" si="267"/>
        <v>23.001999999999999</v>
      </c>
      <c r="M571" s="114">
        <f>SUM(J571,J571-G571)</f>
        <v>22</v>
      </c>
      <c r="N571" s="115">
        <f t="shared" ref="N571:N577" si="302">SUM(0.2*(R571-M571),M571)</f>
        <v>21</v>
      </c>
      <c r="O571" s="74">
        <f t="shared" ref="O571:O577" si="303">SUM(0.4*(R571-M571),M571)</f>
        <v>20</v>
      </c>
      <c r="P571" s="74">
        <f t="shared" ref="P571:P577" si="304">SUM(0.6*(R571-M571),M571)</f>
        <v>19</v>
      </c>
      <c r="Q571" s="74">
        <f t="shared" ref="Q571:Q577" si="305">SUM(0.8*(R571-M571),M571)</f>
        <v>18</v>
      </c>
      <c r="R571" s="114">
        <v>17</v>
      </c>
      <c r="S571" s="129"/>
      <c r="T571" s="117">
        <f>SUM((AQ19+AR19+AS18+AT18+AU17+AV17+AW16+AX16+AY15+AZ15+BA14+BB14+BC13+BD13+BE12+BF12+BG11+BH11+BI10+BJ10+BK9+BL9+BM8+BN8+BO7+BP7+BQ6+BR6+BS5+BT5+BU4+BV4)*0.132/2,AP20*0.132,17)</f>
        <v>15.605538461538464</v>
      </c>
      <c r="U571" s="117"/>
      <c r="V571" s="129"/>
      <c r="W571" s="114"/>
    </row>
    <row r="572" spans="2:23">
      <c r="B572" s="114">
        <v>34</v>
      </c>
      <c r="C572" s="74">
        <f t="shared" si="274"/>
        <v>32.75</v>
      </c>
      <c r="D572" s="74">
        <f t="shared" si="275"/>
        <v>31.5</v>
      </c>
      <c r="E572" s="74">
        <f t="shared" si="276"/>
        <v>30.25</v>
      </c>
      <c r="F572" s="114">
        <v>29</v>
      </c>
      <c r="G572" s="74">
        <f t="shared" si="277"/>
        <v>27.75</v>
      </c>
      <c r="H572" s="74">
        <f t="shared" si="278"/>
        <v>26.5</v>
      </c>
      <c r="I572" s="74">
        <f t="shared" si="279"/>
        <v>25.25</v>
      </c>
      <c r="J572" s="114">
        <f t="shared" si="280"/>
        <v>24</v>
      </c>
      <c r="K572" s="74">
        <f t="shared" si="268"/>
        <v>23.001000000000001</v>
      </c>
      <c r="L572" s="74">
        <f t="shared" ref="L572:L577" si="306">SUM(0.666*(M572-J572),J572)</f>
        <v>22.001999999999999</v>
      </c>
      <c r="M572" s="114">
        <f t="shared" ref="M572:M588" si="307">SUM(J572,-F572,J572,0.4*ABS(J572-F572))</f>
        <v>21</v>
      </c>
      <c r="N572" s="115">
        <f t="shared" si="302"/>
        <v>20.2</v>
      </c>
      <c r="O572" s="74">
        <f t="shared" si="303"/>
        <v>19.399999999999999</v>
      </c>
      <c r="P572" s="74">
        <f t="shared" si="304"/>
        <v>18.600000000000001</v>
      </c>
      <c r="Q572" s="74">
        <f t="shared" si="305"/>
        <v>17.8</v>
      </c>
      <c r="R572" s="114">
        <v>17</v>
      </c>
      <c r="S572" s="129"/>
      <c r="T572" s="117">
        <f>SUM((AN20+AO20+AP19+AQ19+AU17+AV17+AW16+AX16)*0.132/2,(AR18+AS18+AT18+AY15+AZ15+BA15+BD13+BE13+BF13)*0.132/3,(BB14+BC14+BG12+BH12+BI11+BJ11+BK10+BL10+BM9+BN9+BQ6+BR6+BS5+BT5+BU4+BV4)*0.132/2,(BO8+BP7)*0.132,17)</f>
        <v>15.627538461538462</v>
      </c>
      <c r="U572" s="117"/>
      <c r="V572" s="129"/>
      <c r="W572" s="114"/>
    </row>
    <row r="573" spans="2:23">
      <c r="B573" s="114">
        <v>35</v>
      </c>
      <c r="C573" s="74">
        <f t="shared" si="274"/>
        <v>33.5</v>
      </c>
      <c r="D573" s="74">
        <f t="shared" si="275"/>
        <v>32</v>
      </c>
      <c r="E573" s="74">
        <f t="shared" si="276"/>
        <v>30.5</v>
      </c>
      <c r="F573" s="114">
        <v>29</v>
      </c>
      <c r="G573" s="74">
        <f t="shared" si="277"/>
        <v>27.5</v>
      </c>
      <c r="H573" s="74">
        <f t="shared" si="278"/>
        <v>26</v>
      </c>
      <c r="I573" s="74">
        <f t="shared" si="279"/>
        <v>24.5</v>
      </c>
      <c r="J573" s="114">
        <f t="shared" si="280"/>
        <v>23</v>
      </c>
      <c r="K573" s="74">
        <f t="shared" si="268"/>
        <v>21.801199999999998</v>
      </c>
      <c r="L573" s="74">
        <f t="shared" si="306"/>
        <v>20.602399999999999</v>
      </c>
      <c r="M573" s="114">
        <f t="shared" si="307"/>
        <v>19.399999999999999</v>
      </c>
      <c r="N573" s="115">
        <f t="shared" si="302"/>
        <v>18.919999999999998</v>
      </c>
      <c r="O573" s="74">
        <f t="shared" si="303"/>
        <v>18.439999999999998</v>
      </c>
      <c r="P573" s="74">
        <f t="shared" si="304"/>
        <v>17.96</v>
      </c>
      <c r="Q573" s="74">
        <f t="shared" si="305"/>
        <v>17.48</v>
      </c>
      <c r="R573" s="114">
        <v>17</v>
      </c>
      <c r="S573" s="129"/>
      <c r="T573" s="117">
        <f>SUM((AL20+AM20+AQ18+AR18)*0.132/2,(AN19+AO19+AP19+AS17+AT17+AU17+AV16+AW16+AX16++AY15+AZ15+BA15+BB14+BC14+BD14+BE13+BF13+BG13+BH12+BI12+BJ12+BK11+BL11+BM11)*0.132/3,(BN10+BO10+BP9+BQ9)*0.132/2,(BR8+BS7+BT6+BU5+BV4)*0.132,17)</f>
        <v>15.671538461538463</v>
      </c>
      <c r="U573" s="117"/>
      <c r="V573" s="129"/>
      <c r="W573" s="114"/>
    </row>
    <row r="574" spans="2:23">
      <c r="B574" s="114">
        <v>36</v>
      </c>
      <c r="C574" s="74">
        <f t="shared" si="274"/>
        <v>34.25</v>
      </c>
      <c r="D574" s="74">
        <f t="shared" si="275"/>
        <v>32.5</v>
      </c>
      <c r="E574" s="74">
        <f t="shared" si="276"/>
        <v>30.75</v>
      </c>
      <c r="F574" s="114">
        <v>29</v>
      </c>
      <c r="G574" s="74">
        <f t="shared" si="277"/>
        <v>27.25</v>
      </c>
      <c r="H574" s="74">
        <f t="shared" si="278"/>
        <v>25.5</v>
      </c>
      <c r="I574" s="74">
        <f t="shared" si="279"/>
        <v>23.75</v>
      </c>
      <c r="J574" s="114">
        <f t="shared" si="280"/>
        <v>22</v>
      </c>
      <c r="K574" s="74">
        <f t="shared" si="268"/>
        <v>20.601400000000002</v>
      </c>
      <c r="L574" s="74">
        <f t="shared" si="306"/>
        <v>19.2028</v>
      </c>
      <c r="M574" s="114">
        <f t="shared" si="307"/>
        <v>17.8</v>
      </c>
      <c r="N574" s="115">
        <f t="shared" si="302"/>
        <v>17.64</v>
      </c>
      <c r="O574" s="74">
        <f t="shared" si="303"/>
        <v>17.48</v>
      </c>
      <c r="P574" s="74">
        <f t="shared" si="304"/>
        <v>17.32</v>
      </c>
      <c r="Q574" s="74">
        <f t="shared" si="305"/>
        <v>17.16</v>
      </c>
      <c r="R574" s="114">
        <v>17</v>
      </c>
      <c r="S574" s="129"/>
      <c r="T574" s="117">
        <f>SUM((AJ20+AK20+AL20+AM19+AN19+AO19+AP18+AQ18+AR18+AS17+AT17+AU17+AV16+AW16+AX16+BC14+BD14+BE14+BJ12+BK12+BL12+BM11+BN11+BO11+BP10+BQ10+BR10)*0.132/3,(AY15+AZ15+BA15+BB15+BF13+BG13+BH13+BI13)*0.132/4,(BS9+BT9)*0.132/2,(BU8+BU7+BV6+BV5+BV4)*0.132,17)</f>
        <v>15.539538461538461</v>
      </c>
      <c r="U574" s="117"/>
      <c r="V574" s="129"/>
      <c r="W574" s="114"/>
    </row>
    <row r="575" spans="2:23">
      <c r="B575" s="114">
        <v>37</v>
      </c>
      <c r="C575" s="74">
        <f t="shared" si="274"/>
        <v>35</v>
      </c>
      <c r="D575" s="74">
        <f t="shared" si="275"/>
        <v>33</v>
      </c>
      <c r="E575" s="74">
        <f t="shared" si="276"/>
        <v>31</v>
      </c>
      <c r="F575" s="114">
        <v>29</v>
      </c>
      <c r="G575" s="74">
        <f t="shared" si="277"/>
        <v>27</v>
      </c>
      <c r="H575" s="74">
        <f t="shared" si="278"/>
        <v>25</v>
      </c>
      <c r="I575" s="74">
        <f t="shared" si="279"/>
        <v>23</v>
      </c>
      <c r="J575" s="114">
        <f t="shared" si="280"/>
        <v>21</v>
      </c>
      <c r="K575" s="74">
        <f t="shared" ref="K575:K594" si="308">SUM(0.333*(M575-J575),J575)</f>
        <v>19.401599999999998</v>
      </c>
      <c r="L575" s="74">
        <f t="shared" si="306"/>
        <v>17.8032</v>
      </c>
      <c r="M575" s="114">
        <f t="shared" si="307"/>
        <v>16.2</v>
      </c>
      <c r="N575" s="115">
        <f t="shared" si="302"/>
        <v>16.36</v>
      </c>
      <c r="O575" s="74">
        <f t="shared" si="303"/>
        <v>16.52</v>
      </c>
      <c r="P575" s="74">
        <f t="shared" si="304"/>
        <v>16.68</v>
      </c>
      <c r="Q575" s="74">
        <f t="shared" si="305"/>
        <v>16.84</v>
      </c>
      <c r="R575" s="114">
        <v>17</v>
      </c>
      <c r="S575" s="129"/>
      <c r="T575" s="117">
        <f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15.198538461538462</v>
      </c>
      <c r="U575" s="117"/>
      <c r="V575" s="129"/>
      <c r="W575" s="114"/>
    </row>
    <row r="576" spans="2:23">
      <c r="B576" s="114">
        <v>38</v>
      </c>
      <c r="C576" s="74">
        <f t="shared" si="274"/>
        <v>35.75</v>
      </c>
      <c r="D576" s="74">
        <f t="shared" si="275"/>
        <v>33.5</v>
      </c>
      <c r="E576" s="74">
        <f t="shared" si="276"/>
        <v>31.25</v>
      </c>
      <c r="F576" s="114">
        <v>29</v>
      </c>
      <c r="G576" s="74">
        <f t="shared" si="277"/>
        <v>26.75</v>
      </c>
      <c r="H576" s="74">
        <f t="shared" si="278"/>
        <v>24.5</v>
      </c>
      <c r="I576" s="74">
        <f t="shared" si="279"/>
        <v>22.25</v>
      </c>
      <c r="J576" s="114">
        <f t="shared" si="280"/>
        <v>20</v>
      </c>
      <c r="K576" s="74">
        <f t="shared" si="308"/>
        <v>18.201799999999999</v>
      </c>
      <c r="L576" s="74">
        <f t="shared" si="306"/>
        <v>16.403600000000001</v>
      </c>
      <c r="M576" s="114">
        <f t="shared" si="307"/>
        <v>14.6</v>
      </c>
      <c r="N576" s="115">
        <f t="shared" si="302"/>
        <v>15.08</v>
      </c>
      <c r="O576" s="74">
        <f t="shared" si="303"/>
        <v>15.56</v>
      </c>
      <c r="P576" s="74">
        <f t="shared" si="304"/>
        <v>16.04</v>
      </c>
      <c r="Q576" s="74">
        <f t="shared" si="305"/>
        <v>16.52</v>
      </c>
      <c r="R576" s="114">
        <v>17</v>
      </c>
      <c r="S576" s="129"/>
      <c r="T576" s="117">
        <f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15.301938461538461</v>
      </c>
      <c r="U576" s="117"/>
      <c r="V576" s="129"/>
      <c r="W576" s="114"/>
    </row>
    <row r="577" spans="2:23">
      <c r="B577" s="114">
        <v>39</v>
      </c>
      <c r="C577" s="74">
        <f t="shared" si="274"/>
        <v>36.5</v>
      </c>
      <c r="D577" s="74">
        <f t="shared" si="275"/>
        <v>34</v>
      </c>
      <c r="E577" s="74">
        <f t="shared" si="276"/>
        <v>31.5</v>
      </c>
      <c r="F577" s="114">
        <v>29</v>
      </c>
      <c r="G577" s="74">
        <f t="shared" si="277"/>
        <v>26.5</v>
      </c>
      <c r="H577" s="74">
        <f t="shared" si="278"/>
        <v>24</v>
      </c>
      <c r="I577" s="74">
        <f t="shared" si="279"/>
        <v>21.5</v>
      </c>
      <c r="J577" s="114">
        <f t="shared" si="280"/>
        <v>19</v>
      </c>
      <c r="K577" s="74">
        <f t="shared" si="308"/>
        <v>17.001999999999999</v>
      </c>
      <c r="L577" s="74">
        <f t="shared" si="306"/>
        <v>15.004</v>
      </c>
      <c r="M577" s="114">
        <f t="shared" si="307"/>
        <v>13</v>
      </c>
      <c r="N577" s="115">
        <f t="shared" si="302"/>
        <v>13.8</v>
      </c>
      <c r="O577" s="74">
        <f t="shared" si="303"/>
        <v>14.6</v>
      </c>
      <c r="P577" s="74">
        <f t="shared" si="304"/>
        <v>15.4</v>
      </c>
      <c r="Q577" s="74">
        <f t="shared" si="305"/>
        <v>16.2</v>
      </c>
      <c r="R577" s="114">
        <v>17</v>
      </c>
      <c r="S577" s="129"/>
      <c r="T577" s="117">
        <f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15.394338461538462</v>
      </c>
      <c r="U577" s="117"/>
      <c r="V577" s="129"/>
      <c r="W577" s="114"/>
    </row>
    <row r="578" spans="2:23">
      <c r="B578" s="114"/>
      <c r="C578" s="74"/>
      <c r="D578" s="74"/>
      <c r="E578" s="74"/>
      <c r="F578" s="114"/>
      <c r="G578" s="74"/>
      <c r="H578" s="74"/>
      <c r="I578" s="74"/>
      <c r="J578" s="114"/>
      <c r="K578" s="74"/>
      <c r="L578" s="74"/>
      <c r="M578" s="114"/>
      <c r="N578" s="115"/>
      <c r="O578" s="74"/>
      <c r="P578" s="74"/>
      <c r="Q578" s="74"/>
      <c r="R578" s="114"/>
      <c r="S578" s="129"/>
      <c r="T578" s="117"/>
      <c r="U578" s="117"/>
      <c r="V578" s="129"/>
      <c r="W578" s="114"/>
    </row>
    <row r="579" spans="2:23">
      <c r="B579" s="114">
        <v>35</v>
      </c>
      <c r="C579" s="74">
        <f t="shared" ref="C579:C594" si="309">SUM(0.25*(F579-B579),B579)</f>
        <v>33.75</v>
      </c>
      <c r="D579" s="74">
        <f t="shared" ref="D579:D594" si="310">SUM(0.5*(F579-B579)+B579)</f>
        <v>32.5</v>
      </c>
      <c r="E579" s="74">
        <f t="shared" ref="E579:E594" si="311">SUM(0.75*(F579-B579),B579)</f>
        <v>31.25</v>
      </c>
      <c r="F579" s="114">
        <v>30</v>
      </c>
      <c r="G579" s="74">
        <f t="shared" ref="G579:G594" si="312">SUM(0.25*(J579-F579),F579)</f>
        <v>28.75</v>
      </c>
      <c r="H579" s="74">
        <f t="shared" ref="H579:H594" si="313">SUM(0.5*(J579-F579),F579)</f>
        <v>27.5</v>
      </c>
      <c r="I579" s="74">
        <f t="shared" ref="I579:I594" si="314">SUM(0.75*(J579-F579),F579)</f>
        <v>26.25</v>
      </c>
      <c r="J579" s="114">
        <f t="shared" ref="J579:J594" si="315">SUM(F579,-B579,F579)</f>
        <v>25</v>
      </c>
      <c r="K579" s="74">
        <f t="shared" si="308"/>
        <v>24.001000000000001</v>
      </c>
      <c r="L579" s="74">
        <f t="shared" ref="L579:L594" si="316">SUM(0.666*(M579-J579),J579)</f>
        <v>23.001999999999999</v>
      </c>
      <c r="M579" s="114">
        <f t="shared" si="307"/>
        <v>22</v>
      </c>
      <c r="N579" s="115">
        <f>SUM(0.2*(R579-M579),M579)</f>
        <v>21</v>
      </c>
      <c r="O579" s="74">
        <f>SUM(0.4*(R579-M579),M579)</f>
        <v>20</v>
      </c>
      <c r="P579" s="74">
        <f>SUM(0.6*(R579-M579),M579)</f>
        <v>19</v>
      </c>
      <c r="Q579" s="74">
        <f>SUM(0.8*(R579-M579),M579)</f>
        <v>18</v>
      </c>
      <c r="R579" s="114">
        <v>17</v>
      </c>
      <c r="S579" s="129"/>
      <c r="T579" s="117">
        <f>SUM((AL20+AM20+AN19+AO19+AS17+AT17+AU16+AV16+AZ14+BA14+BE12+BF12+BG11+BH11+BI10+BJ10+BK9+BL9+BM8+BN8+BO7+BP7+BQ6+BR6+BS5+BT5+BU4+BV4)*0.132/2,(AP18+AQ18+AR18+AW15+AX15+AY15+BB13+BC13+BD13)*0.132/3,17)</f>
        <v>15.165538461538462</v>
      </c>
      <c r="U579" s="117"/>
      <c r="V579" s="129"/>
      <c r="W579" s="114"/>
    </row>
    <row r="580" spans="2:23">
      <c r="B580" s="114">
        <v>36</v>
      </c>
      <c r="C580" s="74">
        <f t="shared" si="309"/>
        <v>34.5</v>
      </c>
      <c r="D580" s="74">
        <f t="shared" si="310"/>
        <v>33</v>
      </c>
      <c r="E580" s="74">
        <f t="shared" si="311"/>
        <v>31.5</v>
      </c>
      <c r="F580" s="114">
        <v>30</v>
      </c>
      <c r="G580" s="74">
        <f t="shared" si="312"/>
        <v>28.5</v>
      </c>
      <c r="H580" s="74">
        <f t="shared" si="313"/>
        <v>27</v>
      </c>
      <c r="I580" s="74">
        <f t="shared" si="314"/>
        <v>25.5</v>
      </c>
      <c r="J580" s="114">
        <f t="shared" si="315"/>
        <v>24</v>
      </c>
      <c r="K580" s="74">
        <f t="shared" si="308"/>
        <v>22.801199999999998</v>
      </c>
      <c r="L580" s="74">
        <f t="shared" si="316"/>
        <v>21.602399999999999</v>
      </c>
      <c r="M580" s="114">
        <f t="shared" si="307"/>
        <v>20.399999999999999</v>
      </c>
      <c r="N580" s="115">
        <f>SUM(0.2*(R580-M580),M580)</f>
        <v>19.72</v>
      </c>
      <c r="O580" s="74">
        <f>SUM(0.4*(R580-M580),M580)</f>
        <v>19.04</v>
      </c>
      <c r="P580" s="74">
        <f>SUM(0.6*(R580-M580),M580)</f>
        <v>18.36</v>
      </c>
      <c r="Q580" s="74">
        <f>SUM(0.8*(R580-M580),M580)</f>
        <v>17.68</v>
      </c>
      <c r="R580" s="114">
        <v>17</v>
      </c>
      <c r="S580" s="129"/>
      <c r="T580" s="117">
        <f>SUM((AJ20+AK20++AO18+AP18)*0.132/2,(AL19+AM19+AN19+AQ17+AR17+AS17+AT16+AU16+AV16+AW15+AX15+AY15+AZ14+BA14+BB14+BC13+BD13+BE13+BF12+BG12+BH12+BI11+BJ11+BK11)*0.132/3,(BL10+BM10+BN9+BO9+BS5+BT5+BU4+BV4)*0.132/2,(BP8+BQ7+BR6)*0.132,17)</f>
        <v>14.923538461538461</v>
      </c>
      <c r="U580" s="117"/>
      <c r="V580" s="129"/>
      <c r="W580" s="114"/>
    </row>
    <row r="581" spans="2:23">
      <c r="B581" s="114">
        <v>37</v>
      </c>
      <c r="C581" s="74">
        <f t="shared" si="309"/>
        <v>35.25</v>
      </c>
      <c r="D581" s="74">
        <f t="shared" si="310"/>
        <v>33.5</v>
      </c>
      <c r="E581" s="74">
        <f t="shared" si="311"/>
        <v>31.75</v>
      </c>
      <c r="F581" s="114">
        <v>30</v>
      </c>
      <c r="G581" s="74">
        <f t="shared" si="312"/>
        <v>28.25</v>
      </c>
      <c r="H581" s="74">
        <f t="shared" si="313"/>
        <v>26.5</v>
      </c>
      <c r="I581" s="74">
        <f t="shared" si="314"/>
        <v>24.75</v>
      </c>
      <c r="J581" s="114">
        <f t="shared" si="315"/>
        <v>23</v>
      </c>
      <c r="K581" s="74">
        <f t="shared" si="308"/>
        <v>21.601400000000002</v>
      </c>
      <c r="L581" s="74">
        <f t="shared" si="316"/>
        <v>20.2028</v>
      </c>
      <c r="M581" s="114">
        <f t="shared" si="307"/>
        <v>18.8</v>
      </c>
      <c r="N581" s="115">
        <f>SUM(0.2*(R581-M581),M581)</f>
        <v>18.440000000000001</v>
      </c>
      <c r="O581" s="74">
        <f>SUM(0.4*(R581-M581),M581)</f>
        <v>18.080000000000002</v>
      </c>
      <c r="P581" s="74">
        <f>SUM(0.6*(R581-M581),M581)</f>
        <v>17.72</v>
      </c>
      <c r="Q581" s="74">
        <f>SUM(0.8*(R581-M581),M581)</f>
        <v>17.36</v>
      </c>
      <c r="R581" s="114">
        <v>17</v>
      </c>
      <c r="S581" s="129"/>
      <c r="T581" s="117">
        <f>SUM((AH20+AI20+AJ20+AK19+AL19+AM19+AN18+AO18+AP18+AQ17+AR17+AS17+AT16+AU16+AV16+BA14+BB14+BC14+BH12+BI12+BJ12+BK11+BL11+BM11+BN10+BO10+BP10)*0.132/3,(AW15+AX15+AY15+AZ15+BD13+BE13+BF13+BG13)*0.132/4,(BQ9+BR9)*0.132/2,(BS8++BS7+BT6+BU5+BV4)*0.132,17)</f>
        <v>14.989538461538462</v>
      </c>
      <c r="U581" s="117"/>
      <c r="V581" s="129"/>
      <c r="W581" s="114"/>
    </row>
    <row r="582" spans="2:23">
      <c r="B582" s="114">
        <v>38</v>
      </c>
      <c r="C582" s="74">
        <f t="shared" si="309"/>
        <v>36</v>
      </c>
      <c r="D582" s="74">
        <f t="shared" si="310"/>
        <v>34</v>
      </c>
      <c r="E582" s="74">
        <f t="shared" si="311"/>
        <v>32</v>
      </c>
      <c r="F582" s="114">
        <v>30</v>
      </c>
      <c r="G582" s="74">
        <f t="shared" si="312"/>
        <v>28</v>
      </c>
      <c r="H582" s="74">
        <f t="shared" si="313"/>
        <v>26</v>
      </c>
      <c r="I582" s="74">
        <f t="shared" si="314"/>
        <v>24</v>
      </c>
      <c r="J582" s="114">
        <f t="shared" si="315"/>
        <v>22</v>
      </c>
      <c r="K582" s="74">
        <f t="shared" si="308"/>
        <v>20.401599999999998</v>
      </c>
      <c r="L582" s="74">
        <f t="shared" si="316"/>
        <v>18.8032</v>
      </c>
      <c r="M582" s="114">
        <f t="shared" si="307"/>
        <v>17.2</v>
      </c>
      <c r="N582" s="115">
        <f>SUM(0.2*(R582-M582),M582)</f>
        <v>17.16</v>
      </c>
      <c r="O582" s="74">
        <f>SUM(0.4*(R582-M582),M582)</f>
        <v>17.12</v>
      </c>
      <c r="P582" s="74">
        <f>SUM(0.6*(R582-M582),M582)</f>
        <v>17.079999999999998</v>
      </c>
      <c r="Q582" s="74">
        <f>SUM(0.8*(R582-M582),M582)</f>
        <v>17.04</v>
      </c>
      <c r="R582" s="114">
        <v>17</v>
      </c>
      <c r="S582" s="129"/>
      <c r="T582" s="117">
        <f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15.275538461538462</v>
      </c>
      <c r="U582" s="117"/>
      <c r="V582" s="129"/>
      <c r="W582" s="114"/>
    </row>
    <row r="583" spans="2:23">
      <c r="B583" s="114">
        <v>39</v>
      </c>
      <c r="C583" s="74">
        <f t="shared" si="309"/>
        <v>36.75</v>
      </c>
      <c r="D583" s="74">
        <f t="shared" si="310"/>
        <v>34.5</v>
      </c>
      <c r="E583" s="74">
        <f t="shared" si="311"/>
        <v>32.25</v>
      </c>
      <c r="F583" s="114">
        <v>30</v>
      </c>
      <c r="G583" s="74">
        <f t="shared" si="312"/>
        <v>27.75</v>
      </c>
      <c r="H583" s="74">
        <f t="shared" si="313"/>
        <v>25.5</v>
      </c>
      <c r="I583" s="74">
        <f t="shared" si="314"/>
        <v>23.25</v>
      </c>
      <c r="J583" s="114">
        <f t="shared" si="315"/>
        <v>21</v>
      </c>
      <c r="K583" s="74">
        <f t="shared" si="308"/>
        <v>19.201799999999999</v>
      </c>
      <c r="L583" s="74">
        <f t="shared" si="316"/>
        <v>17.403600000000001</v>
      </c>
      <c r="M583" s="114">
        <f t="shared" si="307"/>
        <v>15.6</v>
      </c>
      <c r="N583" s="115">
        <f>SUM(0.2*(R583-M583),M583)</f>
        <v>15.879999999999999</v>
      </c>
      <c r="O583" s="74">
        <f>SUM(0.4*(R583-M583),M583)</f>
        <v>16.16</v>
      </c>
      <c r="P583" s="74">
        <f>SUM(0.6*(R583-M583),M583)</f>
        <v>16.440000000000001</v>
      </c>
      <c r="Q583" s="74">
        <f>SUM(0.8*(R583-M583),M583)</f>
        <v>16.72</v>
      </c>
      <c r="R583" s="114">
        <v>17</v>
      </c>
      <c r="S583" s="129"/>
      <c r="T583" s="117">
        <f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15.297538461538462</v>
      </c>
      <c r="U583" s="117"/>
      <c r="V583" s="129"/>
      <c r="W583" s="114"/>
    </row>
    <row r="584" spans="2:23">
      <c r="B584" s="114"/>
      <c r="C584" s="74"/>
      <c r="D584" s="74"/>
      <c r="E584" s="74"/>
      <c r="F584" s="114"/>
      <c r="G584" s="74"/>
      <c r="H584" s="74"/>
      <c r="I584" s="74"/>
      <c r="J584" s="114"/>
      <c r="K584" s="74"/>
      <c r="L584" s="74"/>
      <c r="M584" s="114"/>
      <c r="N584" s="115"/>
      <c r="O584" s="74"/>
      <c r="P584" s="74"/>
      <c r="Q584" s="74"/>
      <c r="R584" s="114"/>
      <c r="S584" s="129"/>
      <c r="T584" s="117"/>
      <c r="U584" s="117"/>
      <c r="V584" s="129"/>
      <c r="W584" s="114"/>
    </row>
    <row r="585" spans="2:23">
      <c r="B585" s="114">
        <v>36</v>
      </c>
      <c r="C585" s="74">
        <f t="shared" si="309"/>
        <v>34.75</v>
      </c>
      <c r="D585" s="74">
        <f t="shared" si="310"/>
        <v>33.5</v>
      </c>
      <c r="E585" s="74">
        <f t="shared" si="311"/>
        <v>32.25</v>
      </c>
      <c r="F585" s="114">
        <v>31</v>
      </c>
      <c r="G585" s="74">
        <f t="shared" si="312"/>
        <v>29.75</v>
      </c>
      <c r="H585" s="74">
        <f t="shared" si="313"/>
        <v>28.5</v>
      </c>
      <c r="I585" s="74">
        <f t="shared" si="314"/>
        <v>27.25</v>
      </c>
      <c r="J585" s="114">
        <f t="shared" si="315"/>
        <v>26</v>
      </c>
      <c r="K585" s="74">
        <f t="shared" si="308"/>
        <v>25.001000000000001</v>
      </c>
      <c r="L585" s="74">
        <f t="shared" si="316"/>
        <v>24.001999999999999</v>
      </c>
      <c r="M585" s="114">
        <f t="shared" si="307"/>
        <v>23</v>
      </c>
      <c r="N585" s="115">
        <f>SUM(0.2*(R585-M585),M585)</f>
        <v>21.8</v>
      </c>
      <c r="O585" s="74">
        <f>SUM(0.4*(R585-M585),M585)</f>
        <v>20.6</v>
      </c>
      <c r="P585" s="74">
        <f>SUM(0.6*(R585-M585),M585)</f>
        <v>19.399999999999999</v>
      </c>
      <c r="Q585" s="74">
        <f>SUM(0.8*(R585-M585),M585)</f>
        <v>18.2</v>
      </c>
      <c r="R585" s="114">
        <v>17</v>
      </c>
      <c r="S585" s="129"/>
      <c r="T585" s="117">
        <f>SUM((AJ20+AK20+AL19+AM19+AQ17+AR17+AS16+AT16)*0.132/2,(AN18+AO18+AP18+AU15+AV15+AW15+AZ13+BA13+BB13)*0.132/3,(AX14+AY14+BC12+BD12+BE11+BF11+BG10+BH10+BI9+BJ9+BK8+BL8+BM7+BN7+BO6+BP6)*0.132/2,(BQ5+BR5+BS5+BT4+BU4+BV4)*0.132/3,17)</f>
        <v>14.703538461538461</v>
      </c>
      <c r="U585" s="117"/>
      <c r="V585" s="129"/>
      <c r="W585" s="114"/>
    </row>
    <row r="586" spans="2:23">
      <c r="B586" s="114">
        <v>37</v>
      </c>
      <c r="C586" s="74">
        <f t="shared" si="309"/>
        <v>35.5</v>
      </c>
      <c r="D586" s="74">
        <f t="shared" si="310"/>
        <v>34</v>
      </c>
      <c r="E586" s="74">
        <f t="shared" si="311"/>
        <v>32.5</v>
      </c>
      <c r="F586" s="114">
        <v>31</v>
      </c>
      <c r="G586" s="74">
        <f t="shared" si="312"/>
        <v>29.5</v>
      </c>
      <c r="H586" s="74">
        <f t="shared" si="313"/>
        <v>28</v>
      </c>
      <c r="I586" s="74">
        <f t="shared" si="314"/>
        <v>26.5</v>
      </c>
      <c r="J586" s="114">
        <f t="shared" si="315"/>
        <v>25</v>
      </c>
      <c r="K586" s="74">
        <f t="shared" si="308"/>
        <v>23.801199999999998</v>
      </c>
      <c r="L586" s="74">
        <f t="shared" si="316"/>
        <v>22.602399999999999</v>
      </c>
      <c r="M586" s="114">
        <f t="shared" si="307"/>
        <v>21.4</v>
      </c>
      <c r="N586" s="115">
        <f>SUM(0.2*(R586-M586),M586)</f>
        <v>20.52</v>
      </c>
      <c r="O586" s="74">
        <f>SUM(0.4*(R586-M586),M586)</f>
        <v>19.64</v>
      </c>
      <c r="P586" s="74">
        <f>SUM(0.6*(R586-M586),M586)</f>
        <v>18.759999999999998</v>
      </c>
      <c r="Q586" s="74">
        <f>SUM(0.8*(R586-M586),M586)</f>
        <v>17.88</v>
      </c>
      <c r="R586" s="114">
        <v>17</v>
      </c>
      <c r="S586" s="129"/>
      <c r="T586" s="117">
        <f>SUM((AH20+AI20+AM18+AN18)*0.132/2,(AJ19+AK19+AL19+AO17+AP17+AQ17+AR16+AS16+AT16+AU15+AV15+AW15+AX14+AY14+AZ14+BA13+BB13+BC13+BD12+BE12+BF12+BG11+BH11+BI11)*0.132/3,(BJ10+BK10+BL9+BM9+BO7+BP7+BQ6+BR6+BS5+BT5+BU4+BV4)*0.132/2,BN8*0.132,17)</f>
        <v>14.747538461538461</v>
      </c>
      <c r="U586" s="117"/>
      <c r="V586" s="129"/>
      <c r="W586" s="114"/>
    </row>
    <row r="587" spans="2:23">
      <c r="B587" s="114">
        <v>38</v>
      </c>
      <c r="C587" s="74">
        <f t="shared" si="309"/>
        <v>36.25</v>
      </c>
      <c r="D587" s="74">
        <f t="shared" si="310"/>
        <v>34.5</v>
      </c>
      <c r="E587" s="74">
        <f t="shared" si="311"/>
        <v>32.75</v>
      </c>
      <c r="F587" s="114">
        <v>31</v>
      </c>
      <c r="G587" s="74">
        <f t="shared" si="312"/>
        <v>29.25</v>
      </c>
      <c r="H587" s="74">
        <f t="shared" si="313"/>
        <v>27.5</v>
      </c>
      <c r="I587" s="74">
        <f t="shared" si="314"/>
        <v>25.75</v>
      </c>
      <c r="J587" s="114">
        <f t="shared" si="315"/>
        <v>24</v>
      </c>
      <c r="K587" s="74">
        <f t="shared" si="308"/>
        <v>22.601400000000002</v>
      </c>
      <c r="L587" s="74">
        <f t="shared" si="316"/>
        <v>21.2028</v>
      </c>
      <c r="M587" s="114">
        <f t="shared" si="307"/>
        <v>19.8</v>
      </c>
      <c r="N587" s="115">
        <f>SUM(0.2*(R587-M587),M587)</f>
        <v>19.240000000000002</v>
      </c>
      <c r="O587" s="74">
        <f>SUM(0.4*(R587-M587),M587)</f>
        <v>18.68</v>
      </c>
      <c r="P587" s="74">
        <f>SUM(0.6*(R587-M587),M587)</f>
        <v>18.12</v>
      </c>
      <c r="Q587" s="74">
        <f>SUM(0.8*(R587-M587),M587)</f>
        <v>17.559999999999999</v>
      </c>
      <c r="R587" s="114">
        <v>17</v>
      </c>
      <c r="S587" s="129"/>
      <c r="T587" s="117">
        <f>SUM((AF20+AG20+AH20+AI19+AJ19+AK19+AL18+AM18+AN18+AO17+AP17+AQ17+AR16+AS16+AT16+AY14+AZ14+BA14+BF12+BG12+BH12+BI11+BJ11+BK11+BL10+BM10+BN10)*0.132/3,(AU15+AV15+AW15+AX15+BB13+BC13+BD13+BE13)*0.132/4,(BO9+BP9+BU4+BV4)*0.132/2,(BQ8+BR7+BS6+BT5)*0.132,17)</f>
        <v>14.923538461538461</v>
      </c>
      <c r="U587" s="117"/>
      <c r="V587" s="129"/>
      <c r="W587" s="114"/>
    </row>
    <row r="588" spans="2:23">
      <c r="B588" s="114">
        <v>39</v>
      </c>
      <c r="C588" s="74">
        <f t="shared" si="309"/>
        <v>37</v>
      </c>
      <c r="D588" s="74">
        <f t="shared" si="310"/>
        <v>35</v>
      </c>
      <c r="E588" s="74">
        <f t="shared" si="311"/>
        <v>33</v>
      </c>
      <c r="F588" s="114">
        <v>31</v>
      </c>
      <c r="G588" s="74">
        <f t="shared" si="312"/>
        <v>29</v>
      </c>
      <c r="H588" s="74">
        <f t="shared" si="313"/>
        <v>27</v>
      </c>
      <c r="I588" s="74">
        <f t="shared" si="314"/>
        <v>25</v>
      </c>
      <c r="J588" s="114">
        <f t="shared" si="315"/>
        <v>23</v>
      </c>
      <c r="K588" s="74">
        <f t="shared" si="308"/>
        <v>21.401599999999998</v>
      </c>
      <c r="L588" s="74">
        <f t="shared" si="316"/>
        <v>19.8032</v>
      </c>
      <c r="M588" s="114">
        <f t="shared" si="307"/>
        <v>18.2</v>
      </c>
      <c r="N588" s="115">
        <f>SUM(0.2*(R588-M588),M588)</f>
        <v>17.96</v>
      </c>
      <c r="O588" s="74">
        <f>SUM(0.4*(R588-M588),M588)</f>
        <v>17.72</v>
      </c>
      <c r="P588" s="74">
        <f>SUM(0.6*(R588-M588),M588)</f>
        <v>17.48</v>
      </c>
      <c r="Q588" s="74">
        <f>SUM(0.8*(R588-M588),M588)</f>
        <v>17.239999999999998</v>
      </c>
      <c r="R588" s="114">
        <v>17</v>
      </c>
      <c r="S588" s="129"/>
      <c r="T588" s="117">
        <f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15.055538461538461</v>
      </c>
      <c r="U588" s="117"/>
      <c r="V588" s="129"/>
      <c r="W588" s="114"/>
    </row>
    <row r="589" spans="2:23">
      <c r="B589" s="114"/>
      <c r="C589" s="74"/>
      <c r="D589" s="74"/>
      <c r="E589" s="74"/>
      <c r="F589" s="114"/>
      <c r="G589" s="74"/>
      <c r="H589" s="74"/>
      <c r="I589" s="74"/>
      <c r="J589" s="114"/>
      <c r="K589" s="74"/>
      <c r="L589" s="74"/>
      <c r="M589" s="114"/>
      <c r="N589" s="115"/>
      <c r="O589" s="74"/>
      <c r="P589" s="74"/>
      <c r="Q589" s="74"/>
      <c r="R589" s="114"/>
      <c r="S589" s="129"/>
      <c r="T589" s="117"/>
      <c r="U589" s="117"/>
      <c r="V589" s="129"/>
      <c r="W589" s="114"/>
    </row>
    <row r="590" spans="2:23">
      <c r="B590" s="114">
        <v>37</v>
      </c>
      <c r="C590" s="74">
        <f t="shared" si="309"/>
        <v>35.75</v>
      </c>
      <c r="D590" s="74">
        <f t="shared" si="310"/>
        <v>34.5</v>
      </c>
      <c r="E590" s="74">
        <f t="shared" si="311"/>
        <v>33.25</v>
      </c>
      <c r="F590" s="114">
        <v>32</v>
      </c>
      <c r="G590" s="74">
        <f t="shared" si="312"/>
        <v>30.75</v>
      </c>
      <c r="H590" s="74">
        <f t="shared" si="313"/>
        <v>29.5</v>
      </c>
      <c r="I590" s="74">
        <f t="shared" si="314"/>
        <v>28.25</v>
      </c>
      <c r="J590" s="114">
        <f t="shared" si="315"/>
        <v>27</v>
      </c>
      <c r="K590" s="74">
        <f t="shared" si="308"/>
        <v>25.751249999999999</v>
      </c>
      <c r="L590" s="74">
        <f t="shared" si="316"/>
        <v>24.502500000000001</v>
      </c>
      <c r="M590" s="114">
        <f>SUM(J590,J590-G590)</f>
        <v>23.25</v>
      </c>
      <c r="N590" s="115">
        <f>SUM(0.2*(R590-M590),M590)</f>
        <v>22</v>
      </c>
      <c r="O590" s="74">
        <f>SUM(0.4*(R590-M590),M590)</f>
        <v>20.75</v>
      </c>
      <c r="P590" s="74">
        <f>SUM(0.6*(R590-M590),M590)</f>
        <v>19.5</v>
      </c>
      <c r="Q590" s="74">
        <f>SUM(0.8*(R590-M590),M590)</f>
        <v>18.25</v>
      </c>
      <c r="R590" s="114">
        <v>17</v>
      </c>
      <c r="S590" s="129"/>
      <c r="T590" s="117">
        <f>SUM((AH20+AI20+AJ19+AK19+AO17+AP17+AQ16+AR16+AV14+AW14+BA12+BB12+BI9+BJ9)*0.132/2,(AL18+AM18+AN18+AS15+AT15+AU15+AX13+AY13+AZ13+BC11+BD11+BE11+BF10+BG10+BH10+BQ5+BR5+BS5+BT4+BU4+BV4)*0.132/3,(BK8+BL8+BM7+BN7+BO6+BP6)*0.132/2,17)</f>
        <v>14.989538461538462</v>
      </c>
      <c r="U590" s="117"/>
      <c r="V590" s="129"/>
      <c r="W590" s="114"/>
    </row>
    <row r="591" spans="2:23">
      <c r="B591" s="114">
        <v>38</v>
      </c>
      <c r="C591" s="74">
        <f t="shared" si="309"/>
        <v>36.5</v>
      </c>
      <c r="D591" s="74">
        <f t="shared" si="310"/>
        <v>35</v>
      </c>
      <c r="E591" s="74">
        <f t="shared" si="311"/>
        <v>33.5</v>
      </c>
      <c r="F591" s="114">
        <v>32</v>
      </c>
      <c r="G591" s="74">
        <f t="shared" si="312"/>
        <v>30.5</v>
      </c>
      <c r="H591" s="74">
        <f t="shared" si="313"/>
        <v>29</v>
      </c>
      <c r="I591" s="74">
        <f t="shared" si="314"/>
        <v>27.5</v>
      </c>
      <c r="J591" s="114">
        <f t="shared" si="315"/>
        <v>26</v>
      </c>
      <c r="K591" s="74">
        <f t="shared" si="308"/>
        <v>24.801199999999998</v>
      </c>
      <c r="L591" s="74">
        <f t="shared" si="316"/>
        <v>23.602399999999999</v>
      </c>
      <c r="M591" s="114">
        <f t="shared" ref="M591:M594" si="317">SUM(J591,-F591,J591,0.4*ABS(J591-F591))</f>
        <v>22.4</v>
      </c>
      <c r="N591" s="115">
        <f>SUM(0.2*(R591-M591),M591)</f>
        <v>21.32</v>
      </c>
      <c r="O591" s="74">
        <f>SUM(0.4*(R591-M591),M591)</f>
        <v>20.239999999999998</v>
      </c>
      <c r="P591" s="74">
        <f>SUM(0.6*(R591-M591),M591)</f>
        <v>19.16</v>
      </c>
      <c r="Q591" s="74">
        <f>SUM(0.8*(R591-M591),M591)</f>
        <v>18.079999999999998</v>
      </c>
      <c r="R591" s="114">
        <v>17</v>
      </c>
      <c r="S591" s="129"/>
      <c r="T591" s="117">
        <f>SUM((AF20+AG20+AK18+AL18)*0.132/2,(AH19+AI19+AJ19+AM17+AN17+AO17+AP16+AQ16+AR16+AS15+AT15+AU15+AV14+AW14+AX14+AY13+AZ13+BA13+BB12+BC12+BD12+BE11+BF11+BG11)*0.132/3,(BH10+BI10+BJ9+BK9+BL8+BM8+BN7+BO7+BP6+BQ6+BR5+BS5)*0.132/2,(BT4+BU4+BV4)*0.132/3,17)</f>
        <v>14.725538461538461</v>
      </c>
      <c r="U591" s="117"/>
      <c r="V591" s="129"/>
      <c r="W591" s="114"/>
    </row>
    <row r="592" spans="2:23">
      <c r="B592" s="114">
        <v>39</v>
      </c>
      <c r="C592" s="74">
        <f t="shared" si="309"/>
        <v>37.25</v>
      </c>
      <c r="D592" s="74">
        <f t="shared" si="310"/>
        <v>35.5</v>
      </c>
      <c r="E592" s="74">
        <f t="shared" si="311"/>
        <v>33.75</v>
      </c>
      <c r="F592" s="114">
        <v>32</v>
      </c>
      <c r="G592" s="74">
        <f t="shared" si="312"/>
        <v>30.25</v>
      </c>
      <c r="H592" s="74">
        <f t="shared" si="313"/>
        <v>28.5</v>
      </c>
      <c r="I592" s="74">
        <f t="shared" si="314"/>
        <v>26.75</v>
      </c>
      <c r="J592" s="114">
        <f t="shared" si="315"/>
        <v>25</v>
      </c>
      <c r="K592" s="74">
        <f t="shared" si="308"/>
        <v>23.601400000000002</v>
      </c>
      <c r="L592" s="74">
        <f t="shared" si="316"/>
        <v>22.2028</v>
      </c>
      <c r="M592" s="114">
        <f t="shared" si="317"/>
        <v>20.8</v>
      </c>
      <c r="N592" s="115">
        <f>SUM(0.2*(R592-M592),M592)</f>
        <v>20.04</v>
      </c>
      <c r="O592" s="74">
        <f>SUM(0.4*(R592-M592),M592)</f>
        <v>19.28</v>
      </c>
      <c r="P592" s="74">
        <f>SUM(0.6*(R592-M592),M592)</f>
        <v>18.52</v>
      </c>
      <c r="Q592" s="74">
        <f>SUM(0.8*(R592-M592),M592)</f>
        <v>17.759999999999998</v>
      </c>
      <c r="R592" s="114">
        <v>17</v>
      </c>
      <c r="S592" s="129"/>
      <c r="T592" s="117">
        <f>SUM((AD20+AE20+AF20+AG19+AH19+AI19+AJ18+AK18+AL18+AM17+AN17+AO17+AP16+AQ16+AR16+AW14+AX14+AY14+BD12+BE12+BF12+BG11+BH11+BI11+BJ10+BK10+BL10)*0.132/3,(AS15+AT15+AU15+AV15+AZ13+BA13+BB13+BC13)*0.132/4,(BM9+BN9+BQ6+BR6+BS5+BT5+BU4+BV4)*0.132/2,(BO8+BP7)*0.132,17)</f>
        <v>14.747538461538461</v>
      </c>
      <c r="U592" s="117"/>
      <c r="V592" s="129"/>
      <c r="W592" s="114"/>
    </row>
    <row r="593" spans="1:23">
      <c r="B593" s="114"/>
      <c r="C593" s="74"/>
      <c r="D593" s="74"/>
      <c r="E593" s="74"/>
      <c r="F593" s="114"/>
      <c r="G593" s="74"/>
      <c r="H593" s="74"/>
      <c r="I593" s="74"/>
      <c r="J593" s="114"/>
      <c r="K593" s="74"/>
      <c r="L593" s="74"/>
      <c r="M593" s="114"/>
      <c r="N593" s="115"/>
      <c r="O593" s="74"/>
      <c r="P593" s="74"/>
      <c r="Q593" s="74"/>
      <c r="R593" s="114"/>
      <c r="S593" s="129"/>
      <c r="T593" s="117"/>
      <c r="U593" s="117"/>
      <c r="V593" s="129"/>
      <c r="W593" s="114"/>
    </row>
    <row r="594" spans="1:23">
      <c r="B594" s="114">
        <v>39</v>
      </c>
      <c r="C594" s="74">
        <f t="shared" si="309"/>
        <v>37.5</v>
      </c>
      <c r="D594" s="74">
        <f t="shared" si="310"/>
        <v>36</v>
      </c>
      <c r="E594" s="74">
        <f t="shared" si="311"/>
        <v>34.5</v>
      </c>
      <c r="F594" s="114">
        <v>33</v>
      </c>
      <c r="G594" s="74">
        <f t="shared" si="312"/>
        <v>31.5</v>
      </c>
      <c r="H594" s="74">
        <f t="shared" si="313"/>
        <v>30</v>
      </c>
      <c r="I594" s="74">
        <f t="shared" si="314"/>
        <v>28.5</v>
      </c>
      <c r="J594" s="114">
        <f t="shared" si="315"/>
        <v>27</v>
      </c>
      <c r="K594" s="74">
        <f t="shared" si="308"/>
        <v>25.801199999999998</v>
      </c>
      <c r="L594" s="74">
        <f t="shared" si="316"/>
        <v>24.602399999999999</v>
      </c>
      <c r="M594" s="114">
        <f t="shared" si="317"/>
        <v>23.4</v>
      </c>
      <c r="N594" s="115">
        <f>SUM(0.2*(R594-M594),M594)</f>
        <v>22.119999999999997</v>
      </c>
      <c r="O594" s="74">
        <f>SUM(0.4*(R594-M594),M594)</f>
        <v>20.84</v>
      </c>
      <c r="P594" s="74">
        <f>SUM(0.6*(R594-M594),M594)</f>
        <v>19.559999999999999</v>
      </c>
      <c r="Q594" s="74">
        <f>SUM(0.8*(R594-M594),M594)</f>
        <v>18.28</v>
      </c>
      <c r="R594" s="114">
        <v>17</v>
      </c>
      <c r="S594" s="129"/>
      <c r="T594" s="117">
        <f>SUM((AD20+AE20+AI18+AJ18)*0.132/2,(AF19+AG19+AH19+AK17+AL17+AM17+AN16+AO16+AP16+AQ15+AR15+AS15+AT14+AU14+AV14+AW13+AX13+AY13+AZ12+BA12+BB12+BC11+BD11+BE11)*0.132/3,(BF10+BG10+BH9+BI9+BJ8+BK8+BL7+BM7)*0.132/2,(BN6+BO6+BP6+BQ5+BR5+BS5+BT4+BU4+BV4)*0.132/3,17)</f>
        <v>15.099538461538462</v>
      </c>
      <c r="U594" s="117"/>
      <c r="V594" s="129"/>
      <c r="W594" s="114"/>
    </row>
    <row r="595" spans="1:23">
      <c r="B595" s="111"/>
      <c r="F595" s="111"/>
      <c r="J595" s="111"/>
      <c r="N595" s="111"/>
      <c r="R595" s="111"/>
      <c r="S595" s="128"/>
      <c r="T595" s="117"/>
      <c r="U595" s="117"/>
      <c r="V595" s="129"/>
      <c r="W595" s="114"/>
    </row>
    <row r="596" spans="1:23">
      <c r="A596" s="84" t="s">
        <v>178</v>
      </c>
      <c r="B596" s="111">
        <f>COUNT(B302:B594)</f>
        <v>261</v>
      </c>
      <c r="C596" s="111" t="s">
        <v>182</v>
      </c>
      <c r="D596" s="111">
        <f>$B$596</f>
        <v>261</v>
      </c>
      <c r="E596" s="111" t="s">
        <v>181</v>
      </c>
      <c r="F596" s="111">
        <f>PRODUCT(B596,2)</f>
        <v>522</v>
      </c>
      <c r="J596" s="111"/>
      <c r="N596" s="111"/>
      <c r="R596" s="111"/>
      <c r="S596" s="128"/>
      <c r="T596" s="117"/>
      <c r="U596" s="117"/>
      <c r="V596" s="129"/>
      <c r="W596" s="114"/>
    </row>
    <row r="597" spans="1:23">
      <c r="B597" s="111"/>
      <c r="F597" s="111"/>
      <c r="J597" s="111"/>
      <c r="N597" s="111"/>
      <c r="R597" s="111"/>
      <c r="S597" s="128"/>
      <c r="T597" s="117"/>
      <c r="U597" s="117"/>
      <c r="V597" s="129"/>
      <c r="W597" s="114"/>
    </row>
    <row r="598" spans="1:23" ht="25.5">
      <c r="B598" s="111"/>
      <c r="F598" s="111"/>
      <c r="I598" s="116" t="s">
        <v>176</v>
      </c>
      <c r="J598" s="111"/>
      <c r="L598" s="111"/>
      <c r="M598" s="112"/>
      <c r="N598" s="112"/>
      <c r="R598" s="111"/>
      <c r="S598" s="128"/>
      <c r="T598" s="117"/>
      <c r="U598" s="117"/>
      <c r="V598" s="129"/>
      <c r="W598" s="114"/>
    </row>
    <row r="599" spans="1:23">
      <c r="B599" s="111"/>
      <c r="F599" s="111"/>
      <c r="J599" s="111"/>
      <c r="L599" s="111"/>
      <c r="M599" s="112"/>
      <c r="N599" s="112"/>
      <c r="R599" s="111"/>
      <c r="S599" s="128"/>
      <c r="T599" s="117"/>
      <c r="U599" s="117"/>
      <c r="V599" s="129"/>
      <c r="W599" s="114"/>
    </row>
    <row r="600" spans="1:23">
      <c r="B600" s="111"/>
      <c r="F600" s="111"/>
      <c r="J600" s="111"/>
      <c r="L600" s="111"/>
      <c r="M600" s="112"/>
      <c r="N600" s="112"/>
      <c r="R600" s="111"/>
      <c r="S600" s="128"/>
      <c r="T600" s="117"/>
      <c r="U600" s="117"/>
      <c r="V600" s="129"/>
      <c r="W600" s="114"/>
    </row>
    <row r="601" spans="1:23">
      <c r="B601" s="111" t="s">
        <v>127</v>
      </c>
      <c r="F601" s="113" t="s">
        <v>128</v>
      </c>
      <c r="J601" s="111"/>
      <c r="L601" s="111" t="s">
        <v>130</v>
      </c>
      <c r="M601" s="112"/>
      <c r="N601" s="112"/>
      <c r="R601" s="111"/>
      <c r="S601" s="128"/>
      <c r="T601" s="117"/>
      <c r="U601" s="117"/>
      <c r="V601" s="129"/>
      <c r="W601" s="114"/>
    </row>
    <row r="602" spans="1:23">
      <c r="B602" s="114">
        <v>0</v>
      </c>
      <c r="C602" s="74">
        <f t="shared" ref="C602" si="318">SUM(0.25*(F602-B602),B602)</f>
        <v>3.75</v>
      </c>
      <c r="D602" s="74">
        <f t="shared" ref="D602" si="319">SUM(0.5*(F602-B602)+B602)</f>
        <v>7.5</v>
      </c>
      <c r="E602" s="74">
        <f t="shared" ref="E602" si="320">SUM(0.75*(F602-B602),B602)</f>
        <v>11.25</v>
      </c>
      <c r="F602" s="114">
        <v>15</v>
      </c>
      <c r="G602" s="74">
        <f t="shared" ref="G602" si="321">SUM(0.25*(J602-F602),F602)</f>
        <v>18.75</v>
      </c>
      <c r="H602" s="74">
        <f t="shared" ref="H602" si="322">SUM(0.5*(J602-F602)+F602)</f>
        <v>22.5</v>
      </c>
      <c r="I602" s="74">
        <f t="shared" ref="I602" si="323">SUM(0.75*(J602-F602),F602)</f>
        <v>26.25</v>
      </c>
      <c r="J602" s="114">
        <v>30</v>
      </c>
      <c r="K602" s="74">
        <f t="shared" ref="K602" si="324">SUM(0.25*(N602-J602),J602)</f>
        <v>33.75</v>
      </c>
      <c r="L602" s="114">
        <f t="shared" ref="L602" si="325">SUM(0.5*(N602-J602)+J602)</f>
        <v>37.5</v>
      </c>
      <c r="M602" s="115">
        <f t="shared" ref="M602" si="326">SUM(0.75*(N602-J602),J602)</f>
        <v>41.25</v>
      </c>
      <c r="N602" s="115">
        <v>45</v>
      </c>
      <c r="O602" s="74">
        <f>SUM(0.25*(R602-N602),N602)</f>
        <v>48.75</v>
      </c>
      <c r="P602" s="74">
        <f>SUM(0.5*(R602-N602)+N602)</f>
        <v>52.5</v>
      </c>
      <c r="Q602" s="74">
        <f>SUM(0.75*(R602-N602),N602)</f>
        <v>56.25</v>
      </c>
      <c r="R602" s="114">
        <v>60</v>
      </c>
      <c r="S602" s="129"/>
      <c r="T602" s="117"/>
      <c r="U602" s="117"/>
      <c r="V602" s="129"/>
      <c r="W602" s="114"/>
    </row>
    <row r="603" spans="1:23">
      <c r="A603" s="112" t="s">
        <v>126</v>
      </c>
      <c r="B603" s="114"/>
      <c r="C603" s="74"/>
      <c r="D603" s="74"/>
      <c r="E603" s="74"/>
      <c r="F603" s="114"/>
      <c r="G603" s="74"/>
      <c r="H603" s="74"/>
      <c r="I603" s="74"/>
      <c r="J603" s="114"/>
      <c r="K603" s="74"/>
      <c r="L603" s="114"/>
      <c r="M603" s="115"/>
      <c r="N603" s="115"/>
      <c r="O603" s="74"/>
      <c r="P603" s="74"/>
      <c r="Q603" s="74"/>
      <c r="R603" s="114"/>
      <c r="S603" s="129"/>
      <c r="T603" s="117"/>
      <c r="U603" s="117"/>
      <c r="V603" s="129"/>
      <c r="W603" s="114"/>
    </row>
    <row r="604" spans="1:23">
      <c r="B604" s="114">
        <v>3.5</v>
      </c>
      <c r="C604" s="74">
        <v>7</v>
      </c>
      <c r="D604" s="74">
        <v>10.5</v>
      </c>
      <c r="E604" s="74">
        <v>14</v>
      </c>
      <c r="F604" s="114">
        <v>17.5</v>
      </c>
      <c r="G604" s="74">
        <v>21</v>
      </c>
      <c r="H604" s="74">
        <v>24.5</v>
      </c>
      <c r="I604" s="74">
        <v>28</v>
      </c>
      <c r="J604" s="114">
        <v>31.5</v>
      </c>
      <c r="K604" s="74">
        <v>35</v>
      </c>
      <c r="L604" s="114">
        <v>38.5</v>
      </c>
      <c r="M604" s="115">
        <v>42</v>
      </c>
      <c r="N604" s="115">
        <v>45.5</v>
      </c>
      <c r="O604" s="74">
        <v>49</v>
      </c>
      <c r="P604" s="74">
        <v>52.5</v>
      </c>
      <c r="Q604" s="74">
        <v>56</v>
      </c>
      <c r="R604" s="114">
        <v>58.5</v>
      </c>
      <c r="S604" s="129"/>
      <c r="T604" s="117"/>
      <c r="U604" s="117"/>
      <c r="V604" s="129"/>
      <c r="W604" s="114"/>
    </row>
    <row r="605" spans="1:23">
      <c r="A605" s="112" t="s">
        <v>125</v>
      </c>
      <c r="B605" s="114"/>
      <c r="C605" s="74"/>
      <c r="D605" s="74"/>
      <c r="E605" s="74"/>
      <c r="F605" s="114"/>
      <c r="G605" s="74"/>
      <c r="H605" s="74"/>
      <c r="I605" s="74"/>
      <c r="J605" s="114"/>
      <c r="K605" s="74"/>
      <c r="L605" s="114"/>
      <c r="M605" s="115"/>
      <c r="N605" s="115"/>
      <c r="O605" s="74"/>
      <c r="P605" s="74"/>
      <c r="Q605" s="74"/>
      <c r="R605" s="114"/>
      <c r="S605" s="129"/>
      <c r="T605" s="117"/>
      <c r="U605" s="117"/>
      <c r="V605" s="129"/>
      <c r="W605" s="114"/>
    </row>
    <row r="606" spans="1:23">
      <c r="A606" s="112"/>
      <c r="B606" s="114"/>
      <c r="C606" s="74"/>
      <c r="D606" s="74"/>
      <c r="E606" s="74"/>
      <c r="F606" s="114"/>
      <c r="G606" s="74"/>
      <c r="H606" s="74"/>
      <c r="I606" s="74"/>
      <c r="J606" s="114"/>
      <c r="K606" s="74"/>
      <c r="L606" s="114"/>
      <c r="M606" s="115"/>
      <c r="N606" s="115"/>
      <c r="O606" s="74"/>
      <c r="P606" s="74"/>
      <c r="Q606" s="74"/>
      <c r="R606" s="114"/>
      <c r="S606" s="129"/>
      <c r="T606" s="117"/>
      <c r="U606" s="117"/>
      <c r="V606" s="129"/>
      <c r="W606" s="114"/>
    </row>
    <row r="607" spans="1:23">
      <c r="A607" s="112"/>
      <c r="B607" s="114"/>
      <c r="C607" s="74"/>
      <c r="D607" s="74"/>
      <c r="E607" s="74"/>
      <c r="F607" s="114"/>
      <c r="G607" s="74"/>
      <c r="H607" s="74"/>
      <c r="I607" s="74"/>
      <c r="J607" s="114"/>
      <c r="K607" s="74"/>
      <c r="L607" s="114"/>
      <c r="M607" s="115"/>
      <c r="N607" s="115"/>
      <c r="O607" s="74"/>
      <c r="P607" s="74"/>
      <c r="Q607" s="74"/>
      <c r="R607" s="114"/>
      <c r="S607" s="129"/>
      <c r="T607" s="117"/>
      <c r="U607" s="117"/>
      <c r="V607" s="129"/>
      <c r="W607" s="114"/>
    </row>
    <row r="608" spans="1:23">
      <c r="B608" s="114">
        <v>1</v>
      </c>
      <c r="C608" s="74">
        <f t="shared" ref="C608:C667" si="327">SUM(0.25*(F608-B608),B608)</f>
        <v>1</v>
      </c>
      <c r="D608" s="74">
        <f t="shared" ref="D608:D667" si="328">SUM(0.5*(F608-B608)+B608)</f>
        <v>1</v>
      </c>
      <c r="E608" s="74">
        <f t="shared" ref="E608:E667" si="329">SUM(0.75*(F608-B608),B608)</f>
        <v>1</v>
      </c>
      <c r="F608" s="114">
        <v>1</v>
      </c>
      <c r="G608" s="74">
        <f t="shared" ref="G608:G667" si="330">SUM(0.25*(J608-F608),F608)</f>
        <v>1</v>
      </c>
      <c r="H608" s="74">
        <f t="shared" ref="H608:H667" si="331">SUM(0.5*(J608-F608),F608)</f>
        <v>1</v>
      </c>
      <c r="I608" s="74">
        <f t="shared" ref="I608:I667" si="332">SUM(0.75*(J608-F608),F608)</f>
        <v>1</v>
      </c>
      <c r="J608" s="114">
        <f t="shared" ref="J608:J667" si="333">SUM(F608,-B608,F608)</f>
        <v>1</v>
      </c>
      <c r="K608" s="74">
        <f t="shared" ref="K608" si="334">SUM(0.5*(L608-J608),J608)</f>
        <v>1.8</v>
      </c>
      <c r="L608" s="114">
        <f>SUM(J608,J608,-H608,0.25*ABS(J608-H608),0.1*(17-F608))</f>
        <v>2.6</v>
      </c>
      <c r="M608" s="115">
        <f>SUM(0.166*(R608-L608),L608)</f>
        <v>4.9904000000000002</v>
      </c>
      <c r="N608" s="115">
        <f>SUM(0.333*(R608-L608),L608)</f>
        <v>7.3952000000000009</v>
      </c>
      <c r="O608" s="74">
        <f>SUM(0.5*(R608-L608),L608)</f>
        <v>9.8000000000000007</v>
      </c>
      <c r="P608" s="74">
        <f>SUM(0.666*(R608-L608),L608)</f>
        <v>12.1904</v>
      </c>
      <c r="Q608" s="74">
        <f>SUM(0.832*(R608-L608),L608)</f>
        <v>14.5808</v>
      </c>
      <c r="R608" s="114">
        <v>17</v>
      </c>
      <c r="S608" s="129"/>
      <c r="T608" s="117">
        <f>SUM((DB20+DB19+DB18+DB17+DB16+DB15+DB14+DB13+DB12+DA11)*0.132,(CZ10+CY10)*0.132/2,(CX9+CW9+CV9+CU9+CT9+CS8+CR8+CQ8+CP8+CO8+CN7+CM7+CL7+CK7+CJ7+CI6+CH6+CG6+CF6+CE6+CD5+CC5+CB5+CA5+BZ5)*0.132/5,(BY4+BX4+BW4+BV4)*0.132/4,17)</f>
        <v>16.885938461538462</v>
      </c>
      <c r="U608" s="117"/>
      <c r="V608" s="129"/>
      <c r="W608" s="114"/>
    </row>
    <row r="609" spans="2:23">
      <c r="B609" s="114"/>
      <c r="C609" s="74"/>
      <c r="D609" s="74"/>
      <c r="E609" s="74"/>
      <c r="F609" s="114"/>
      <c r="G609" s="74"/>
      <c r="H609" s="74"/>
      <c r="I609" s="74"/>
      <c r="J609" s="114"/>
      <c r="K609" s="74"/>
      <c r="L609" s="114"/>
      <c r="M609" s="115"/>
      <c r="N609" s="115"/>
      <c r="O609" s="74"/>
      <c r="P609" s="74"/>
      <c r="Q609" s="74"/>
      <c r="R609" s="114"/>
      <c r="S609" s="129"/>
      <c r="T609" s="117"/>
      <c r="U609" s="117"/>
      <c r="V609" s="129"/>
      <c r="W609" s="114"/>
    </row>
    <row r="610" spans="2:23">
      <c r="B610" s="114">
        <v>1</v>
      </c>
      <c r="C610" s="74">
        <f t="shared" si="327"/>
        <v>1.25</v>
      </c>
      <c r="D610" s="74">
        <f t="shared" si="328"/>
        <v>1.5</v>
      </c>
      <c r="E610" s="74">
        <f t="shared" si="329"/>
        <v>1.75</v>
      </c>
      <c r="F610" s="114">
        <v>2</v>
      </c>
      <c r="G610" s="74">
        <f t="shared" si="330"/>
        <v>2.25</v>
      </c>
      <c r="H610" s="74">
        <f t="shared" si="331"/>
        <v>2.5</v>
      </c>
      <c r="I610" s="74">
        <f t="shared" si="332"/>
        <v>2.75</v>
      </c>
      <c r="J610" s="114">
        <f t="shared" si="333"/>
        <v>3</v>
      </c>
      <c r="K610" s="74">
        <f t="shared" ref="K610:K611" si="335">SUM(0.5*(L610-J610),J610)</f>
        <v>3.3125</v>
      </c>
      <c r="L610" s="114">
        <f t="shared" ref="L610:L614" si="336">SUM(J610,J610,-H610,0.25*ABS(J610-H610))</f>
        <v>3.625</v>
      </c>
      <c r="M610" s="115">
        <f>SUM(0.166*(R610-L610),L610)</f>
        <v>5.8452500000000001</v>
      </c>
      <c r="N610" s="115">
        <f>SUM(0.333*(R610-L610),L610)</f>
        <v>8.078875</v>
      </c>
      <c r="O610" s="74">
        <f>SUM(0.5*(R610-L610),L610)</f>
        <v>10.3125</v>
      </c>
      <c r="P610" s="74">
        <f>SUM(0.666*(R610-L610),L610)</f>
        <v>12.53275</v>
      </c>
      <c r="Q610" s="74">
        <f>SUM(0.832*(R610-L610),L610)</f>
        <v>14.753</v>
      </c>
      <c r="R610" s="114">
        <v>17</v>
      </c>
      <c r="S610" s="129"/>
      <c r="T610" s="117">
        <f>SUM((DB20+DA19+DA18+CZ17+CZ16+CY15+CY14+CX13+CX12+CW11+CW10)*0.132,(CV9+CU9+CT9+CS9+CR9+CQ8+CP8+CO8+CN8+CM8+CL7+CK7+CJ7+CI7+CH7)*0.132/5,(CG6+CF6+CE6+CD6+CC5+CB5+CA5+BZ5+BY4+BX4+BW4+BV4)*0.132/4,17)</f>
        <v>16.839738461538463</v>
      </c>
      <c r="U610" s="117"/>
      <c r="V610" s="129"/>
      <c r="W610" s="114"/>
    </row>
    <row r="611" spans="2:23">
      <c r="B611" s="114">
        <v>2</v>
      </c>
      <c r="C611" s="74">
        <f t="shared" si="327"/>
        <v>2</v>
      </c>
      <c r="D611" s="74">
        <f t="shared" si="328"/>
        <v>2</v>
      </c>
      <c r="E611" s="74">
        <f t="shared" si="329"/>
        <v>2</v>
      </c>
      <c r="F611" s="114">
        <v>2</v>
      </c>
      <c r="G611" s="74">
        <f t="shared" si="330"/>
        <v>2</v>
      </c>
      <c r="H611" s="74">
        <f t="shared" si="331"/>
        <v>2</v>
      </c>
      <c r="I611" s="74">
        <f t="shared" si="332"/>
        <v>2</v>
      </c>
      <c r="J611" s="114">
        <f t="shared" si="333"/>
        <v>2</v>
      </c>
      <c r="K611" s="74">
        <f t="shared" si="335"/>
        <v>2.75</v>
      </c>
      <c r="L611" s="114">
        <f>SUM(J611,J611,-H611,0.25*ABS(J611-H611),0.1*(17-F611))</f>
        <v>3.5</v>
      </c>
      <c r="M611" s="115">
        <f>SUM(0.166*(R611-L611),L611)</f>
        <v>5.7409999999999997</v>
      </c>
      <c r="N611" s="115">
        <f>SUM(0.333*(R611-L611),L611)</f>
        <v>7.9954999999999998</v>
      </c>
      <c r="O611" s="74">
        <f>SUM(0.5*(R611-L611),L611)</f>
        <v>10.25</v>
      </c>
      <c r="P611" s="74">
        <f>SUM(0.666*(R611-L611),L611)</f>
        <v>12.491</v>
      </c>
      <c r="Q611" s="74">
        <f>SUM(0.832*(R611-L611),L611)</f>
        <v>14.731999999999999</v>
      </c>
      <c r="R611" s="114">
        <v>17</v>
      </c>
      <c r="S611" s="129"/>
      <c r="T611" s="117">
        <f>SUM((CZ20+CZ19+CZ18+CZ17+CZ16+CZ15+CZ14+CZ13+CZ12+CY11)*0.132,(CX10+CW10)*0.132/2,(CV9+CU9+CT9+CS9+CR9+CQ8+CP8+CO8+CN8+CM8+CL7+CK7+CJ7+CI7+CH7)*0.132/5,(CG6+CF6+CE6+CD6+CC5+CB5+CA5+BZ5+BY4+BX4+BW4+BV4)*0.132/4,17)</f>
        <v>15.651738461538461</v>
      </c>
      <c r="U611" s="117"/>
      <c r="V611" s="129"/>
      <c r="W611" s="114"/>
    </row>
    <row r="612" spans="2:23">
      <c r="B612" s="114"/>
      <c r="C612" s="74"/>
      <c r="D612" s="74"/>
      <c r="E612" s="74"/>
      <c r="F612" s="114"/>
      <c r="G612" s="74"/>
      <c r="H612" s="74"/>
      <c r="I612" s="74"/>
      <c r="J612" s="114"/>
      <c r="K612" s="74"/>
      <c r="L612" s="114"/>
      <c r="M612" s="115"/>
      <c r="N612" s="115"/>
      <c r="O612" s="74"/>
      <c r="P612" s="74"/>
      <c r="Q612" s="74"/>
      <c r="R612" s="114"/>
      <c r="S612" s="129"/>
      <c r="T612" s="117"/>
      <c r="U612" s="117"/>
      <c r="V612" s="129"/>
      <c r="W612" s="114"/>
    </row>
    <row r="613" spans="2:23">
      <c r="B613" s="114">
        <v>1</v>
      </c>
      <c r="C613" s="74">
        <f t="shared" si="327"/>
        <v>1.5</v>
      </c>
      <c r="D613" s="74">
        <f t="shared" si="328"/>
        <v>2</v>
      </c>
      <c r="E613" s="74">
        <f t="shared" si="329"/>
        <v>2.5</v>
      </c>
      <c r="F613" s="114">
        <v>3</v>
      </c>
      <c r="G613" s="74">
        <f t="shared" si="330"/>
        <v>3.5</v>
      </c>
      <c r="H613" s="74">
        <f t="shared" si="331"/>
        <v>4</v>
      </c>
      <c r="I613" s="74">
        <f t="shared" si="332"/>
        <v>4.5</v>
      </c>
      <c r="J613" s="114">
        <f t="shared" si="333"/>
        <v>5</v>
      </c>
      <c r="K613" s="74">
        <f t="shared" ref="K613:K616" si="337">SUM(0.5*(L613-J613),J613)</f>
        <v>5.625</v>
      </c>
      <c r="L613" s="114">
        <f t="shared" si="336"/>
        <v>6.25</v>
      </c>
      <c r="M613" s="115">
        <f>SUM(0.166*(R613-L613),L613)</f>
        <v>8.0344999999999995</v>
      </c>
      <c r="N613" s="115">
        <f>SUM(0.333*(R613-L613),L613)</f>
        <v>9.8297500000000007</v>
      </c>
      <c r="O613" s="74">
        <f>SUM(0.5*(R613-L613),L613)</f>
        <v>11.625</v>
      </c>
      <c r="P613" s="74">
        <f>SUM(0.666*(R613-L613),L613)</f>
        <v>13.409500000000001</v>
      </c>
      <c r="Q613" s="74">
        <f>SUM(0.832*(R613-L613),L613)</f>
        <v>15.193999999999999</v>
      </c>
      <c r="R613" s="114">
        <v>17</v>
      </c>
      <c r="S613" s="129"/>
      <c r="T613" s="117">
        <f>SUM((DB20+DA19+CZ18+CY17+CX16+CW15+CV14+CU13+CT12+CS11)*0.132,(CR10+CQ10)*0.132/2,(CP9+CO9+CN9+CM9+CL8+CK8+CJ8+CI8+CH7+CG7+CF7+CE7)*0.132/4,(CD6+CC6+CB6+CA5+BZ5+BY5+BX4+BW4+BV4)*0.132/3,17)</f>
        <v>17.233538461538462</v>
      </c>
      <c r="U613" s="117"/>
      <c r="V613" s="129"/>
      <c r="W613" s="114"/>
    </row>
    <row r="614" spans="2:23">
      <c r="B614" s="114">
        <v>2</v>
      </c>
      <c r="C614" s="74">
        <f t="shared" si="327"/>
        <v>2.25</v>
      </c>
      <c r="D614" s="74">
        <f t="shared" si="328"/>
        <v>2.5</v>
      </c>
      <c r="E614" s="74">
        <f t="shared" si="329"/>
        <v>2.75</v>
      </c>
      <c r="F614" s="114">
        <v>3</v>
      </c>
      <c r="G614" s="74">
        <f t="shared" si="330"/>
        <v>3.25</v>
      </c>
      <c r="H614" s="74">
        <f t="shared" si="331"/>
        <v>3.5</v>
      </c>
      <c r="I614" s="74">
        <f t="shared" si="332"/>
        <v>3.75</v>
      </c>
      <c r="J614" s="114">
        <f t="shared" si="333"/>
        <v>4</v>
      </c>
      <c r="K614" s="74">
        <f t="shared" si="337"/>
        <v>4.3125</v>
      </c>
      <c r="L614" s="114">
        <f t="shared" si="336"/>
        <v>4.625</v>
      </c>
      <c r="M614" s="115">
        <f>SUM(0.166*(R614-L614),L614)</f>
        <v>6.6792499999999997</v>
      </c>
      <c r="N614" s="115">
        <f>SUM(0.333*(R614-L614),L614)</f>
        <v>8.7458749999999998</v>
      </c>
      <c r="O614" s="74">
        <f>SUM(0.5*(R614-L614),L614)</f>
        <v>10.8125</v>
      </c>
      <c r="P614" s="74">
        <f>SUM(0.666*(R614-L614),L614)</f>
        <v>12.86675</v>
      </c>
      <c r="Q614" s="74">
        <f>SUM(0.832*(R614-L614),L614)</f>
        <v>14.920999999999999</v>
      </c>
      <c r="R614" s="114">
        <v>17</v>
      </c>
      <c r="S614" s="129"/>
      <c r="T614" s="117">
        <f>SUM((CZ20+CY19+CY18+CX17+CX16+CW15+CW14+CV13+CV12+CU11+CU10)*0.132,(CT9+CS9+CR9+CQ9+CP9)*0.132/5,(CO8+CN8+CM8+CL8+CK7+CJ7+CI7+CH7+CG6+CF6+CE6+CD6+CC5+CB5+CA5+BZ5+BY4+BX4+BW4+BV4)*0.132/4,17)</f>
        <v>16.905738461538462</v>
      </c>
      <c r="U614" s="117"/>
      <c r="V614" s="129"/>
      <c r="W614" s="114"/>
    </row>
    <row r="615" spans="2:23">
      <c r="B615" s="114">
        <v>3</v>
      </c>
      <c r="C615" s="74">
        <f t="shared" si="327"/>
        <v>3</v>
      </c>
      <c r="D615" s="74">
        <f t="shared" si="328"/>
        <v>3</v>
      </c>
      <c r="E615" s="74">
        <f t="shared" si="329"/>
        <v>3</v>
      </c>
      <c r="F615" s="114">
        <v>3</v>
      </c>
      <c r="G615" s="74">
        <f t="shared" si="330"/>
        <v>3</v>
      </c>
      <c r="H615" s="74">
        <f t="shared" si="331"/>
        <v>3</v>
      </c>
      <c r="I615" s="74">
        <f t="shared" si="332"/>
        <v>3</v>
      </c>
      <c r="J615" s="114">
        <f t="shared" si="333"/>
        <v>3</v>
      </c>
      <c r="K615" s="74">
        <f t="shared" si="337"/>
        <v>3.7</v>
      </c>
      <c r="L615" s="114">
        <f>SUM(J615,J615,-H615,0.25*ABS(J615-H615),0.1*(17-F615))</f>
        <v>4.4000000000000004</v>
      </c>
      <c r="M615" s="115">
        <f>SUM(0.166*(R615-L615),L615)</f>
        <v>6.4916</v>
      </c>
      <c r="N615" s="115">
        <f>SUM(0.333*(R615-L615),L615)</f>
        <v>8.5958000000000006</v>
      </c>
      <c r="O615" s="74">
        <f>SUM(0.5*(R615-L615),L615)</f>
        <v>10.7</v>
      </c>
      <c r="P615" s="74">
        <f>SUM(0.666*(R615-L615),L615)</f>
        <v>12.791600000000001</v>
      </c>
      <c r="Q615" s="74">
        <f>SUM(0.832*(R615-L615),L615)</f>
        <v>14.8832</v>
      </c>
      <c r="R615" s="114">
        <v>17</v>
      </c>
      <c r="S615" s="129"/>
      <c r="T615" s="117">
        <f>SUM((CX20+CX19+CX18+CX17+CX16+CX15+CX14+CX13+CX12+CW11)*0.132,(CV10+CU10)*0.132/2,(CT9+CS9+CR9+CQ9+CP9)*0.132/5,(CO8+CN8+CM8+CL8+CK7+CJ7+CI7+CH7+CG6+CF6+CE6+CD6+CC5+CB5+CA5+BZ5+BY4+BX4+BW4+BV4)*0.132/4,17)</f>
        <v>17.301738461538463</v>
      </c>
      <c r="U615" s="117"/>
      <c r="V615" s="129"/>
      <c r="W615" s="114"/>
    </row>
    <row r="616" spans="2:23">
      <c r="B616" s="114">
        <v>4</v>
      </c>
      <c r="C616" s="74">
        <f t="shared" si="327"/>
        <v>3.75</v>
      </c>
      <c r="D616" s="74">
        <f t="shared" si="328"/>
        <v>3.5</v>
      </c>
      <c r="E616" s="74">
        <f t="shared" si="329"/>
        <v>3.25</v>
      </c>
      <c r="F616" s="114">
        <v>3</v>
      </c>
      <c r="G616" s="74">
        <f t="shared" si="330"/>
        <v>2.75</v>
      </c>
      <c r="H616" s="74">
        <f t="shared" si="331"/>
        <v>2.5</v>
      </c>
      <c r="I616" s="74">
        <f t="shared" si="332"/>
        <v>2.25</v>
      </c>
      <c r="J616" s="114">
        <f t="shared" si="333"/>
        <v>2</v>
      </c>
      <c r="K616" s="74">
        <f t="shared" si="337"/>
        <v>1.8125</v>
      </c>
      <c r="L616" s="114">
        <f>SUM(J616,J616,-H616,0.25*ABS(J616-H616))</f>
        <v>1.625</v>
      </c>
      <c r="M616" s="115">
        <f>SUM(0.166*(R616-L616),L616)</f>
        <v>4.1772500000000008</v>
      </c>
      <c r="N616" s="115">
        <f>SUM(0.333*(R616-L616),L616)</f>
        <v>6.7448750000000004</v>
      </c>
      <c r="O616" s="74">
        <f>SUM(0.5*(R616-L616),L616)</f>
        <v>9.3125</v>
      </c>
      <c r="P616" s="74">
        <f>SUM(0.666*(R616-L616),L616)</f>
        <v>11.864750000000001</v>
      </c>
      <c r="Q616" s="74">
        <f>SUM(0.832*(R616-L616),L616)</f>
        <v>14.417</v>
      </c>
      <c r="R616" s="114">
        <v>17</v>
      </c>
      <c r="S616" s="129"/>
      <c r="T616" s="117">
        <f>SUM((CV20+CW19+CW18+CX17+CX16+CY15+CY14+CZ13+CZ12+DA11+DA10)*0.132,(CZ9+CY9+CX9+CW9+CV9+CU9)*0.132/6,(CT8+CS8+CR8+CQ8+CP8+CO7+CN7+CM7+CL7+CK7+CJ6+CI6+CH6+CG6+CF6+CE5+CD5+CC5+CB5+CA5+BZ4+BY4+BX4+BW4+BV4)*0.132/5,17)</f>
        <v>16.753938461538461</v>
      </c>
      <c r="U616" s="117"/>
      <c r="V616" s="129"/>
      <c r="W616" s="114"/>
    </row>
    <row r="617" spans="2:23">
      <c r="B617" s="114"/>
      <c r="C617" s="74"/>
      <c r="D617" s="74"/>
      <c r="E617" s="74"/>
      <c r="F617" s="114"/>
      <c r="G617" s="74"/>
      <c r="H617" s="74"/>
      <c r="I617" s="74"/>
      <c r="J617" s="114"/>
      <c r="K617" s="74"/>
      <c r="L617" s="114"/>
      <c r="M617" s="115"/>
      <c r="N617" s="115"/>
      <c r="O617" s="74"/>
      <c r="P617" s="74"/>
      <c r="Q617" s="74"/>
      <c r="R617" s="114"/>
      <c r="S617" s="129"/>
      <c r="T617" s="117"/>
      <c r="U617" s="117"/>
      <c r="V617" s="129"/>
      <c r="W617" s="114"/>
    </row>
    <row r="618" spans="2:23">
      <c r="B618" s="114">
        <v>1</v>
      </c>
      <c r="C618" s="74">
        <f t="shared" si="327"/>
        <v>1.75</v>
      </c>
      <c r="D618" s="74">
        <f t="shared" si="328"/>
        <v>2.5</v>
      </c>
      <c r="E618" s="74">
        <f t="shared" si="329"/>
        <v>3.25</v>
      </c>
      <c r="F618" s="114">
        <v>4</v>
      </c>
      <c r="G618" s="74">
        <f t="shared" si="330"/>
        <v>4.75</v>
      </c>
      <c r="H618" s="74">
        <f t="shared" si="331"/>
        <v>5.5</v>
      </c>
      <c r="I618" s="74">
        <f t="shared" si="332"/>
        <v>6.25</v>
      </c>
      <c r="J618" s="114">
        <f t="shared" si="333"/>
        <v>7</v>
      </c>
      <c r="K618" s="74">
        <f t="shared" ref="K618:K623" si="338">SUM(0.5*(L618-J618),J618)</f>
        <v>7.9375</v>
      </c>
      <c r="L618" s="114">
        <f t="shared" ref="L618:L677" si="339">SUM(J618,J618,-H618,0.25*ABS(J618-H618))</f>
        <v>8.875</v>
      </c>
      <c r="M618" s="115">
        <f t="shared" ref="M618:M623" si="340">SUM(0.166*(R618-L618),L618)</f>
        <v>10.223750000000001</v>
      </c>
      <c r="N618" s="115">
        <f t="shared" ref="N618:N623" si="341">SUM(0.333*(R618-L618),L618)</f>
        <v>11.580625</v>
      </c>
      <c r="O618" s="74">
        <f t="shared" ref="O618:O623" si="342">SUM(0.5*(R618-L618),L618)</f>
        <v>12.9375</v>
      </c>
      <c r="P618" s="74">
        <f t="shared" ref="P618:P623" si="343">SUM(0.666*(R618-L618),L618)</f>
        <v>14.286249999999999</v>
      </c>
      <c r="Q618" s="74">
        <f t="shared" ref="Q618:Q623" si="344">SUM(0.832*(R618-L618),L618)</f>
        <v>15.635</v>
      </c>
      <c r="R618" s="114">
        <v>17</v>
      </c>
      <c r="S618" s="129"/>
      <c r="T618" s="117">
        <f>SUM((DB20+CY18+CV16+CS14+CP12)*0.132,(DA19+CZ19+CX17+CW17+CU15+CT15+CR13+CQ13+CO11+CN11+CM10+CL10)*0.132/2,(CK9+CJ9+CI9+CH8+CG8+CF8+CE7+CD7+CC7+CB6+CA6+BZ6)*0.132/3,(BY5+BX5+BW4+BV4)*0.132/2,17)</f>
        <v>17.56353846153846</v>
      </c>
      <c r="U618" s="117"/>
      <c r="V618" s="129"/>
      <c r="W618" s="114"/>
    </row>
    <row r="619" spans="2:23">
      <c r="B619" s="114">
        <v>2</v>
      </c>
      <c r="C619" s="74">
        <f t="shared" si="327"/>
        <v>2.5</v>
      </c>
      <c r="D619" s="74">
        <f t="shared" si="328"/>
        <v>3</v>
      </c>
      <c r="E619" s="74">
        <f t="shared" si="329"/>
        <v>3.5</v>
      </c>
      <c r="F619" s="114">
        <v>4</v>
      </c>
      <c r="G619" s="74">
        <f t="shared" si="330"/>
        <v>4.5</v>
      </c>
      <c r="H619" s="74">
        <f t="shared" si="331"/>
        <v>5</v>
      </c>
      <c r="I619" s="74">
        <f t="shared" si="332"/>
        <v>5.5</v>
      </c>
      <c r="J619" s="114">
        <f t="shared" si="333"/>
        <v>6</v>
      </c>
      <c r="K619" s="74">
        <f t="shared" si="338"/>
        <v>6.625</v>
      </c>
      <c r="L619" s="114">
        <f t="shared" si="339"/>
        <v>7.25</v>
      </c>
      <c r="M619" s="115">
        <f t="shared" si="340"/>
        <v>8.8685000000000009</v>
      </c>
      <c r="N619" s="115">
        <f t="shared" si="341"/>
        <v>10.49675</v>
      </c>
      <c r="O619" s="74">
        <f t="shared" si="342"/>
        <v>12.125</v>
      </c>
      <c r="P619" s="74">
        <f t="shared" si="343"/>
        <v>13.743500000000001</v>
      </c>
      <c r="Q619" s="74">
        <f t="shared" si="344"/>
        <v>15.362</v>
      </c>
      <c r="R619" s="114">
        <v>17</v>
      </c>
      <c r="S619" s="129"/>
      <c r="T619" s="117">
        <f>SUM((CZ20+CY19+CX18+CW17+CV16+CU15+CT14+CS13+CR12+CQ11)*0.132,(CP10+CO10)*0.132/2,(CN9+CM9+CL9+CK9)*0.132/4,(CJ8+CI8+CH8+CG7+CF7+CE7+CD6+CC6+CB6+CA5+BZ5+BY5+BX4+BW4+BV4)*0.132/3,17)</f>
        <v>17.728538461538463</v>
      </c>
      <c r="U619" s="117"/>
      <c r="V619" s="129"/>
      <c r="W619" s="114"/>
    </row>
    <row r="620" spans="2:23">
      <c r="B620" s="114">
        <v>3</v>
      </c>
      <c r="C620" s="74">
        <f t="shared" si="327"/>
        <v>3.25</v>
      </c>
      <c r="D620" s="74">
        <f t="shared" si="328"/>
        <v>3.5</v>
      </c>
      <c r="E620" s="74">
        <f t="shared" si="329"/>
        <v>3.75</v>
      </c>
      <c r="F620" s="114">
        <v>4</v>
      </c>
      <c r="G620" s="74">
        <f t="shared" si="330"/>
        <v>4.25</v>
      </c>
      <c r="H620" s="74">
        <f t="shared" si="331"/>
        <v>4.5</v>
      </c>
      <c r="I620" s="74">
        <f t="shared" si="332"/>
        <v>4.75</v>
      </c>
      <c r="J620" s="114">
        <f t="shared" si="333"/>
        <v>5</v>
      </c>
      <c r="K620" s="74">
        <f t="shared" si="338"/>
        <v>5.3125</v>
      </c>
      <c r="L620" s="114">
        <f t="shared" si="339"/>
        <v>5.625</v>
      </c>
      <c r="M620" s="115">
        <f t="shared" si="340"/>
        <v>7.5132500000000002</v>
      </c>
      <c r="N620" s="115">
        <f t="shared" si="341"/>
        <v>9.4128749999999997</v>
      </c>
      <c r="O620" s="74">
        <f t="shared" si="342"/>
        <v>11.3125</v>
      </c>
      <c r="P620" s="74">
        <f t="shared" si="343"/>
        <v>13.200749999999999</v>
      </c>
      <c r="Q620" s="74">
        <f t="shared" si="344"/>
        <v>15.089</v>
      </c>
      <c r="R620" s="114">
        <v>17</v>
      </c>
      <c r="S620" s="129"/>
      <c r="T620" s="117">
        <f>SUM((CX20+CW19+CW18+CV17+CV16+CU15+CU14+CT13+CT12+CS11+CS10)*0.132,(CR9+CQ9+CP9+CO9+CN8+CM8+CL8+CK8+CJ7+CI7+CH7+CG7+CF6+CE6+CD6+CC6+CB5+CA5+BZ5+BY5)*0.132/4,(BX4+BW4+BV4)*0.132/3,17)</f>
        <v>16.815538461538463</v>
      </c>
      <c r="U620" s="117"/>
      <c r="V620" s="129"/>
      <c r="W620" s="114"/>
    </row>
    <row r="621" spans="2:23">
      <c r="B621" s="114">
        <v>4</v>
      </c>
      <c r="C621" s="74">
        <f t="shared" si="327"/>
        <v>4</v>
      </c>
      <c r="D621" s="74">
        <f t="shared" si="328"/>
        <v>4</v>
      </c>
      <c r="E621" s="74">
        <f t="shared" si="329"/>
        <v>4</v>
      </c>
      <c r="F621" s="114">
        <v>4</v>
      </c>
      <c r="G621" s="74">
        <f t="shared" si="330"/>
        <v>4</v>
      </c>
      <c r="H621" s="74">
        <f t="shared" si="331"/>
        <v>4</v>
      </c>
      <c r="I621" s="74">
        <f t="shared" si="332"/>
        <v>4</v>
      </c>
      <c r="J621" s="114">
        <f t="shared" si="333"/>
        <v>4</v>
      </c>
      <c r="K621" s="74">
        <f t="shared" si="338"/>
        <v>4.6500000000000004</v>
      </c>
      <c r="L621" s="114">
        <f>SUM(J621,J621,-H621,0.25*ABS(J621-H621),0.1*(17-F621))</f>
        <v>5.3</v>
      </c>
      <c r="M621" s="115">
        <f t="shared" si="340"/>
        <v>7.2421999999999995</v>
      </c>
      <c r="N621" s="115">
        <f t="shared" si="341"/>
        <v>9.1960999999999995</v>
      </c>
      <c r="O621" s="74">
        <f t="shared" si="342"/>
        <v>11.149999999999999</v>
      </c>
      <c r="P621" s="74">
        <f t="shared" si="343"/>
        <v>13.0922</v>
      </c>
      <c r="Q621" s="74">
        <f t="shared" si="344"/>
        <v>15.034399999999998</v>
      </c>
      <c r="R621" s="114">
        <v>17</v>
      </c>
      <c r="S621" s="129"/>
      <c r="T621" s="117">
        <f>SUM((CV20+CV19+CV18+CV17+CV16+CV15+CV14+CV13+CV12+CU11)*0.132,(CT10+CS10)*0.132/2,(CR9+CQ9+CP9+CO9+CN8+CM8+CL8+CK8+CJ7+CI7+CH7+CG7+CF6+CE6+CD6+CC6+CB5+CA5+BZ5+BY5)*0.132/4,(BX4+BW4+BV4)*0.132/3,17)</f>
        <v>17.277538461538462</v>
      </c>
      <c r="U621" s="117"/>
      <c r="V621" s="129"/>
      <c r="W621" s="114"/>
    </row>
    <row r="622" spans="2:23">
      <c r="B622" s="114">
        <v>5</v>
      </c>
      <c r="C622" s="74">
        <f t="shared" si="327"/>
        <v>4.75</v>
      </c>
      <c r="D622" s="74">
        <f t="shared" si="328"/>
        <v>4.5</v>
      </c>
      <c r="E622" s="74">
        <f t="shared" si="329"/>
        <v>4.25</v>
      </c>
      <c r="F622" s="114">
        <v>4</v>
      </c>
      <c r="G622" s="74">
        <f t="shared" si="330"/>
        <v>3.75</v>
      </c>
      <c r="H622" s="74">
        <f t="shared" si="331"/>
        <v>3.5</v>
      </c>
      <c r="I622" s="74">
        <f t="shared" si="332"/>
        <v>3.25</v>
      </c>
      <c r="J622" s="114">
        <f t="shared" si="333"/>
        <v>3</v>
      </c>
      <c r="K622" s="74">
        <f t="shared" si="338"/>
        <v>2.8125</v>
      </c>
      <c r="L622" s="114">
        <f t="shared" si="339"/>
        <v>2.625</v>
      </c>
      <c r="M622" s="115">
        <f t="shared" si="340"/>
        <v>5.0112500000000004</v>
      </c>
      <c r="N622" s="115">
        <f t="shared" si="341"/>
        <v>7.4118750000000002</v>
      </c>
      <c r="O622" s="74">
        <f t="shared" si="342"/>
        <v>9.8125</v>
      </c>
      <c r="P622" s="74">
        <f t="shared" si="343"/>
        <v>12.19875</v>
      </c>
      <c r="Q622" s="74">
        <f t="shared" si="344"/>
        <v>14.584999999999999</v>
      </c>
      <c r="R622" s="114">
        <v>17</v>
      </c>
      <c r="S622" s="129"/>
      <c r="T622" s="117">
        <f>SUM((CT20+CU19+CU18+CV17+CV16+CW15+CW14+CX13+CX12+CY11+CY10)*0.132,(CX9+CW9+CV9+CU9+CT9+CS8+CR8+CQ8+CP8+CO8+CN7+CM7+CL7++CK7+CJ7+CI6+CH6+CG6+CF6+CE6+CD5+CC5+CB5+CA5+BZ5)*0.132/5,(BY4+BX4+BW4+BV4)*0.132/4,17)</f>
        <v>16.951938461538461</v>
      </c>
      <c r="U622" s="117"/>
      <c r="V622" s="129"/>
      <c r="W622" s="114"/>
    </row>
    <row r="623" spans="2:23">
      <c r="B623" s="114">
        <v>6</v>
      </c>
      <c r="C623" s="74">
        <f t="shared" si="327"/>
        <v>5.5</v>
      </c>
      <c r="D623" s="74">
        <f t="shared" si="328"/>
        <v>5</v>
      </c>
      <c r="E623" s="74">
        <f t="shared" si="329"/>
        <v>4.5</v>
      </c>
      <c r="F623" s="114">
        <v>4</v>
      </c>
      <c r="G623" s="74">
        <f t="shared" si="330"/>
        <v>3.5</v>
      </c>
      <c r="H623" s="74">
        <f t="shared" si="331"/>
        <v>3</v>
      </c>
      <c r="I623" s="74">
        <f t="shared" si="332"/>
        <v>2.5</v>
      </c>
      <c r="J623" s="114">
        <f t="shared" si="333"/>
        <v>2</v>
      </c>
      <c r="K623" s="74">
        <f t="shared" si="338"/>
        <v>1.625</v>
      </c>
      <c r="L623" s="114">
        <f t="shared" si="339"/>
        <v>1.25</v>
      </c>
      <c r="M623" s="115">
        <f t="shared" si="340"/>
        <v>3.8645</v>
      </c>
      <c r="N623" s="115">
        <f t="shared" si="341"/>
        <v>6.4947500000000007</v>
      </c>
      <c r="O623" s="74">
        <f t="shared" si="342"/>
        <v>9.125</v>
      </c>
      <c r="P623" s="74">
        <f t="shared" si="343"/>
        <v>11.739500000000001</v>
      </c>
      <c r="Q623" s="74">
        <f t="shared" si="344"/>
        <v>14.353999999999999</v>
      </c>
      <c r="R623" s="114">
        <v>17</v>
      </c>
      <c r="S623" s="129"/>
      <c r="T623" s="117">
        <f>SUM((CR20+CS19+CT18+CU17+CV16+CW15+CX14+CY13+CZ12+DA11+DB10)*0.132,(DA9+CZ9+CY9+CX9+CW9+CV9+CU8+CT8+CS8+CR8+CQ8+CP8)*0.132/6,(CO7+CN7+CM7+CL7+CK7+CJ6+CI6+CH6+CG6+CF6+CE5+CD5+CC5+CB5+CA5+BZ4+BY4+BX4+BW4+BV4)*0.132/5,17)</f>
        <v>16.921138461538462</v>
      </c>
      <c r="U623" s="117"/>
      <c r="V623" s="129"/>
      <c r="W623" s="114"/>
    </row>
    <row r="624" spans="2:23">
      <c r="B624" s="114"/>
      <c r="C624" s="74"/>
      <c r="D624" s="74"/>
      <c r="E624" s="74"/>
      <c r="F624" s="114"/>
      <c r="G624" s="74"/>
      <c r="H624" s="74"/>
      <c r="I624" s="74"/>
      <c r="J624" s="114"/>
      <c r="K624" s="74"/>
      <c r="L624" s="114"/>
      <c r="M624" s="115"/>
      <c r="N624" s="115"/>
      <c r="O624" s="74"/>
      <c r="P624" s="74"/>
      <c r="Q624" s="74"/>
      <c r="R624" s="114"/>
      <c r="S624" s="129"/>
      <c r="T624" s="117"/>
      <c r="U624" s="117"/>
      <c r="V624" s="129"/>
      <c r="W624" s="114"/>
    </row>
    <row r="625" spans="2:23">
      <c r="B625" s="114">
        <v>1</v>
      </c>
      <c r="C625" s="74">
        <f t="shared" si="327"/>
        <v>2</v>
      </c>
      <c r="D625" s="74">
        <f t="shared" si="328"/>
        <v>3</v>
      </c>
      <c r="E625" s="74">
        <f t="shared" si="329"/>
        <v>4</v>
      </c>
      <c r="F625" s="114">
        <v>5</v>
      </c>
      <c r="G625" s="74">
        <f t="shared" si="330"/>
        <v>6</v>
      </c>
      <c r="H625" s="74">
        <f t="shared" si="331"/>
        <v>7</v>
      </c>
      <c r="I625" s="74">
        <f t="shared" si="332"/>
        <v>8</v>
      </c>
      <c r="J625" s="114">
        <f t="shared" si="333"/>
        <v>9</v>
      </c>
      <c r="K625" s="74">
        <f t="shared" ref="K625:K631" si="345">SUM(0.5*(L625-J625),J625)</f>
        <v>10</v>
      </c>
      <c r="L625" s="114">
        <f>SUM(J625,J625,-H625)</f>
        <v>11</v>
      </c>
      <c r="M625" s="115">
        <f t="shared" ref="M625:M631" si="346">SUM(0.166*(R625-L625),L625)</f>
        <v>11.996</v>
      </c>
      <c r="N625" s="115">
        <f t="shared" ref="N625:N631" si="347">SUM(0.333*(R625-L625),L625)</f>
        <v>12.998000000000001</v>
      </c>
      <c r="O625" s="74">
        <f t="shared" ref="O625:O631" si="348">SUM(0.5*(R625-L625),L625)</f>
        <v>14</v>
      </c>
      <c r="P625" s="74">
        <f t="shared" ref="P625:P631" si="349">SUM(0.666*(R625-L625),L625)</f>
        <v>14.996</v>
      </c>
      <c r="Q625" s="74">
        <f t="shared" ref="Q625:Q631" si="350">SUM(0.832*(R625-L625),L625)</f>
        <v>15.992000000000001</v>
      </c>
      <c r="R625" s="114">
        <v>17</v>
      </c>
      <c r="S625" s="129"/>
      <c r="T625" s="117">
        <f>SUM((DA19+CZ19+CY18+CX18+CW17+CV17+CU16+CT16+CS15+CR15+CQ14+CP14+CO13+CN13+CM12+CL12+CK11+CJ11+CI10+CH10+CG9+CF9+CE8+CD8+CC7+CB7+CA6+BZ6+BY5+BX5+BW4+BV4)*0.132/2,DB20*0.132,17)</f>
        <v>17.651538461538461</v>
      </c>
      <c r="U625" s="117"/>
      <c r="V625" s="129"/>
      <c r="W625" s="114"/>
    </row>
    <row r="626" spans="2:23">
      <c r="B626" s="114">
        <v>2</v>
      </c>
      <c r="C626" s="74">
        <f t="shared" si="327"/>
        <v>2.75</v>
      </c>
      <c r="D626" s="74">
        <f t="shared" si="328"/>
        <v>3.5</v>
      </c>
      <c r="E626" s="74">
        <f t="shared" si="329"/>
        <v>4.25</v>
      </c>
      <c r="F626" s="114">
        <v>5</v>
      </c>
      <c r="G626" s="74">
        <f t="shared" si="330"/>
        <v>5.75</v>
      </c>
      <c r="H626" s="74">
        <f t="shared" si="331"/>
        <v>6.5</v>
      </c>
      <c r="I626" s="74">
        <f t="shared" si="332"/>
        <v>7.25</v>
      </c>
      <c r="J626" s="114">
        <f t="shared" si="333"/>
        <v>8</v>
      </c>
      <c r="K626" s="74">
        <f t="shared" si="345"/>
        <v>8.9375</v>
      </c>
      <c r="L626" s="114">
        <f t="shared" si="339"/>
        <v>9.875</v>
      </c>
      <c r="M626" s="115">
        <f t="shared" si="346"/>
        <v>11.05775</v>
      </c>
      <c r="N626" s="115">
        <f t="shared" si="347"/>
        <v>12.247624999999999</v>
      </c>
      <c r="O626" s="74">
        <f t="shared" si="348"/>
        <v>13.4375</v>
      </c>
      <c r="P626" s="74">
        <f t="shared" si="349"/>
        <v>14.62025</v>
      </c>
      <c r="Q626" s="74">
        <f t="shared" si="350"/>
        <v>15.803000000000001</v>
      </c>
      <c r="R626" s="114">
        <v>17</v>
      </c>
      <c r="S626" s="129"/>
      <c r="T626" s="117">
        <f>SUM((CZ20+CW18+CT16+CQ14+CN12)*0.132,(CY19+CX19+CV17+CU17+CS15+CR15+CP13+CO13+CM11+CL11+CK10+CJ10+CC7+CB7+CA6+BZ6+BY5+BX5+BW4+BV4)*0.132/2,(CI9+CH9+CG9+CF8+CE8+CD8)*0.132/3,17)</f>
        <v>17.607538461538461</v>
      </c>
      <c r="U626" s="117"/>
      <c r="V626" s="129"/>
      <c r="W626" s="114"/>
    </row>
    <row r="627" spans="2:23">
      <c r="B627" s="114">
        <v>3</v>
      </c>
      <c r="C627" s="74">
        <f t="shared" si="327"/>
        <v>3.5</v>
      </c>
      <c r="D627" s="74">
        <f t="shared" si="328"/>
        <v>4</v>
      </c>
      <c r="E627" s="74">
        <f t="shared" si="329"/>
        <v>4.5</v>
      </c>
      <c r="F627" s="114">
        <v>5</v>
      </c>
      <c r="G627" s="74">
        <f t="shared" si="330"/>
        <v>5.5</v>
      </c>
      <c r="H627" s="74">
        <f t="shared" si="331"/>
        <v>6</v>
      </c>
      <c r="I627" s="74">
        <f t="shared" si="332"/>
        <v>6.5</v>
      </c>
      <c r="J627" s="114">
        <f t="shared" si="333"/>
        <v>7</v>
      </c>
      <c r="K627" s="74">
        <f t="shared" si="345"/>
        <v>7.625</v>
      </c>
      <c r="L627" s="114">
        <f t="shared" si="339"/>
        <v>8.25</v>
      </c>
      <c r="M627" s="115">
        <f t="shared" si="346"/>
        <v>9.7025000000000006</v>
      </c>
      <c r="N627" s="115">
        <f t="shared" si="347"/>
        <v>11.16375</v>
      </c>
      <c r="O627" s="74">
        <f t="shared" si="348"/>
        <v>12.625</v>
      </c>
      <c r="P627" s="74">
        <f t="shared" si="349"/>
        <v>14.077500000000001</v>
      </c>
      <c r="Q627" s="74">
        <f t="shared" si="350"/>
        <v>15.53</v>
      </c>
      <c r="R627" s="114">
        <v>17</v>
      </c>
      <c r="S627" s="129"/>
      <c r="T627" s="117">
        <f>SUM((CX20+CW19+CV18+CU17+CT16+CS15+CR14+CQ13+CP12+CO11)*0.132,(CN10+CM10)*0.132/2,(CL9+CK9+CJ9+CI8+CH8+CG8+CF7+CE7+CD7+CC6+CB6+CA6+BZ5+BY5+BX5)*0.132/3,(BW4+BV4)*0.132/2,17)</f>
        <v>17.36553846153846</v>
      </c>
      <c r="U627" s="117"/>
      <c r="V627" s="129"/>
      <c r="W627" s="114"/>
    </row>
    <row r="628" spans="2:23">
      <c r="B628" s="114">
        <v>4</v>
      </c>
      <c r="C628" s="74">
        <f t="shared" si="327"/>
        <v>4.25</v>
      </c>
      <c r="D628" s="74">
        <f t="shared" si="328"/>
        <v>4.5</v>
      </c>
      <c r="E628" s="74">
        <f t="shared" si="329"/>
        <v>4.75</v>
      </c>
      <c r="F628" s="114">
        <v>5</v>
      </c>
      <c r="G628" s="74">
        <f t="shared" si="330"/>
        <v>5.25</v>
      </c>
      <c r="H628" s="74">
        <f t="shared" si="331"/>
        <v>5.5</v>
      </c>
      <c r="I628" s="74">
        <f t="shared" si="332"/>
        <v>5.75</v>
      </c>
      <c r="J628" s="114">
        <f t="shared" si="333"/>
        <v>6</v>
      </c>
      <c r="K628" s="74">
        <f t="shared" si="345"/>
        <v>6.3125</v>
      </c>
      <c r="L628" s="114">
        <f t="shared" si="339"/>
        <v>6.625</v>
      </c>
      <c r="M628" s="115">
        <f t="shared" si="346"/>
        <v>8.3472500000000007</v>
      </c>
      <c r="N628" s="115">
        <f t="shared" si="347"/>
        <v>10.079875000000001</v>
      </c>
      <c r="O628" s="74">
        <f t="shared" si="348"/>
        <v>11.8125</v>
      </c>
      <c r="P628" s="74">
        <f t="shared" si="349"/>
        <v>13.534750000000001</v>
      </c>
      <c r="Q628" s="74">
        <f t="shared" si="350"/>
        <v>15.257</v>
      </c>
      <c r="R628" s="114">
        <v>17</v>
      </c>
      <c r="S628" s="129"/>
      <c r="T628" s="117">
        <f>SUM((CV20+CU19+CU18+CT17+CT16+CS15+CS14+CR13+CR12+CQ11+CQ10)*0.132,(CP9+CO9+CN9+CM9+CL8+CK8+CJ8+CI8+CH7+CG7+CF7+CE7)*0.132/4,(CD6+CC6+CB6+CA5+BZ5+BY5+BX4+BW4+BV4)*0.132/3,17)</f>
        <v>17.959538461538461</v>
      </c>
      <c r="U628" s="117"/>
      <c r="V628" s="129"/>
      <c r="W628" s="114"/>
    </row>
    <row r="629" spans="2:23">
      <c r="B629" s="114">
        <v>5</v>
      </c>
      <c r="C629" s="74">
        <f t="shared" si="327"/>
        <v>5</v>
      </c>
      <c r="D629" s="74">
        <f t="shared" si="328"/>
        <v>5</v>
      </c>
      <c r="E629" s="74">
        <f t="shared" si="329"/>
        <v>5</v>
      </c>
      <c r="F629" s="114">
        <v>5</v>
      </c>
      <c r="G629" s="74">
        <f t="shared" si="330"/>
        <v>5</v>
      </c>
      <c r="H629" s="74">
        <f t="shared" si="331"/>
        <v>5</v>
      </c>
      <c r="I629" s="74">
        <f t="shared" si="332"/>
        <v>5</v>
      </c>
      <c r="J629" s="114">
        <f t="shared" si="333"/>
        <v>5</v>
      </c>
      <c r="K629" s="74">
        <f t="shared" si="345"/>
        <v>5.6</v>
      </c>
      <c r="L629" s="114">
        <f>SUM(J629,J629,-H629,0.25*ABS(J629-H629),0.1*(17-F629))</f>
        <v>6.2</v>
      </c>
      <c r="M629" s="115">
        <f t="shared" si="346"/>
        <v>7.9928000000000008</v>
      </c>
      <c r="N629" s="115">
        <f t="shared" si="347"/>
        <v>9.7964000000000002</v>
      </c>
      <c r="O629" s="74">
        <f t="shared" si="348"/>
        <v>11.600000000000001</v>
      </c>
      <c r="P629" s="74">
        <f t="shared" si="349"/>
        <v>13.392800000000001</v>
      </c>
      <c r="Q629" s="74">
        <f t="shared" si="350"/>
        <v>15.185600000000001</v>
      </c>
      <c r="R629" s="114">
        <v>17</v>
      </c>
      <c r="S629" s="129"/>
      <c r="T629" s="117">
        <f>SUM((CT20+CT19+CT18+CT17+CT16+CT15+CT14+CT13+CT12+CS11+CR10)*0.132,(CQ9+CP9+CO9+CN9+CM8+CL8+CK8+CJ8+CI7+CH7+CG7+CF7+CE6+CD6+CC6+CB6)*0.132/4,(CA5+BZ5+BY5+BX4+BW4+BV4)*0.132/3,17)</f>
        <v>17.66253846153846</v>
      </c>
      <c r="U629" s="117"/>
      <c r="V629" s="129"/>
      <c r="W629" s="114"/>
    </row>
    <row r="630" spans="2:23">
      <c r="B630" s="114">
        <v>6</v>
      </c>
      <c r="C630" s="74">
        <f t="shared" si="327"/>
        <v>5.75</v>
      </c>
      <c r="D630" s="74">
        <f t="shared" si="328"/>
        <v>5.5</v>
      </c>
      <c r="E630" s="74">
        <f t="shared" si="329"/>
        <v>5.25</v>
      </c>
      <c r="F630" s="114">
        <v>5</v>
      </c>
      <c r="G630" s="74">
        <f t="shared" si="330"/>
        <v>4.75</v>
      </c>
      <c r="H630" s="74">
        <f t="shared" si="331"/>
        <v>4.5</v>
      </c>
      <c r="I630" s="74">
        <f t="shared" si="332"/>
        <v>4.25</v>
      </c>
      <c r="J630" s="114">
        <f t="shared" si="333"/>
        <v>4</v>
      </c>
      <c r="K630" s="74">
        <f t="shared" si="345"/>
        <v>3.8125</v>
      </c>
      <c r="L630" s="114">
        <f t="shared" si="339"/>
        <v>3.625</v>
      </c>
      <c r="M630" s="115">
        <f t="shared" si="346"/>
        <v>5.8452500000000001</v>
      </c>
      <c r="N630" s="115">
        <f t="shared" si="347"/>
        <v>8.078875</v>
      </c>
      <c r="O630" s="74">
        <f t="shared" si="348"/>
        <v>10.3125</v>
      </c>
      <c r="P630" s="74">
        <f t="shared" si="349"/>
        <v>12.53275</v>
      </c>
      <c r="Q630" s="74">
        <f t="shared" si="350"/>
        <v>14.753</v>
      </c>
      <c r="R630" s="114">
        <v>17</v>
      </c>
      <c r="S630" s="129"/>
      <c r="T630" s="117">
        <f>SUM((CR20+CS19+CS18+CT17+CT16+CU15+CU14+CV13+CV12+CW11+CW10)*0.132,(CV9+CU9+CT9+CS9+CR9+CQ8+CP8+CO8+CN8+CM8+CL7+CK7+CJ7+CI7+CH7)*0.132/5,(CG6+CF6+CE6+CD6+CC5+CB5+CA5+BZ5+BY4+BX4+BW4+BV4)*0.132/4,17)</f>
        <v>17.499738461538463</v>
      </c>
      <c r="U630" s="117"/>
      <c r="V630" s="129"/>
      <c r="W630" s="114"/>
    </row>
    <row r="631" spans="2:23">
      <c r="B631" s="114">
        <v>7</v>
      </c>
      <c r="C631" s="74">
        <f t="shared" si="327"/>
        <v>6.5</v>
      </c>
      <c r="D631" s="74">
        <f t="shared" si="328"/>
        <v>6</v>
      </c>
      <c r="E631" s="74">
        <f t="shared" si="329"/>
        <v>5.5</v>
      </c>
      <c r="F631" s="114">
        <v>5</v>
      </c>
      <c r="G631" s="74">
        <f t="shared" si="330"/>
        <v>4.5</v>
      </c>
      <c r="H631" s="74">
        <f t="shared" si="331"/>
        <v>4</v>
      </c>
      <c r="I631" s="74">
        <f t="shared" si="332"/>
        <v>3.5</v>
      </c>
      <c r="J631" s="114">
        <f t="shared" si="333"/>
        <v>3</v>
      </c>
      <c r="K631" s="74">
        <f t="shared" si="345"/>
        <v>2.625</v>
      </c>
      <c r="L631" s="114">
        <f t="shared" si="339"/>
        <v>2.25</v>
      </c>
      <c r="M631" s="115">
        <f t="shared" si="346"/>
        <v>4.6985000000000001</v>
      </c>
      <c r="N631" s="115">
        <f t="shared" si="347"/>
        <v>7.1617500000000005</v>
      </c>
      <c r="O631" s="74">
        <f t="shared" si="348"/>
        <v>9.625</v>
      </c>
      <c r="P631" s="74">
        <f t="shared" si="349"/>
        <v>12.073500000000001</v>
      </c>
      <c r="Q631" s="74">
        <f t="shared" si="350"/>
        <v>14.522</v>
      </c>
      <c r="R631" s="114">
        <v>17</v>
      </c>
      <c r="S631" s="129"/>
      <c r="T631" s="117">
        <f>SUM((CP20+CQ19+CR18+CS17+CT16+CU15+CV14+CW13+CX12+CY11+CZ10)*0.132,(CY9+CX9+CW9+CV9+CU9+CT8+CS8+CR8+CQ8+CP8+CO7+CN7+CM7+CL7+CK7+CJ6+CI6+CH6+CG6+CF6+CE5+CD5+CC5+CB5+CA5+BZ4+BY4+BX4+BW4+BV4)*0.132/5,17)</f>
        <v>17.466738461538462</v>
      </c>
      <c r="U631" s="117"/>
      <c r="V631" s="129"/>
      <c r="W631" s="114"/>
    </row>
    <row r="632" spans="2:23">
      <c r="B632" s="114"/>
      <c r="C632" s="74"/>
      <c r="D632" s="74"/>
      <c r="E632" s="74"/>
      <c r="F632" s="114"/>
      <c r="G632" s="74"/>
      <c r="H632" s="74"/>
      <c r="I632" s="74"/>
      <c r="J632" s="114"/>
      <c r="K632" s="74"/>
      <c r="L632" s="114"/>
      <c r="M632" s="115"/>
      <c r="N632" s="115"/>
      <c r="O632" s="74"/>
      <c r="P632" s="74"/>
      <c r="Q632" s="74"/>
      <c r="R632" s="114"/>
      <c r="S632" s="129"/>
      <c r="T632" s="117"/>
      <c r="U632" s="117"/>
      <c r="V632" s="129"/>
      <c r="W632" s="114"/>
    </row>
    <row r="633" spans="2:23">
      <c r="B633" s="114">
        <v>3</v>
      </c>
      <c r="C633" s="74">
        <f t="shared" si="327"/>
        <v>3.75</v>
      </c>
      <c r="D633" s="74">
        <f t="shared" si="328"/>
        <v>4.5</v>
      </c>
      <c r="E633" s="74">
        <f t="shared" si="329"/>
        <v>5.25</v>
      </c>
      <c r="F633" s="114">
        <v>6</v>
      </c>
      <c r="G633" s="74">
        <f t="shared" si="330"/>
        <v>6.75</v>
      </c>
      <c r="H633" s="74">
        <f t="shared" si="331"/>
        <v>7.5</v>
      </c>
      <c r="I633" s="74">
        <f t="shared" si="332"/>
        <v>8.25</v>
      </c>
      <c r="J633" s="114">
        <f t="shared" si="333"/>
        <v>9</v>
      </c>
      <c r="K633" s="74">
        <f t="shared" ref="K633:K639" si="351">SUM(0.5*(L633-J633),J633)</f>
        <v>9.9375</v>
      </c>
      <c r="L633" s="114">
        <f t="shared" si="339"/>
        <v>10.875</v>
      </c>
      <c r="M633" s="115">
        <f t="shared" ref="M633:M639" si="352">SUM(0.166*(R633-L633),L633)</f>
        <v>11.89175</v>
      </c>
      <c r="N633" s="115">
        <f t="shared" ref="N633:N639" si="353">SUM(0.333*(R633-L633),L633)</f>
        <v>12.914625000000001</v>
      </c>
      <c r="O633" s="74">
        <f t="shared" ref="O633:O639" si="354">SUM(0.5*(R633-L633),L633)</f>
        <v>13.9375</v>
      </c>
      <c r="P633" s="74">
        <f t="shared" ref="P633:P639" si="355">SUM(0.666*(R633-L633),L633)</f>
        <v>14.95425</v>
      </c>
      <c r="Q633" s="74">
        <f t="shared" ref="Q633:Q639" si="356">SUM(0.832*(R633-L633),L633)</f>
        <v>15.971</v>
      </c>
      <c r="R633" s="114">
        <v>17</v>
      </c>
      <c r="S633" s="129"/>
      <c r="T633" s="117">
        <f>SUM((CX20+CU18+CR16+CO14+CL12)*0.132,(CW19+CV19+CT17+CS17+CQ15+CP15+CN13+CM13+CK11+CJ11+CI10+CH10)*0.132/2,(CG9+CF9+CE8+CD8+CC7+CB7+CA6+BZ6+BY5+BX5+BW4+BV4)*0.132/2,17)</f>
        <v>18.113538461538461</v>
      </c>
      <c r="U633" s="117"/>
      <c r="V633" s="129"/>
      <c r="W633" s="114"/>
    </row>
    <row r="634" spans="2:23">
      <c r="B634" s="114">
        <v>4</v>
      </c>
      <c r="C634" s="74">
        <f t="shared" si="327"/>
        <v>4.5</v>
      </c>
      <c r="D634" s="74">
        <f t="shared" si="328"/>
        <v>5</v>
      </c>
      <c r="E634" s="74">
        <f t="shared" si="329"/>
        <v>5.5</v>
      </c>
      <c r="F634" s="114">
        <v>6</v>
      </c>
      <c r="G634" s="74">
        <f t="shared" si="330"/>
        <v>6.5</v>
      </c>
      <c r="H634" s="74">
        <f t="shared" si="331"/>
        <v>7</v>
      </c>
      <c r="I634" s="74">
        <f t="shared" si="332"/>
        <v>7.5</v>
      </c>
      <c r="J634" s="114">
        <f t="shared" si="333"/>
        <v>8</v>
      </c>
      <c r="K634" s="74">
        <f t="shared" si="351"/>
        <v>8.625</v>
      </c>
      <c r="L634" s="114">
        <f t="shared" si="339"/>
        <v>9.25</v>
      </c>
      <c r="M634" s="115">
        <f t="shared" si="352"/>
        <v>10.5365</v>
      </c>
      <c r="N634" s="115">
        <f t="shared" si="353"/>
        <v>11.83075</v>
      </c>
      <c r="O634" s="74">
        <f t="shared" si="354"/>
        <v>13.125</v>
      </c>
      <c r="P634" s="74">
        <f t="shared" si="355"/>
        <v>14.4115</v>
      </c>
      <c r="Q634" s="74">
        <f t="shared" si="356"/>
        <v>15.698</v>
      </c>
      <c r="R634" s="114">
        <v>17</v>
      </c>
      <c r="S634" s="129"/>
      <c r="T634" s="117">
        <f>SUM((CV20+CU19+CT18+CS17+CR16+CQ15+CP14+CO13+CN12+CM11)*0.132,(CL10+CK10)*0.132/2,(CJ9+CI9+CH9+CG8+CF8+CE8+CD7+CC7+CB7)*0.132/3,(CA6+BZ6+BY5+BX5+BW4+BV4)*0.132/2,17)</f>
        <v>18.113538461538461</v>
      </c>
      <c r="U634" s="117"/>
      <c r="V634" s="129"/>
      <c r="W634" s="114"/>
    </row>
    <row r="635" spans="2:23">
      <c r="B635" s="114">
        <v>5</v>
      </c>
      <c r="C635" s="74">
        <f t="shared" si="327"/>
        <v>5.25</v>
      </c>
      <c r="D635" s="74">
        <f t="shared" si="328"/>
        <v>5.5</v>
      </c>
      <c r="E635" s="74">
        <f t="shared" si="329"/>
        <v>5.75</v>
      </c>
      <c r="F635" s="114">
        <v>6</v>
      </c>
      <c r="G635" s="74">
        <f t="shared" si="330"/>
        <v>6.25</v>
      </c>
      <c r="H635" s="74">
        <f t="shared" si="331"/>
        <v>6.5</v>
      </c>
      <c r="I635" s="74">
        <f t="shared" si="332"/>
        <v>6.75</v>
      </c>
      <c r="J635" s="114">
        <f t="shared" si="333"/>
        <v>7</v>
      </c>
      <c r="K635" s="74">
        <f t="shared" si="351"/>
        <v>7.3125</v>
      </c>
      <c r="L635" s="114">
        <f t="shared" si="339"/>
        <v>7.625</v>
      </c>
      <c r="M635" s="115">
        <f t="shared" si="352"/>
        <v>9.1812500000000004</v>
      </c>
      <c r="N635" s="115">
        <f t="shared" si="353"/>
        <v>10.746874999999999</v>
      </c>
      <c r="O635" s="74">
        <f t="shared" si="354"/>
        <v>12.3125</v>
      </c>
      <c r="P635" s="74">
        <f t="shared" si="355"/>
        <v>13.86875</v>
      </c>
      <c r="Q635" s="74">
        <f t="shared" si="356"/>
        <v>15.425000000000001</v>
      </c>
      <c r="R635" s="114">
        <v>17</v>
      </c>
      <c r="S635" s="129"/>
      <c r="T635" s="117">
        <f>SUM((CT20+CS19+CS18+CR17+CR16+CQ15+CQ14+CP13+CP12+CO11+CO10)*0.132,(CN9+CM9+CL9+CK9)*0.132/4,(CJ8+CI8+CH8+CG7+CF7+CE7+CD6+CC6+CB6+CA5+BZ5+BY5+BX4+BW4+BV4)*0.132/3,17)</f>
        <v>18.12453846153846</v>
      </c>
      <c r="U635" s="117"/>
      <c r="V635" s="129"/>
      <c r="W635" s="114"/>
    </row>
    <row r="636" spans="2:23">
      <c r="B636" s="114">
        <v>6</v>
      </c>
      <c r="C636" s="74">
        <f t="shared" si="327"/>
        <v>6</v>
      </c>
      <c r="D636" s="74">
        <f t="shared" si="328"/>
        <v>6</v>
      </c>
      <c r="E636" s="74">
        <f t="shared" si="329"/>
        <v>6</v>
      </c>
      <c r="F636" s="114">
        <v>6</v>
      </c>
      <c r="G636" s="74">
        <f t="shared" si="330"/>
        <v>6</v>
      </c>
      <c r="H636" s="74">
        <f t="shared" si="331"/>
        <v>6</v>
      </c>
      <c r="I636" s="74">
        <f t="shared" si="332"/>
        <v>6</v>
      </c>
      <c r="J636" s="114">
        <f t="shared" si="333"/>
        <v>6</v>
      </c>
      <c r="K636" s="74">
        <f t="shared" si="351"/>
        <v>6.55</v>
      </c>
      <c r="L636" s="114">
        <f>SUM(J636,J636,-H636,0.25*ABS(J636-H636),0.1*(17-F636))</f>
        <v>7.1</v>
      </c>
      <c r="M636" s="115">
        <f t="shared" si="352"/>
        <v>8.7433999999999994</v>
      </c>
      <c r="N636" s="115">
        <f t="shared" si="353"/>
        <v>10.396699999999999</v>
      </c>
      <c r="O636" s="74">
        <f t="shared" si="354"/>
        <v>12.05</v>
      </c>
      <c r="P636" s="74">
        <f t="shared" si="355"/>
        <v>13.6934</v>
      </c>
      <c r="Q636" s="74">
        <f t="shared" si="356"/>
        <v>15.3368</v>
      </c>
      <c r="R636" s="114">
        <v>17</v>
      </c>
      <c r="S636" s="129"/>
      <c r="T636" s="117">
        <f>SUM((CR20+CR19+CR18+CR17+CR16+CR15+CR14+CR13+CR12+CQ11+CP10)*0.132,(CO9+CN9+CM9+CL9+CK8+CJ8+CI8+CH8)*0.132/4,(CG7+CF7+CE7+CD6+CC6+CB6+CA5+BZ5+BY5+BX4+BW4+BV4)*0.132/3,17)</f>
        <v>17.695538461538462</v>
      </c>
      <c r="U636" s="117"/>
      <c r="V636" s="129"/>
      <c r="W636" s="114"/>
    </row>
    <row r="637" spans="2:23">
      <c r="B637" s="114">
        <v>7</v>
      </c>
      <c r="C637" s="74">
        <f t="shared" si="327"/>
        <v>6.75</v>
      </c>
      <c r="D637" s="74">
        <f t="shared" si="328"/>
        <v>6.5</v>
      </c>
      <c r="E637" s="74">
        <f t="shared" si="329"/>
        <v>6.25</v>
      </c>
      <c r="F637" s="114">
        <v>6</v>
      </c>
      <c r="G637" s="74">
        <f t="shared" si="330"/>
        <v>5.75</v>
      </c>
      <c r="H637" s="74">
        <f t="shared" si="331"/>
        <v>5.5</v>
      </c>
      <c r="I637" s="74">
        <f t="shared" si="332"/>
        <v>5.25</v>
      </c>
      <c r="J637" s="114">
        <f t="shared" si="333"/>
        <v>5</v>
      </c>
      <c r="K637" s="74">
        <f t="shared" si="351"/>
        <v>4.8125</v>
      </c>
      <c r="L637" s="114">
        <f t="shared" si="339"/>
        <v>4.625</v>
      </c>
      <c r="M637" s="115">
        <f t="shared" si="352"/>
        <v>6.6792499999999997</v>
      </c>
      <c r="N637" s="115">
        <f t="shared" si="353"/>
        <v>8.7458749999999998</v>
      </c>
      <c r="O637" s="74">
        <f t="shared" si="354"/>
        <v>10.8125</v>
      </c>
      <c r="P637" s="74">
        <f t="shared" si="355"/>
        <v>12.86675</v>
      </c>
      <c r="Q637" s="74">
        <f t="shared" si="356"/>
        <v>14.920999999999999</v>
      </c>
      <c r="R637" s="114">
        <v>17</v>
      </c>
      <c r="S637" s="129"/>
      <c r="T637" s="117">
        <f>SUM((CP20+CQ19+CQ18+CR17+CR16+CS15+CS14+CT13+CT12+CU11+CV10)*0.132,(CU9+CT9+CS9+CR9+CQ9+CP8+CO8+CN8+CM8+CL8)*0.132/5,(CK7+CJ7+CI7+CH7+CG6+CF6+CE6+CD6+CC5+CB5+CA5+BZ5+BY4+BX4+BW4+BV4)*0.132/4,17)</f>
        <v>18.186138461538462</v>
      </c>
      <c r="U637" s="117"/>
      <c r="V637" s="129"/>
      <c r="W637" s="114"/>
    </row>
    <row r="638" spans="2:23">
      <c r="B638" s="114">
        <v>8</v>
      </c>
      <c r="C638" s="74">
        <f t="shared" si="327"/>
        <v>7.5</v>
      </c>
      <c r="D638" s="74">
        <f t="shared" si="328"/>
        <v>7</v>
      </c>
      <c r="E638" s="74">
        <f t="shared" si="329"/>
        <v>6.5</v>
      </c>
      <c r="F638" s="114">
        <v>6</v>
      </c>
      <c r="G638" s="74">
        <f t="shared" si="330"/>
        <v>5.5</v>
      </c>
      <c r="H638" s="74">
        <f t="shared" si="331"/>
        <v>5</v>
      </c>
      <c r="I638" s="74">
        <f t="shared" si="332"/>
        <v>4.5</v>
      </c>
      <c r="J638" s="114">
        <f t="shared" si="333"/>
        <v>4</v>
      </c>
      <c r="K638" s="74">
        <f t="shared" si="351"/>
        <v>3.625</v>
      </c>
      <c r="L638" s="114">
        <f t="shared" si="339"/>
        <v>3.25</v>
      </c>
      <c r="M638" s="115">
        <f t="shared" si="352"/>
        <v>5.5325000000000006</v>
      </c>
      <c r="N638" s="115">
        <f t="shared" si="353"/>
        <v>7.8287500000000003</v>
      </c>
      <c r="O638" s="74">
        <f t="shared" si="354"/>
        <v>10.125</v>
      </c>
      <c r="P638" s="74">
        <f t="shared" si="355"/>
        <v>12.407500000000001</v>
      </c>
      <c r="Q638" s="74">
        <f t="shared" si="356"/>
        <v>14.69</v>
      </c>
      <c r="R638" s="114">
        <v>17</v>
      </c>
      <c r="S638" s="129"/>
      <c r="T638" s="117">
        <f>SUM((CN20+CO19+CP18+CQ17+CR16+CS15+CT14+CU13+CV12+CW11+CW10)*0.132,(CV9+CU9+CT9+CS9+CR9+CQ8+CP8+CO8+CN8+CM8+CL7+CK7+CJ7+CI7+CH7)*0.132/5,(CG6+CF6+CE6+CD6+CC5+CB5+CA5+BZ5+BY4+BX4+BW4+BV4)*0.132/4,17)</f>
        <v>18.027738461538462</v>
      </c>
      <c r="U638" s="117"/>
      <c r="V638" s="129"/>
      <c r="W638" s="114"/>
    </row>
    <row r="639" spans="2:23">
      <c r="B639" s="114">
        <v>9</v>
      </c>
      <c r="C639" s="74">
        <f t="shared" si="327"/>
        <v>8.25</v>
      </c>
      <c r="D639" s="74">
        <f t="shared" si="328"/>
        <v>7.5</v>
      </c>
      <c r="E639" s="74">
        <f t="shared" si="329"/>
        <v>6.75</v>
      </c>
      <c r="F639" s="114">
        <v>6</v>
      </c>
      <c r="G639" s="74">
        <f t="shared" si="330"/>
        <v>5.25</v>
      </c>
      <c r="H639" s="74">
        <f t="shared" si="331"/>
        <v>4.5</v>
      </c>
      <c r="I639" s="74">
        <f t="shared" si="332"/>
        <v>3.75</v>
      </c>
      <c r="J639" s="114">
        <f t="shared" si="333"/>
        <v>3</v>
      </c>
      <c r="K639" s="74">
        <f t="shared" si="351"/>
        <v>2.4375</v>
      </c>
      <c r="L639" s="114">
        <f t="shared" si="339"/>
        <v>1.875</v>
      </c>
      <c r="M639" s="115">
        <f t="shared" si="352"/>
        <v>4.3857499999999998</v>
      </c>
      <c r="N639" s="115">
        <f t="shared" si="353"/>
        <v>6.9116249999999999</v>
      </c>
      <c r="O639" s="74">
        <f t="shared" si="354"/>
        <v>9.4375</v>
      </c>
      <c r="P639" s="74">
        <f t="shared" si="355"/>
        <v>11.94825</v>
      </c>
      <c r="Q639" s="74">
        <f t="shared" si="356"/>
        <v>14.459</v>
      </c>
      <c r="R639" s="114">
        <v>17</v>
      </c>
      <c r="S639" s="129"/>
      <c r="T639" s="117">
        <f>SUM((CL20+CO18+CR16+CU14+CX12+CY11+CZ10)*0.132,(CM19+CN19+CP17+CQ17+CS15+CT15+CV13+CW13)*0.132/2,(CY9+CX9+CW9+CV9+CU9+CT8+CS8+CR8+CQ8+CP8+CO7+CN7+CM7+CL7+CK7+CJ6+CI6+CH6+CG6+CF6+CE5+CD5+CC5+CB5+CA5+BZ4+BY4+BX4+BW4+BV4)*0.132/5,17)</f>
        <v>17.862738461538463</v>
      </c>
      <c r="U639" s="117"/>
      <c r="V639" s="129"/>
      <c r="W639" s="114"/>
    </row>
    <row r="640" spans="2:23">
      <c r="B640" s="114"/>
      <c r="C640" s="74"/>
      <c r="D640" s="74"/>
      <c r="E640" s="74"/>
      <c r="F640" s="114"/>
      <c r="G640" s="74"/>
      <c r="H640" s="74"/>
      <c r="I640" s="74"/>
      <c r="J640" s="114"/>
      <c r="K640" s="74"/>
      <c r="L640" s="114"/>
      <c r="M640" s="115"/>
      <c r="N640" s="115"/>
      <c r="O640" s="74"/>
      <c r="P640" s="74"/>
      <c r="Q640" s="74"/>
      <c r="R640" s="114"/>
      <c r="S640" s="129"/>
      <c r="T640" s="117"/>
      <c r="U640" s="117"/>
      <c r="V640" s="129"/>
      <c r="W640" s="114"/>
    </row>
    <row r="641" spans="2:23">
      <c r="B641" s="114">
        <v>4</v>
      </c>
      <c r="C641" s="74">
        <f t="shared" si="327"/>
        <v>4.75</v>
      </c>
      <c r="D641" s="74">
        <f t="shared" si="328"/>
        <v>5.5</v>
      </c>
      <c r="E641" s="74">
        <f t="shared" si="329"/>
        <v>6.25</v>
      </c>
      <c r="F641" s="114">
        <v>7</v>
      </c>
      <c r="G641" s="74">
        <f t="shared" si="330"/>
        <v>7.75</v>
      </c>
      <c r="H641" s="74">
        <f t="shared" si="331"/>
        <v>8.5</v>
      </c>
      <c r="I641" s="74">
        <f t="shared" si="332"/>
        <v>9.25</v>
      </c>
      <c r="J641" s="114">
        <f t="shared" si="333"/>
        <v>10</v>
      </c>
      <c r="K641" s="74">
        <f t="shared" ref="K641:K648" si="357">SUM(0.5*(L641-J641),J641)</f>
        <v>10.9375</v>
      </c>
      <c r="L641" s="114">
        <f t="shared" si="339"/>
        <v>11.875</v>
      </c>
      <c r="M641" s="115">
        <f t="shared" ref="M641:M648" si="358">SUM(0.166*(R641-L641),L641)</f>
        <v>12.72575</v>
      </c>
      <c r="N641" s="115">
        <f t="shared" ref="N641:N648" si="359">SUM(0.333*(R641-L641),L641)</f>
        <v>13.581625000000001</v>
      </c>
      <c r="O641" s="74">
        <f t="shared" ref="O641:O648" si="360">SUM(0.5*(R641-L641),L641)</f>
        <v>14.4375</v>
      </c>
      <c r="P641" s="74">
        <f t="shared" ref="P641:P648" si="361">SUM(0.666*(R641-L641),L641)</f>
        <v>15.28825</v>
      </c>
      <c r="Q641" s="74">
        <f t="shared" ref="Q641:Q648" si="362">SUM(0.832*(R641-L641),L641)</f>
        <v>16.138999999999999</v>
      </c>
      <c r="R641" s="114">
        <v>17</v>
      </c>
      <c r="S641" s="129"/>
      <c r="T641" s="117">
        <f>SUM((CV20+CS18+CP16+CM14+CJ12)*0.132,(CU19+CT19+CR17+CQ17+CO15+CN15+CL13+CK13+CI11+CH11+CG10+CF10+CE9+CD9+CC8+CB8+CA7+BZ7+BY6+BX6)*0.132/2,(BW5+BV4)*0.132,17)</f>
        <v>18.37753846153846</v>
      </c>
      <c r="U641" s="117"/>
      <c r="V641" s="129"/>
      <c r="W641" s="114"/>
    </row>
    <row r="642" spans="2:23">
      <c r="B642" s="114">
        <v>5</v>
      </c>
      <c r="C642" s="74">
        <f t="shared" si="327"/>
        <v>5.5</v>
      </c>
      <c r="D642" s="74">
        <f t="shared" si="328"/>
        <v>6</v>
      </c>
      <c r="E642" s="74">
        <f t="shared" si="329"/>
        <v>6.5</v>
      </c>
      <c r="F642" s="114">
        <v>7</v>
      </c>
      <c r="G642" s="74">
        <f t="shared" si="330"/>
        <v>7.5</v>
      </c>
      <c r="H642" s="74">
        <f t="shared" si="331"/>
        <v>8</v>
      </c>
      <c r="I642" s="74">
        <f t="shared" si="332"/>
        <v>8.5</v>
      </c>
      <c r="J642" s="114">
        <f t="shared" si="333"/>
        <v>9</v>
      </c>
      <c r="K642" s="74">
        <f t="shared" si="357"/>
        <v>9.625</v>
      </c>
      <c r="L642" s="114">
        <f t="shared" si="339"/>
        <v>10.25</v>
      </c>
      <c r="M642" s="115">
        <f t="shared" si="358"/>
        <v>11.3705</v>
      </c>
      <c r="N642" s="115">
        <f t="shared" si="359"/>
        <v>12.49775</v>
      </c>
      <c r="O642" s="74">
        <f t="shared" si="360"/>
        <v>13.625</v>
      </c>
      <c r="P642" s="74">
        <f t="shared" si="361"/>
        <v>14.7455</v>
      </c>
      <c r="Q642" s="74">
        <f t="shared" si="362"/>
        <v>15.866</v>
      </c>
      <c r="R642" s="114">
        <v>17</v>
      </c>
      <c r="S642" s="129"/>
      <c r="T642" s="117">
        <f>SUM((CT20+CS19+CR18+CQ17+CP16+CO15+CN14+CM13+CL12+CK11)*0.132,(CJ10+CI10)*0.132/2,(CH9+CG9+CF9)*0.132/3,(CE8+CD8+CC7+CB7+CA6+BZ6+BY5+BX5+BW4+BV4)*0.132/2,17)</f>
        <v>18.22353846153846</v>
      </c>
      <c r="U642" s="117"/>
      <c r="V642" s="129"/>
      <c r="W642" s="114"/>
    </row>
    <row r="643" spans="2:23">
      <c r="B643" s="114">
        <v>6</v>
      </c>
      <c r="C643" s="74">
        <f t="shared" si="327"/>
        <v>6.25</v>
      </c>
      <c r="D643" s="74">
        <f t="shared" si="328"/>
        <v>6.5</v>
      </c>
      <c r="E643" s="74">
        <f t="shared" si="329"/>
        <v>6.75</v>
      </c>
      <c r="F643" s="114">
        <v>7</v>
      </c>
      <c r="G643" s="74">
        <f t="shared" si="330"/>
        <v>7.25</v>
      </c>
      <c r="H643" s="74">
        <f t="shared" si="331"/>
        <v>7.5</v>
      </c>
      <c r="I643" s="74">
        <f t="shared" si="332"/>
        <v>7.75</v>
      </c>
      <c r="J643" s="114">
        <f t="shared" si="333"/>
        <v>8</v>
      </c>
      <c r="K643" s="74">
        <f t="shared" si="357"/>
        <v>8.3125</v>
      </c>
      <c r="L643" s="114">
        <f t="shared" si="339"/>
        <v>8.625</v>
      </c>
      <c r="M643" s="115">
        <f t="shared" si="358"/>
        <v>10.01525</v>
      </c>
      <c r="N643" s="115">
        <f t="shared" si="359"/>
        <v>11.413875000000001</v>
      </c>
      <c r="O643" s="74">
        <f t="shared" si="360"/>
        <v>12.8125</v>
      </c>
      <c r="P643" s="74">
        <f t="shared" si="361"/>
        <v>14.20275</v>
      </c>
      <c r="Q643" s="74">
        <f t="shared" si="362"/>
        <v>15.593</v>
      </c>
      <c r="R643" s="114">
        <v>17</v>
      </c>
      <c r="S643" s="129"/>
      <c r="T643" s="117">
        <f>SUM((CR20+CQ19+CQ18+CP17+CP16+CO15+CO14+CN13+CN12+CM11+CM10)*0.132,(CL9+CK9+CJ9+CI8+CH8+CG8+CF7+CE7+CD7+CC6+CB6+CA6+BZ5+BY5+BX5)*0.132/3,(BW4+BV4)*0.132/2,17)</f>
        <v>18.157538461538461</v>
      </c>
      <c r="U643" s="117"/>
      <c r="V643" s="129"/>
      <c r="W643" s="114"/>
    </row>
    <row r="644" spans="2:23">
      <c r="B644" s="114">
        <v>7</v>
      </c>
      <c r="C644" s="74">
        <f t="shared" si="327"/>
        <v>7</v>
      </c>
      <c r="D644" s="74">
        <f t="shared" si="328"/>
        <v>7</v>
      </c>
      <c r="E644" s="74">
        <f t="shared" si="329"/>
        <v>7</v>
      </c>
      <c r="F644" s="114">
        <v>7</v>
      </c>
      <c r="G644" s="74">
        <f t="shared" si="330"/>
        <v>7</v>
      </c>
      <c r="H644" s="74">
        <f t="shared" si="331"/>
        <v>7</v>
      </c>
      <c r="I644" s="74">
        <f t="shared" si="332"/>
        <v>7</v>
      </c>
      <c r="J644" s="114">
        <f t="shared" si="333"/>
        <v>7</v>
      </c>
      <c r="K644" s="74">
        <f t="shared" si="357"/>
        <v>7.5</v>
      </c>
      <c r="L644" s="114">
        <f>SUM(J644,J644,-H644,0.25*ABS(J644-H644),0.1*(17-F644))</f>
        <v>8</v>
      </c>
      <c r="M644" s="115">
        <f t="shared" si="358"/>
        <v>9.4939999999999998</v>
      </c>
      <c r="N644" s="115">
        <f t="shared" si="359"/>
        <v>10.997</v>
      </c>
      <c r="O644" s="74">
        <f t="shared" si="360"/>
        <v>12.5</v>
      </c>
      <c r="P644" s="74">
        <f t="shared" si="361"/>
        <v>13.994</v>
      </c>
      <c r="Q644" s="74">
        <f t="shared" si="362"/>
        <v>15.488</v>
      </c>
      <c r="R644" s="114">
        <v>17</v>
      </c>
      <c r="S644" s="129"/>
      <c r="T644" s="117">
        <f>SUM((CP20+CP19+CP18+CP17+CP16+CP15+CP14+CP13+CP12+CO11+CN10)*0.132,(CM9+CL9+CK9+CJ8+CI8+CH8+CG7+CF7+CE7+CD6+CC6+CB6+CA5+BZ5+BY5+BX4+BW4+BV4)*0.132/3,17)</f>
        <v>18.663538461538462</v>
      </c>
      <c r="U644" s="117"/>
      <c r="V644" s="129"/>
      <c r="W644" s="114"/>
    </row>
    <row r="645" spans="2:23">
      <c r="B645" s="114">
        <v>8</v>
      </c>
      <c r="C645" s="74">
        <f t="shared" si="327"/>
        <v>7.75</v>
      </c>
      <c r="D645" s="74">
        <f t="shared" si="328"/>
        <v>7.5</v>
      </c>
      <c r="E645" s="74">
        <f t="shared" si="329"/>
        <v>7.25</v>
      </c>
      <c r="F645" s="114">
        <v>7</v>
      </c>
      <c r="G645" s="74">
        <f t="shared" si="330"/>
        <v>6.75</v>
      </c>
      <c r="H645" s="74">
        <f t="shared" si="331"/>
        <v>6.5</v>
      </c>
      <c r="I645" s="74">
        <f t="shared" si="332"/>
        <v>6.25</v>
      </c>
      <c r="J645" s="114">
        <f t="shared" si="333"/>
        <v>6</v>
      </c>
      <c r="K645" s="74">
        <f t="shared" si="357"/>
        <v>5.8125</v>
      </c>
      <c r="L645" s="114">
        <f t="shared" si="339"/>
        <v>5.625</v>
      </c>
      <c r="M645" s="115">
        <f t="shared" si="358"/>
        <v>7.5132500000000002</v>
      </c>
      <c r="N645" s="115">
        <f t="shared" si="359"/>
        <v>9.4128749999999997</v>
      </c>
      <c r="O645" s="74">
        <f t="shared" si="360"/>
        <v>11.3125</v>
      </c>
      <c r="P645" s="74">
        <f t="shared" si="361"/>
        <v>13.200749999999999</v>
      </c>
      <c r="Q645" s="74">
        <f t="shared" si="362"/>
        <v>15.089</v>
      </c>
      <c r="R645" s="114">
        <v>17</v>
      </c>
      <c r="S645" s="129"/>
      <c r="T645" s="117">
        <f>SUM((CN20+CO19+CO18+CP17+CP16+CQ15+CQ14+CR13+CR12+CS11+CS10)*0.132,(CR9+CQ9+CP9+CO9+CN8+CM8+CL8+CK8+CJ7+CI7+CH7+CG7+CF6+CE6+CD6+CC6+CB5+CA5+BZ5+BY5)*0.132/4,(BX4+BW4+BV4)*0.132/3,17)</f>
        <v>17.739538461538462</v>
      </c>
      <c r="U645" s="117"/>
      <c r="V645" s="129"/>
      <c r="W645" s="114"/>
    </row>
    <row r="646" spans="2:23">
      <c r="B646" s="114">
        <v>9</v>
      </c>
      <c r="C646" s="74">
        <f t="shared" si="327"/>
        <v>8.5</v>
      </c>
      <c r="D646" s="74">
        <f t="shared" si="328"/>
        <v>8</v>
      </c>
      <c r="E646" s="74">
        <f t="shared" si="329"/>
        <v>7.5</v>
      </c>
      <c r="F646" s="114">
        <v>7</v>
      </c>
      <c r="G646" s="74">
        <f t="shared" si="330"/>
        <v>6.5</v>
      </c>
      <c r="H646" s="74">
        <f t="shared" si="331"/>
        <v>6</v>
      </c>
      <c r="I646" s="74">
        <f t="shared" si="332"/>
        <v>5.5</v>
      </c>
      <c r="J646" s="114">
        <f t="shared" si="333"/>
        <v>5</v>
      </c>
      <c r="K646" s="74">
        <f t="shared" si="357"/>
        <v>4.625</v>
      </c>
      <c r="L646" s="114">
        <f t="shared" si="339"/>
        <v>4.25</v>
      </c>
      <c r="M646" s="115">
        <f t="shared" si="358"/>
        <v>6.3665000000000003</v>
      </c>
      <c r="N646" s="115">
        <f t="shared" si="359"/>
        <v>8.495750000000001</v>
      </c>
      <c r="O646" s="74">
        <f t="shared" si="360"/>
        <v>10.625</v>
      </c>
      <c r="P646" s="74">
        <f t="shared" si="361"/>
        <v>12.7415</v>
      </c>
      <c r="Q646" s="74">
        <f t="shared" si="362"/>
        <v>14.857999999999999</v>
      </c>
      <c r="R646" s="114">
        <v>17</v>
      </c>
      <c r="S646" s="129"/>
      <c r="T646" s="117">
        <f>SUM((CL20+CM19+CN18+CO17+CP16+CQ15+CR14+CS13+CT12+CU11+CU10)*0.132,(CT9+CS9+CR9+CQ9+CP9)*0.132/5,(CO8+CN8+CM8+CL8+CK7+CJ7+CI7+CH7+CG6+CF6+CE6+CD6+CC5+CB5+CA5+BZ5+BY4+BX4+BW4+BV4)*0.132/4,17)</f>
        <v>18.093738461538461</v>
      </c>
      <c r="U646" s="117"/>
      <c r="V646" s="129"/>
      <c r="W646" s="114"/>
    </row>
    <row r="647" spans="2:23">
      <c r="B647" s="114">
        <v>10</v>
      </c>
      <c r="C647" s="74">
        <f t="shared" si="327"/>
        <v>9.25</v>
      </c>
      <c r="D647" s="74">
        <f t="shared" si="328"/>
        <v>8.5</v>
      </c>
      <c r="E647" s="74">
        <f t="shared" si="329"/>
        <v>7.75</v>
      </c>
      <c r="F647" s="114">
        <v>7</v>
      </c>
      <c r="G647" s="74">
        <f t="shared" si="330"/>
        <v>6.25</v>
      </c>
      <c r="H647" s="74">
        <f t="shared" si="331"/>
        <v>5.5</v>
      </c>
      <c r="I647" s="74">
        <f t="shared" si="332"/>
        <v>4.75</v>
      </c>
      <c r="J647" s="114">
        <f t="shared" si="333"/>
        <v>4</v>
      </c>
      <c r="K647" s="74">
        <f t="shared" si="357"/>
        <v>3.4375</v>
      </c>
      <c r="L647" s="114">
        <f t="shared" si="339"/>
        <v>2.875</v>
      </c>
      <c r="M647" s="115">
        <f t="shared" si="358"/>
        <v>5.2197500000000003</v>
      </c>
      <c r="N647" s="115">
        <f t="shared" si="359"/>
        <v>7.5786250000000006</v>
      </c>
      <c r="O647" s="74">
        <f t="shared" si="360"/>
        <v>9.9375</v>
      </c>
      <c r="P647" s="74">
        <f t="shared" si="361"/>
        <v>12.282250000000001</v>
      </c>
      <c r="Q647" s="74">
        <f t="shared" si="362"/>
        <v>14.626999999999999</v>
      </c>
      <c r="R647" s="114">
        <v>17</v>
      </c>
      <c r="S647" s="129"/>
      <c r="T647" s="117">
        <f>SUM((CJ20+CM18+CP16+CS14+CV12+CW11+CX10)*0.132,(CK19+CL19+CN17+CO17+CQ15+CR15+CT13+CU13)*0.132/2,(CW9+CV9+CU9+CT9+CS9+CR8+CQ8+CP8+CO8+CN8+CM7+CL7+CK7+CJ7+CI7+CH6+CG6+CF6+CE6+CD6)*0.132/5,(CC5+CB5+CA5+BZ5+BY4+BX4+BW4+BV4)*0.132/4,17)</f>
        <v>18.225738461538462</v>
      </c>
      <c r="U647" s="117"/>
      <c r="V647" s="129"/>
      <c r="W647" s="114"/>
    </row>
    <row r="648" spans="2:23">
      <c r="B648" s="114">
        <v>11</v>
      </c>
      <c r="C648" s="74">
        <f t="shared" si="327"/>
        <v>10</v>
      </c>
      <c r="D648" s="74">
        <f t="shared" si="328"/>
        <v>9</v>
      </c>
      <c r="E648" s="74">
        <f t="shared" si="329"/>
        <v>8</v>
      </c>
      <c r="F648" s="114">
        <v>7</v>
      </c>
      <c r="G648" s="74">
        <f t="shared" si="330"/>
        <v>6</v>
      </c>
      <c r="H648" s="74">
        <f t="shared" si="331"/>
        <v>5</v>
      </c>
      <c r="I648" s="74">
        <f t="shared" si="332"/>
        <v>4</v>
      </c>
      <c r="J648" s="114">
        <f t="shared" si="333"/>
        <v>3</v>
      </c>
      <c r="K648" s="74">
        <f t="shared" si="357"/>
        <v>2.25</v>
      </c>
      <c r="L648" s="114">
        <f t="shared" si="339"/>
        <v>1.5</v>
      </c>
      <c r="M648" s="115">
        <f t="shared" si="358"/>
        <v>4.0730000000000004</v>
      </c>
      <c r="N648" s="115">
        <f t="shared" si="359"/>
        <v>6.6615000000000002</v>
      </c>
      <c r="O648" s="74">
        <f t="shared" si="360"/>
        <v>9.25</v>
      </c>
      <c r="P648" s="74">
        <f t="shared" si="361"/>
        <v>11.823</v>
      </c>
      <c r="Q648" s="74">
        <f t="shared" si="362"/>
        <v>14.395999999999999</v>
      </c>
      <c r="R648" s="114">
        <v>17</v>
      </c>
      <c r="S648" s="129"/>
      <c r="T648" s="117">
        <f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18.205938461538462</v>
      </c>
      <c r="U648" s="117"/>
      <c r="V648" s="129"/>
      <c r="W648" s="114"/>
    </row>
    <row r="649" spans="2:23">
      <c r="B649" s="114"/>
      <c r="C649" s="74"/>
      <c r="D649" s="74"/>
      <c r="E649" s="74"/>
      <c r="F649" s="114"/>
      <c r="G649" s="74"/>
      <c r="H649" s="74"/>
      <c r="I649" s="74"/>
      <c r="J649" s="114"/>
      <c r="K649" s="74"/>
      <c r="L649" s="114"/>
      <c r="M649" s="115"/>
      <c r="N649" s="115"/>
      <c r="O649" s="74"/>
      <c r="P649" s="74"/>
      <c r="Q649" s="74"/>
      <c r="R649" s="114"/>
      <c r="S649" s="129"/>
      <c r="T649" s="117"/>
      <c r="U649" s="117"/>
      <c r="V649" s="129"/>
      <c r="W649" s="114"/>
    </row>
    <row r="650" spans="2:23">
      <c r="B650" s="114">
        <v>5</v>
      </c>
      <c r="C650" s="74">
        <f t="shared" si="327"/>
        <v>5.75</v>
      </c>
      <c r="D650" s="74">
        <f t="shared" si="328"/>
        <v>6.5</v>
      </c>
      <c r="E650" s="74">
        <f t="shared" si="329"/>
        <v>7.25</v>
      </c>
      <c r="F650" s="114">
        <v>8</v>
      </c>
      <c r="G650" s="74">
        <f t="shared" si="330"/>
        <v>8.75</v>
      </c>
      <c r="H650" s="74">
        <f t="shared" si="331"/>
        <v>9.5</v>
      </c>
      <c r="I650" s="74">
        <f t="shared" si="332"/>
        <v>10.25</v>
      </c>
      <c r="J650" s="114">
        <f t="shared" si="333"/>
        <v>11</v>
      </c>
      <c r="K650" s="74">
        <f t="shared" ref="K650:K658" si="363">SUM(0.5*(L650-J650),J650)</f>
        <v>11.75</v>
      </c>
      <c r="L650" s="114">
        <f>SUM(J650,J650,-H650)</f>
        <v>12.5</v>
      </c>
      <c r="M650" s="115">
        <f t="shared" ref="M650:M658" si="364">SUM(0.166*(R650-L650),L650)</f>
        <v>13.247</v>
      </c>
      <c r="N650" s="115">
        <f t="shared" ref="N650:N658" si="365">SUM(0.333*(R650-L650),L650)</f>
        <v>13.9985</v>
      </c>
      <c r="O650" s="74">
        <f t="shared" ref="O650:O658" si="366">SUM(0.5*(R650-L650),L650)</f>
        <v>14.75</v>
      </c>
      <c r="P650" s="74">
        <f t="shared" ref="P650:P658" si="367">SUM(0.666*(R650-L650),L650)</f>
        <v>15.497</v>
      </c>
      <c r="Q650" s="74">
        <f t="shared" ref="Q650:Q658" si="368">SUM(0.832*(R650-L650),L650)</f>
        <v>16.244</v>
      </c>
      <c r="R650" s="114">
        <v>17</v>
      </c>
      <c r="S650" s="129"/>
      <c r="T650" s="117">
        <f>SUM((CT20+CQ18+CN16+CK14+CH12+CE10)*0.132,(CS19+CR19+CP17+CO17+CM15+CL15+CJ13+CI13+CG11+CF11+CD9+CC9+CB8+CA8+BZ7+BY7)*0.132/2,(BX6+BW5+BV4)*0.132,17)</f>
        <v>19.03753846153846</v>
      </c>
      <c r="U650" s="117"/>
      <c r="V650" s="129"/>
      <c r="W650" s="114"/>
    </row>
    <row r="651" spans="2:23">
      <c r="B651" s="114">
        <v>6</v>
      </c>
      <c r="C651" s="74">
        <f t="shared" si="327"/>
        <v>6.5</v>
      </c>
      <c r="D651" s="74">
        <f t="shared" si="328"/>
        <v>7</v>
      </c>
      <c r="E651" s="74">
        <f t="shared" si="329"/>
        <v>7.5</v>
      </c>
      <c r="F651" s="114">
        <v>8</v>
      </c>
      <c r="G651" s="74">
        <f t="shared" si="330"/>
        <v>8.5</v>
      </c>
      <c r="H651" s="74">
        <f t="shared" si="331"/>
        <v>9</v>
      </c>
      <c r="I651" s="74">
        <f t="shared" si="332"/>
        <v>9.5</v>
      </c>
      <c r="J651" s="114">
        <f t="shared" si="333"/>
        <v>10</v>
      </c>
      <c r="K651" s="74">
        <f t="shared" si="363"/>
        <v>10.625</v>
      </c>
      <c r="L651" s="114">
        <f t="shared" si="339"/>
        <v>11.25</v>
      </c>
      <c r="M651" s="115">
        <f t="shared" si="364"/>
        <v>12.204499999999999</v>
      </c>
      <c r="N651" s="115">
        <f t="shared" si="365"/>
        <v>13.16475</v>
      </c>
      <c r="O651" s="74">
        <f t="shared" si="366"/>
        <v>14.125</v>
      </c>
      <c r="P651" s="74">
        <f t="shared" si="367"/>
        <v>15.079499999999999</v>
      </c>
      <c r="Q651" s="74">
        <f t="shared" si="368"/>
        <v>16.033999999999999</v>
      </c>
      <c r="R651" s="114">
        <v>17</v>
      </c>
      <c r="S651" s="129"/>
      <c r="T651" s="117">
        <f>SUM((CR20+CQ19+CP18+CO17+CN16+CM15+CL14+CK13+CJ12+CI11+BV4)*0.132,(CH10+CG10+CF9+CE9+CD8+CC8+CB7+CA7+BZ6+BY6+BX5+BW5)*0.132/2,17)</f>
        <v>18.575538461538461</v>
      </c>
      <c r="U651" s="117"/>
      <c r="V651" s="129"/>
      <c r="W651" s="114"/>
    </row>
    <row r="652" spans="2:23">
      <c r="B652" s="114">
        <v>7</v>
      </c>
      <c r="C652" s="74">
        <f t="shared" si="327"/>
        <v>7.25</v>
      </c>
      <c r="D652" s="74">
        <f t="shared" si="328"/>
        <v>7.5</v>
      </c>
      <c r="E652" s="74">
        <f t="shared" si="329"/>
        <v>7.75</v>
      </c>
      <c r="F652" s="114">
        <v>8</v>
      </c>
      <c r="G652" s="74">
        <f t="shared" si="330"/>
        <v>8.25</v>
      </c>
      <c r="H652" s="74">
        <f t="shared" si="331"/>
        <v>8.5</v>
      </c>
      <c r="I652" s="74">
        <f t="shared" si="332"/>
        <v>8.75</v>
      </c>
      <c r="J652" s="114">
        <f t="shared" si="333"/>
        <v>9</v>
      </c>
      <c r="K652" s="74">
        <f t="shared" si="363"/>
        <v>9.3125</v>
      </c>
      <c r="L652" s="114">
        <f t="shared" si="339"/>
        <v>9.625</v>
      </c>
      <c r="M652" s="115">
        <f t="shared" si="364"/>
        <v>10.84925</v>
      </c>
      <c r="N652" s="115">
        <f t="shared" si="365"/>
        <v>12.080875000000001</v>
      </c>
      <c r="O652" s="74">
        <f t="shared" si="366"/>
        <v>13.3125</v>
      </c>
      <c r="P652" s="74">
        <f t="shared" si="367"/>
        <v>14.536750000000001</v>
      </c>
      <c r="Q652" s="74">
        <f t="shared" si="368"/>
        <v>15.760999999999999</v>
      </c>
      <c r="R652" s="114">
        <v>17</v>
      </c>
      <c r="S652" s="129"/>
      <c r="T652" s="117">
        <f>SUM((CP20+CO19+CO18+CN17+CN16+CM15+CM14+CL13+CL12+CK11+CK10)*0.132,(CJ9+CI9+CH9+CG8+CF8+CE8+CD7+CC7+CB7)*0.132/3,(CA6+BZ6+BY5+BX5+BW4+BV4)*0.132/2,17)</f>
        <v>19.103538461538463</v>
      </c>
      <c r="U652" s="117"/>
      <c r="V652" s="129"/>
      <c r="W652" s="114"/>
    </row>
    <row r="653" spans="2:23">
      <c r="B653" s="114">
        <v>8</v>
      </c>
      <c r="C653" s="74">
        <f t="shared" si="327"/>
        <v>8</v>
      </c>
      <c r="D653" s="74">
        <f t="shared" si="328"/>
        <v>8</v>
      </c>
      <c r="E653" s="74">
        <f t="shared" si="329"/>
        <v>8</v>
      </c>
      <c r="F653" s="114">
        <v>8</v>
      </c>
      <c r="G653" s="74">
        <f t="shared" si="330"/>
        <v>8</v>
      </c>
      <c r="H653" s="74">
        <f t="shared" si="331"/>
        <v>8</v>
      </c>
      <c r="I653" s="74">
        <f t="shared" si="332"/>
        <v>8</v>
      </c>
      <c r="J653" s="114">
        <f t="shared" si="333"/>
        <v>8</v>
      </c>
      <c r="K653" s="74">
        <f t="shared" si="363"/>
        <v>8.4499999999999993</v>
      </c>
      <c r="L653" s="114">
        <f>SUM(J653,J653,-H653,0.25*ABS(J653-H653),0.1*(17-F653))</f>
        <v>8.9</v>
      </c>
      <c r="M653" s="115">
        <f t="shared" si="364"/>
        <v>10.2446</v>
      </c>
      <c r="N653" s="115">
        <f t="shared" si="365"/>
        <v>11.597300000000001</v>
      </c>
      <c r="O653" s="74">
        <f t="shared" si="366"/>
        <v>12.95</v>
      </c>
      <c r="P653" s="74">
        <f t="shared" si="367"/>
        <v>14.294599999999999</v>
      </c>
      <c r="Q653" s="74">
        <f t="shared" si="368"/>
        <v>15.639199999999999</v>
      </c>
      <c r="R653" s="114">
        <v>17</v>
      </c>
      <c r="S653" s="129"/>
      <c r="T653" s="117">
        <f>SUM((CN20+CN19+CN18+CN17+CN16+CN15+CN14+CN13+CN12+CM11+CL10)*0.132,(CK9+CJ9+CI9+CH8+CG8+CF8+CE7+CD7+CC7+CB6+CA6+BZ6)*0.132/3,(BY5+BX5+BW4+BV4)*0.132/2,17)</f>
        <v>17.82753846153846</v>
      </c>
      <c r="U653" s="117"/>
      <c r="V653" s="129"/>
      <c r="W653" s="114"/>
    </row>
    <row r="654" spans="2:23">
      <c r="B654" s="114">
        <v>9</v>
      </c>
      <c r="C654" s="74">
        <f t="shared" si="327"/>
        <v>8.75</v>
      </c>
      <c r="D654" s="74">
        <f t="shared" si="328"/>
        <v>8.5</v>
      </c>
      <c r="E654" s="74">
        <f t="shared" si="329"/>
        <v>8.25</v>
      </c>
      <c r="F654" s="114">
        <v>8</v>
      </c>
      <c r="G654" s="74">
        <f t="shared" si="330"/>
        <v>7.75</v>
      </c>
      <c r="H654" s="74">
        <f t="shared" si="331"/>
        <v>7.5</v>
      </c>
      <c r="I654" s="74">
        <f t="shared" si="332"/>
        <v>7.25</v>
      </c>
      <c r="J654" s="114">
        <f t="shared" si="333"/>
        <v>7</v>
      </c>
      <c r="K654" s="74">
        <f t="shared" si="363"/>
        <v>6.8125</v>
      </c>
      <c r="L654" s="114">
        <f t="shared" si="339"/>
        <v>6.625</v>
      </c>
      <c r="M654" s="115">
        <f t="shared" si="364"/>
        <v>8.3472500000000007</v>
      </c>
      <c r="N654" s="115">
        <f t="shared" si="365"/>
        <v>10.079875000000001</v>
      </c>
      <c r="O654" s="74">
        <f t="shared" si="366"/>
        <v>11.8125</v>
      </c>
      <c r="P654" s="74">
        <f t="shared" si="367"/>
        <v>13.534750000000001</v>
      </c>
      <c r="Q654" s="74">
        <f t="shared" si="368"/>
        <v>15.257</v>
      </c>
      <c r="R654" s="114">
        <v>17</v>
      </c>
      <c r="S654" s="129"/>
      <c r="T654" s="117">
        <f>SUM((CL20+CM19+CM18+CN17+CN16+CO15+CO14+CP13+CP12+CQ11+CQ10)*0.132,(CP9+CO9+CN9+CM9+CL8+CK8+CJ8+CI8+CH7+CG7+CF7+CE7)*0.132/4,(CD6+CC6+CB6+CA5+BZ5+BY5+BX4+BW4+BV4)*0.132/3,17)</f>
        <v>18.619538461538461</v>
      </c>
      <c r="U654" s="117"/>
      <c r="V654" s="129"/>
      <c r="W654" s="114"/>
    </row>
    <row r="655" spans="2:23">
      <c r="B655" s="114">
        <v>10</v>
      </c>
      <c r="C655" s="74">
        <f t="shared" si="327"/>
        <v>9.5</v>
      </c>
      <c r="D655" s="74">
        <f t="shared" si="328"/>
        <v>9</v>
      </c>
      <c r="E655" s="74">
        <f t="shared" si="329"/>
        <v>8.5</v>
      </c>
      <c r="F655" s="114">
        <v>8</v>
      </c>
      <c r="G655" s="74">
        <f t="shared" si="330"/>
        <v>7.5</v>
      </c>
      <c r="H655" s="74">
        <f t="shared" si="331"/>
        <v>7</v>
      </c>
      <c r="I655" s="74">
        <f t="shared" si="332"/>
        <v>6.5</v>
      </c>
      <c r="J655" s="114">
        <f t="shared" si="333"/>
        <v>6</v>
      </c>
      <c r="K655" s="74">
        <f t="shared" si="363"/>
        <v>5.625</v>
      </c>
      <c r="L655" s="114">
        <f t="shared" si="339"/>
        <v>5.25</v>
      </c>
      <c r="M655" s="115">
        <f t="shared" si="364"/>
        <v>7.2004999999999999</v>
      </c>
      <c r="N655" s="115">
        <f t="shared" si="365"/>
        <v>9.1627500000000008</v>
      </c>
      <c r="O655" s="74">
        <f t="shared" si="366"/>
        <v>11.125</v>
      </c>
      <c r="P655" s="74">
        <f t="shared" si="367"/>
        <v>13.075500000000002</v>
      </c>
      <c r="Q655" s="74">
        <f t="shared" si="368"/>
        <v>15.026</v>
      </c>
      <c r="R655" s="114">
        <v>17</v>
      </c>
      <c r="S655" s="129"/>
      <c r="T655" s="117">
        <f>SUM((CJ20+CK19+CL18+CM17+CN16+CO15+CP14+CQ13+CR12+CS11+CS10)*0.132,(CR9+CQ9+CP9+CO9+CN8+CM8+CL8+CK8+CJ7+CI7+CH7+CG7+CF6+CE6+CD6+CC6+CB5+CA5+BZ5+BY5)*0.132/4,(BX4+BW4+BV4)*0.132/3,17)</f>
        <v>18.135538461538463</v>
      </c>
      <c r="U655" s="117"/>
      <c r="V655" s="129"/>
      <c r="W655" s="114"/>
    </row>
    <row r="656" spans="2:23">
      <c r="B656" s="114">
        <v>11</v>
      </c>
      <c r="C656" s="74">
        <f t="shared" si="327"/>
        <v>10.25</v>
      </c>
      <c r="D656" s="74">
        <f t="shared" si="328"/>
        <v>9.5</v>
      </c>
      <c r="E656" s="74">
        <f t="shared" si="329"/>
        <v>8.75</v>
      </c>
      <c r="F656" s="114">
        <v>8</v>
      </c>
      <c r="G656" s="74">
        <f t="shared" si="330"/>
        <v>7.25</v>
      </c>
      <c r="H656" s="74">
        <f t="shared" si="331"/>
        <v>6.5</v>
      </c>
      <c r="I656" s="74">
        <f t="shared" si="332"/>
        <v>5.75</v>
      </c>
      <c r="J656" s="114">
        <f t="shared" si="333"/>
        <v>5</v>
      </c>
      <c r="K656" s="74">
        <f t="shared" si="363"/>
        <v>4.4375</v>
      </c>
      <c r="L656" s="114">
        <f t="shared" si="339"/>
        <v>3.875</v>
      </c>
      <c r="M656" s="115">
        <f t="shared" si="364"/>
        <v>6.05375</v>
      </c>
      <c r="N656" s="115">
        <f t="shared" si="365"/>
        <v>8.2456250000000004</v>
      </c>
      <c r="O656" s="74">
        <f t="shared" si="366"/>
        <v>10.4375</v>
      </c>
      <c r="P656" s="74">
        <f t="shared" si="367"/>
        <v>12.616250000000001</v>
      </c>
      <c r="Q656" s="74">
        <f t="shared" si="368"/>
        <v>14.795</v>
      </c>
      <c r="R656" s="114">
        <v>17</v>
      </c>
      <c r="S656" s="129"/>
      <c r="T656" s="117">
        <f>SUM((CH20+CK18+CN16+CQ14+CT12+CU11+CV10)*0.132,(CI19+CJ19+CL17+CM17+CO15+CP15+CR13+CS13)*0.132/2,(CU9+CT9+CS9+CR9+CQ9+CP8+CO8+CN8+CM8+CL8)*0.132/5,(CK7+CJ7+CI7+CH7+CG6+CF6+CE6+CD6+CC5+CB5+CA5+BZ5+BY4+BX4+BW4+BV4)*0.132/4,17)</f>
        <v>18.516138461538461</v>
      </c>
      <c r="U656" s="117"/>
      <c r="V656" s="129"/>
      <c r="W656" s="114"/>
    </row>
    <row r="657" spans="2:23">
      <c r="B657" s="114">
        <v>12</v>
      </c>
      <c r="C657" s="74">
        <f t="shared" si="327"/>
        <v>11</v>
      </c>
      <c r="D657" s="74">
        <f t="shared" si="328"/>
        <v>10</v>
      </c>
      <c r="E657" s="74">
        <f t="shared" si="329"/>
        <v>9</v>
      </c>
      <c r="F657" s="114">
        <v>8</v>
      </c>
      <c r="G657" s="74">
        <f t="shared" si="330"/>
        <v>7</v>
      </c>
      <c r="H657" s="74">
        <f t="shared" si="331"/>
        <v>6</v>
      </c>
      <c r="I657" s="74">
        <f t="shared" si="332"/>
        <v>5</v>
      </c>
      <c r="J657" s="114">
        <f t="shared" si="333"/>
        <v>4</v>
      </c>
      <c r="K657" s="74">
        <f t="shared" si="363"/>
        <v>3.25</v>
      </c>
      <c r="L657" s="114">
        <f t="shared" si="339"/>
        <v>2.5</v>
      </c>
      <c r="M657" s="115">
        <f t="shared" si="364"/>
        <v>4.907</v>
      </c>
      <c r="N657" s="115">
        <f t="shared" si="365"/>
        <v>7.3285</v>
      </c>
      <c r="O657" s="74">
        <f t="shared" si="366"/>
        <v>9.75</v>
      </c>
      <c r="P657" s="74">
        <f t="shared" si="367"/>
        <v>12.157</v>
      </c>
      <c r="Q657" s="74">
        <f t="shared" si="368"/>
        <v>14.564</v>
      </c>
      <c r="R657" s="114">
        <v>17</v>
      </c>
      <c r="S657" s="129"/>
      <c r="T657" s="117">
        <f>SUM((CG19+CH19+CI18+CJ18+CK17+CL17+CM16+CN16+CO15+CP15+CQ14+CR14+CS13+CT13+CU12+CV12+CW11+CX11)*0.132/2,(CF20+CY10)*0.132,(CX9+CW9+CV9+CU9+CT9+CS8+CR8+CQ8+CP8+CO8+CN7+CM7+CL7+CK7+CJ7+CI6+CH6+CG6+CF6+CE6+CD5+CC5+CB5+CA5+BZ5)*0.132/5,(BY4+BX4+BW4+BV4)*0.132/4,17)</f>
        <v>18.601938461538463</v>
      </c>
      <c r="U657" s="117"/>
      <c r="V657" s="129"/>
      <c r="W657" s="114"/>
    </row>
    <row r="658" spans="2:23">
      <c r="B658" s="114">
        <v>13</v>
      </c>
      <c r="C658" s="74">
        <f t="shared" si="327"/>
        <v>11.75</v>
      </c>
      <c r="D658" s="74">
        <f t="shared" si="328"/>
        <v>10.5</v>
      </c>
      <c r="E658" s="74">
        <f t="shared" si="329"/>
        <v>9.25</v>
      </c>
      <c r="F658" s="114">
        <v>8</v>
      </c>
      <c r="G658" s="74">
        <f t="shared" si="330"/>
        <v>6.75</v>
      </c>
      <c r="H658" s="74">
        <f t="shared" si="331"/>
        <v>5.5</v>
      </c>
      <c r="I658" s="74">
        <f t="shared" si="332"/>
        <v>4.25</v>
      </c>
      <c r="J658" s="114">
        <f t="shared" si="333"/>
        <v>3</v>
      </c>
      <c r="K658" s="74">
        <f t="shared" si="363"/>
        <v>2.0625</v>
      </c>
      <c r="L658" s="114">
        <f t="shared" si="339"/>
        <v>1.125</v>
      </c>
      <c r="M658" s="115">
        <f t="shared" si="364"/>
        <v>3.7602500000000001</v>
      </c>
      <c r="N658" s="115">
        <f t="shared" si="365"/>
        <v>6.4113750000000005</v>
      </c>
      <c r="O658" s="74">
        <f t="shared" si="366"/>
        <v>9.0625</v>
      </c>
      <c r="P658" s="74">
        <f t="shared" si="367"/>
        <v>11.697750000000001</v>
      </c>
      <c r="Q658" s="74">
        <f t="shared" si="368"/>
        <v>14.333</v>
      </c>
      <c r="R658" s="114">
        <v>17</v>
      </c>
      <c r="S658" s="129"/>
      <c r="T658" s="117">
        <f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18.637138461538463</v>
      </c>
      <c r="U658" s="117"/>
      <c r="V658" s="129"/>
      <c r="W658" s="114"/>
    </row>
    <row r="659" spans="2:23">
      <c r="B659" s="114"/>
      <c r="C659" s="74"/>
      <c r="D659" s="74"/>
      <c r="E659" s="74"/>
      <c r="F659" s="114"/>
      <c r="G659" s="74"/>
      <c r="H659" s="74"/>
      <c r="I659" s="74"/>
      <c r="J659" s="114"/>
      <c r="K659" s="74"/>
      <c r="L659" s="114"/>
      <c r="M659" s="115"/>
      <c r="N659" s="115"/>
      <c r="O659" s="74"/>
      <c r="P659" s="74"/>
      <c r="Q659" s="74"/>
      <c r="R659" s="114"/>
      <c r="S659" s="129"/>
      <c r="T659" s="117"/>
      <c r="U659" s="117"/>
      <c r="V659" s="129"/>
      <c r="W659" s="114"/>
    </row>
    <row r="660" spans="2:23">
      <c r="B660" s="114">
        <v>7</v>
      </c>
      <c r="C660" s="74">
        <f t="shared" si="327"/>
        <v>7.5</v>
      </c>
      <c r="D660" s="74">
        <f t="shared" si="328"/>
        <v>8</v>
      </c>
      <c r="E660" s="74">
        <f t="shared" si="329"/>
        <v>8.5</v>
      </c>
      <c r="F660" s="114">
        <v>9</v>
      </c>
      <c r="G660" s="74">
        <f t="shared" si="330"/>
        <v>9.5</v>
      </c>
      <c r="H660" s="74">
        <f t="shared" si="331"/>
        <v>10</v>
      </c>
      <c r="I660" s="74">
        <f t="shared" si="332"/>
        <v>10.5</v>
      </c>
      <c r="J660" s="114">
        <f t="shared" si="333"/>
        <v>11</v>
      </c>
      <c r="K660" s="74">
        <f t="shared" ref="K660:K667" si="369">SUM(0.5*(L660-J660),J660)</f>
        <v>11.625</v>
      </c>
      <c r="L660" s="114">
        <f t="shared" si="339"/>
        <v>12.25</v>
      </c>
      <c r="M660" s="115">
        <f t="shared" ref="M660:M667" si="370">SUM(0.166*(R660-L660),L660)</f>
        <v>13.038500000000001</v>
      </c>
      <c r="N660" s="115">
        <f t="shared" ref="N660:N667" si="371">SUM(0.333*(R660-L660),L660)</f>
        <v>13.83175</v>
      </c>
      <c r="O660" s="74">
        <f t="shared" ref="O660:O667" si="372">SUM(0.5*(R660-L660),L660)</f>
        <v>14.625</v>
      </c>
      <c r="P660" s="74">
        <f t="shared" ref="P660:P667" si="373">SUM(0.666*(R660-L660),L660)</f>
        <v>15.413499999999999</v>
      </c>
      <c r="Q660" s="74">
        <f t="shared" ref="Q660:Q667" si="374">SUM(0.832*(R660-L660),L660)</f>
        <v>16.201999999999998</v>
      </c>
      <c r="R660" s="114">
        <v>17</v>
      </c>
      <c r="S660" s="129"/>
      <c r="T660" s="117">
        <f>SUM((CP20+CO19+CN18+CM17+CL16+CK15+CJ14+CI13+CH12+CG11)*0.132,(CF10+CE10)*0.132/2,(CD9+CC9+CB8+CA8+BZ7+BY7)*0.132/2,(BX6+BW5+BV4)*0.132,17)</f>
        <v>19.235538461538461</v>
      </c>
      <c r="U660" s="117"/>
      <c r="V660" s="129"/>
      <c r="W660" s="114"/>
    </row>
    <row r="661" spans="2:23">
      <c r="B661" s="114">
        <v>8</v>
      </c>
      <c r="C661" s="74">
        <f t="shared" si="327"/>
        <v>8.25</v>
      </c>
      <c r="D661" s="74">
        <f t="shared" si="328"/>
        <v>8.5</v>
      </c>
      <c r="E661" s="74">
        <f t="shared" si="329"/>
        <v>8.75</v>
      </c>
      <c r="F661" s="114">
        <v>9</v>
      </c>
      <c r="G661" s="74">
        <f t="shared" si="330"/>
        <v>9.25</v>
      </c>
      <c r="H661" s="74">
        <f t="shared" si="331"/>
        <v>9.5</v>
      </c>
      <c r="I661" s="74">
        <f t="shared" si="332"/>
        <v>9.75</v>
      </c>
      <c r="J661" s="114">
        <f t="shared" si="333"/>
        <v>10</v>
      </c>
      <c r="K661" s="74">
        <f t="shared" si="369"/>
        <v>10.3125</v>
      </c>
      <c r="L661" s="114">
        <f t="shared" si="339"/>
        <v>10.625</v>
      </c>
      <c r="M661" s="115">
        <f t="shared" si="370"/>
        <v>11.683250000000001</v>
      </c>
      <c r="N661" s="115">
        <f t="shared" si="371"/>
        <v>12.747875000000001</v>
      </c>
      <c r="O661" s="74">
        <f t="shared" si="372"/>
        <v>13.8125</v>
      </c>
      <c r="P661" s="74">
        <f t="shared" si="373"/>
        <v>14.870750000000001</v>
      </c>
      <c r="Q661" s="74">
        <f t="shared" si="374"/>
        <v>15.928999999999998</v>
      </c>
      <c r="R661" s="114">
        <v>17</v>
      </c>
      <c r="S661" s="129"/>
      <c r="T661" s="117">
        <f>SUM((CN20+CM19+CM18+CL17+CL16+CK15+CK14+CJ13+CJ12+CI11+CH10)*0.132,(CG9+CF9+CE8+CD8+CC7+CB7+CA6+BZ6+BY5+BX5+BW4+BV4)*0.132/2,17)</f>
        <v>19.03753846153846</v>
      </c>
      <c r="U661" s="117"/>
      <c r="V661" s="129"/>
      <c r="W661" s="114"/>
    </row>
    <row r="662" spans="2:23">
      <c r="B662" s="114">
        <v>9</v>
      </c>
      <c r="C662" s="74">
        <f t="shared" si="327"/>
        <v>9</v>
      </c>
      <c r="D662" s="74">
        <f t="shared" si="328"/>
        <v>9</v>
      </c>
      <c r="E662" s="74">
        <f t="shared" si="329"/>
        <v>9</v>
      </c>
      <c r="F662" s="114">
        <v>9</v>
      </c>
      <c r="G662" s="74">
        <f t="shared" si="330"/>
        <v>9</v>
      </c>
      <c r="H662" s="74">
        <f t="shared" si="331"/>
        <v>9</v>
      </c>
      <c r="I662" s="74">
        <f t="shared" si="332"/>
        <v>9</v>
      </c>
      <c r="J662" s="114">
        <f t="shared" si="333"/>
        <v>9</v>
      </c>
      <c r="K662" s="74">
        <f t="shared" si="369"/>
        <v>9.4</v>
      </c>
      <c r="L662" s="114">
        <f>SUM(J662,J662,-H662,0.25*ABS(J662-H662),0.1*(17-F662))</f>
        <v>9.8000000000000007</v>
      </c>
      <c r="M662" s="115">
        <f t="shared" si="370"/>
        <v>10.995200000000001</v>
      </c>
      <c r="N662" s="115">
        <f t="shared" si="371"/>
        <v>12.197600000000001</v>
      </c>
      <c r="O662" s="74">
        <f t="shared" si="372"/>
        <v>13.4</v>
      </c>
      <c r="P662" s="74">
        <f t="shared" si="373"/>
        <v>14.5952</v>
      </c>
      <c r="Q662" s="74">
        <f t="shared" si="374"/>
        <v>15.7904</v>
      </c>
      <c r="R662" s="114">
        <v>17</v>
      </c>
      <c r="S662" s="129"/>
      <c r="T662" s="117">
        <f>SUM((CL20+CL19+CL18+CL17+CL16+CL15+CL14+CL13+CL12+CK11+CJ10)*0.132,(CI9+CH9+CG9+CF8+CE8+CD8)*0.132/3,(CC7+CB7+CA6+BZ6+BY5+BX5+BW4+BV4)*0.132/2,17)</f>
        <v>18.927538461538461</v>
      </c>
      <c r="U662" s="117"/>
      <c r="V662" s="129"/>
      <c r="W662" s="114"/>
    </row>
    <row r="663" spans="2:23">
      <c r="B663" s="114">
        <v>10</v>
      </c>
      <c r="C663" s="74">
        <f t="shared" si="327"/>
        <v>9.75</v>
      </c>
      <c r="D663" s="74">
        <f t="shared" si="328"/>
        <v>9.5</v>
      </c>
      <c r="E663" s="74">
        <f t="shared" si="329"/>
        <v>9.25</v>
      </c>
      <c r="F663" s="114">
        <v>9</v>
      </c>
      <c r="G663" s="74">
        <f t="shared" si="330"/>
        <v>8.75</v>
      </c>
      <c r="H663" s="74">
        <f t="shared" si="331"/>
        <v>8.5</v>
      </c>
      <c r="I663" s="74">
        <f t="shared" si="332"/>
        <v>8.25</v>
      </c>
      <c r="J663" s="114">
        <f t="shared" si="333"/>
        <v>8</v>
      </c>
      <c r="K663" s="74">
        <f t="shared" si="369"/>
        <v>7.8125</v>
      </c>
      <c r="L663" s="114">
        <f t="shared" si="339"/>
        <v>7.625</v>
      </c>
      <c r="M663" s="115">
        <f t="shared" si="370"/>
        <v>9.1812500000000004</v>
      </c>
      <c r="N663" s="115">
        <f t="shared" si="371"/>
        <v>10.746874999999999</v>
      </c>
      <c r="O663" s="74">
        <f t="shared" si="372"/>
        <v>12.3125</v>
      </c>
      <c r="P663" s="74">
        <f t="shared" si="373"/>
        <v>13.86875</v>
      </c>
      <c r="Q663" s="74">
        <f t="shared" si="374"/>
        <v>15.425000000000001</v>
      </c>
      <c r="R663" s="114">
        <v>17</v>
      </c>
      <c r="S663" s="129"/>
      <c r="T663" s="117">
        <f>SUM((CJ20+CK19+CK18+CL17+CL16+CM15+CM14+CN13+CN12+CO11+CO10)*0.132,(CN9+CM9+CL9+CK9)*0.132/4,(CJ8+CI8+CH8+CG7+CF7+CE7+CD6+CC6+CB6+CA5+BZ5+BY5+BX4+BW4+BV4)*0.132/3,17)</f>
        <v>18.78453846153846</v>
      </c>
      <c r="U663" s="117"/>
      <c r="V663" s="129"/>
      <c r="W663" s="114"/>
    </row>
    <row r="664" spans="2:23">
      <c r="B664" s="114">
        <v>11</v>
      </c>
      <c r="C664" s="74">
        <f t="shared" si="327"/>
        <v>10.5</v>
      </c>
      <c r="D664" s="74">
        <f t="shared" si="328"/>
        <v>10</v>
      </c>
      <c r="E664" s="74">
        <f t="shared" si="329"/>
        <v>9.5</v>
      </c>
      <c r="F664" s="114">
        <v>9</v>
      </c>
      <c r="G664" s="74">
        <f t="shared" si="330"/>
        <v>8.5</v>
      </c>
      <c r="H664" s="74">
        <f t="shared" si="331"/>
        <v>8</v>
      </c>
      <c r="I664" s="74">
        <f t="shared" si="332"/>
        <v>7.5</v>
      </c>
      <c r="J664" s="114">
        <f t="shared" si="333"/>
        <v>7</v>
      </c>
      <c r="K664" s="74">
        <f t="shared" si="369"/>
        <v>6.625</v>
      </c>
      <c r="L664" s="114">
        <f t="shared" si="339"/>
        <v>6.25</v>
      </c>
      <c r="M664" s="115">
        <f t="shared" si="370"/>
        <v>8.0344999999999995</v>
      </c>
      <c r="N664" s="115">
        <f t="shared" si="371"/>
        <v>9.8297500000000007</v>
      </c>
      <c r="O664" s="74">
        <f t="shared" si="372"/>
        <v>11.625</v>
      </c>
      <c r="P664" s="74">
        <f t="shared" si="373"/>
        <v>13.409500000000001</v>
      </c>
      <c r="Q664" s="74">
        <f t="shared" si="374"/>
        <v>15.193999999999999</v>
      </c>
      <c r="R664" s="114">
        <v>17</v>
      </c>
      <c r="S664" s="129"/>
      <c r="T664" s="117">
        <f>SUM((CH20+CI19+CJ18+CK17+CL16+CM15+CN14+CO13+CP12+CQ11+CQ10)*0.132,(CP9+CO9+CN9+CM9+CL8+CK8+CJ8+CI8+CH7+CG7+CF7+CE7)*0.132/4,(CD6+CC6+CB6+CA5+BZ5+BY5+BX4+BW4+BV4)*0.132/3,17)</f>
        <v>19.279538461538461</v>
      </c>
      <c r="U664" s="117"/>
      <c r="V664" s="129"/>
      <c r="W664" s="114"/>
    </row>
    <row r="665" spans="2:23">
      <c r="B665" s="114">
        <v>12</v>
      </c>
      <c r="C665" s="74">
        <f t="shared" si="327"/>
        <v>11.25</v>
      </c>
      <c r="D665" s="74">
        <f t="shared" si="328"/>
        <v>10.5</v>
      </c>
      <c r="E665" s="74">
        <f t="shared" si="329"/>
        <v>9.75</v>
      </c>
      <c r="F665" s="114">
        <v>9</v>
      </c>
      <c r="G665" s="74">
        <f t="shared" si="330"/>
        <v>8.25</v>
      </c>
      <c r="H665" s="74">
        <f t="shared" si="331"/>
        <v>7.5</v>
      </c>
      <c r="I665" s="74">
        <f t="shared" si="332"/>
        <v>6.75</v>
      </c>
      <c r="J665" s="114">
        <f t="shared" si="333"/>
        <v>6</v>
      </c>
      <c r="K665" s="74">
        <f t="shared" si="369"/>
        <v>5.4375</v>
      </c>
      <c r="L665" s="114">
        <f t="shared" si="339"/>
        <v>4.875</v>
      </c>
      <c r="M665" s="115">
        <f t="shared" si="370"/>
        <v>6.8877500000000005</v>
      </c>
      <c r="N665" s="115">
        <f t="shared" si="371"/>
        <v>8.9126250000000002</v>
      </c>
      <c r="O665" s="74">
        <f t="shared" si="372"/>
        <v>10.9375</v>
      </c>
      <c r="P665" s="74">
        <f t="shared" si="373"/>
        <v>12.95025</v>
      </c>
      <c r="Q665" s="74">
        <f t="shared" si="374"/>
        <v>14.962999999999999</v>
      </c>
      <c r="R665" s="114">
        <v>17</v>
      </c>
      <c r="S665" s="129"/>
      <c r="T665" s="117">
        <f>SUM((CF20+CI18+CL16+CO14+CR12+CS11+CT10)*0.132,(CG19+CH19+CJ17+CK17+CM15+CN15+CP13+CQ13)*0.132/2,(CS9+CR9+CQ9+CP9+CO8+CN8+CM8+CL8+CK7+CJ7+CI7+CH7+CG6+CF6+CE6+CD6+CC5+CB5+CA5+BZ5+BY4+BX4+BW4+BV4)*0.132/4,17)</f>
        <v>18.773538461538461</v>
      </c>
      <c r="U665" s="117"/>
      <c r="V665" s="129"/>
      <c r="W665" s="114"/>
    </row>
    <row r="666" spans="2:23">
      <c r="B666" s="114">
        <v>13</v>
      </c>
      <c r="C666" s="74">
        <f t="shared" si="327"/>
        <v>12</v>
      </c>
      <c r="D666" s="74">
        <f t="shared" si="328"/>
        <v>11</v>
      </c>
      <c r="E666" s="74">
        <f t="shared" si="329"/>
        <v>10</v>
      </c>
      <c r="F666" s="114">
        <v>9</v>
      </c>
      <c r="G666" s="74">
        <f t="shared" si="330"/>
        <v>8</v>
      </c>
      <c r="H666" s="74">
        <f t="shared" si="331"/>
        <v>7</v>
      </c>
      <c r="I666" s="74">
        <f t="shared" si="332"/>
        <v>6</v>
      </c>
      <c r="J666" s="114">
        <f t="shared" si="333"/>
        <v>5</v>
      </c>
      <c r="K666" s="74">
        <f t="shared" si="369"/>
        <v>4.25</v>
      </c>
      <c r="L666" s="114">
        <f t="shared" si="339"/>
        <v>3.5</v>
      </c>
      <c r="M666" s="115">
        <f t="shared" si="370"/>
        <v>5.7409999999999997</v>
      </c>
      <c r="N666" s="115">
        <f t="shared" si="371"/>
        <v>7.9954999999999998</v>
      </c>
      <c r="O666" s="74">
        <f t="shared" si="372"/>
        <v>10.25</v>
      </c>
      <c r="P666" s="74">
        <f t="shared" si="373"/>
        <v>12.491</v>
      </c>
      <c r="Q666" s="74">
        <f t="shared" si="374"/>
        <v>14.731999999999999</v>
      </c>
      <c r="R666" s="114">
        <v>17</v>
      </c>
      <c r="S666" s="129"/>
      <c r="T666" s="117">
        <f>SUM((CE19+CF19+CG18+CH18+CI17+CJ17+CK16+CL16+CM15+CN15+CO14+CP14+CQ13+CR13+CS12+CT12+CU11+CV11)*0.132/2,(CD20+CW10)*0.132,(CV9+CU9+CT9+CS9+CR9+CQ8+CP8+CO8+CN8+CM8+CL7+CK7+CJ7+CI7+CH70+CH7)*0.132/5,(CG6+CF6+CE6+CD6+CC5+CB5+CA5+BZ5+BY4+BX4+BW4+BV4)*0.132/4,17)</f>
        <v>18.885738461538462</v>
      </c>
      <c r="U666" s="117"/>
      <c r="V666" s="129"/>
      <c r="W666" s="114"/>
    </row>
    <row r="667" spans="2:23">
      <c r="B667" s="114">
        <v>14</v>
      </c>
      <c r="C667" s="74">
        <f t="shared" si="327"/>
        <v>12.75</v>
      </c>
      <c r="D667" s="74">
        <f t="shared" si="328"/>
        <v>11.5</v>
      </c>
      <c r="E667" s="74">
        <f t="shared" si="329"/>
        <v>10.25</v>
      </c>
      <c r="F667" s="114">
        <v>9</v>
      </c>
      <c r="G667" s="74">
        <f t="shared" si="330"/>
        <v>7.75</v>
      </c>
      <c r="H667" s="74">
        <f t="shared" si="331"/>
        <v>6.5</v>
      </c>
      <c r="I667" s="74">
        <f t="shared" si="332"/>
        <v>5.25</v>
      </c>
      <c r="J667" s="114">
        <f t="shared" si="333"/>
        <v>4</v>
      </c>
      <c r="K667" s="74">
        <f t="shared" si="369"/>
        <v>3.0625</v>
      </c>
      <c r="L667" s="114">
        <f t="shared" si="339"/>
        <v>2.125</v>
      </c>
      <c r="M667" s="115">
        <f t="shared" si="370"/>
        <v>4.5942500000000006</v>
      </c>
      <c r="N667" s="115">
        <f t="shared" si="371"/>
        <v>7.0783750000000003</v>
      </c>
      <c r="O667" s="74">
        <f t="shared" si="372"/>
        <v>9.5625</v>
      </c>
      <c r="P667" s="74">
        <f t="shared" si="373"/>
        <v>12.031750000000001</v>
      </c>
      <c r="Q667" s="74">
        <f t="shared" si="374"/>
        <v>14.500999999999999</v>
      </c>
      <c r="R667" s="114">
        <v>17</v>
      </c>
      <c r="S667" s="129"/>
      <c r="T667" s="117">
        <f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18.61073846153846</v>
      </c>
      <c r="U667" s="117"/>
      <c r="V667" s="129"/>
      <c r="W667" s="114"/>
    </row>
    <row r="668" spans="2:23">
      <c r="B668" s="114"/>
      <c r="C668" s="74"/>
      <c r="D668" s="74"/>
      <c r="E668" s="74"/>
      <c r="F668" s="114"/>
      <c r="G668" s="74"/>
      <c r="H668" s="74"/>
      <c r="I668" s="74"/>
      <c r="J668" s="114"/>
      <c r="K668" s="74"/>
      <c r="L668" s="114"/>
      <c r="M668" s="115"/>
      <c r="N668" s="115"/>
      <c r="O668" s="74"/>
      <c r="P668" s="74"/>
      <c r="Q668" s="74"/>
      <c r="R668" s="114"/>
      <c r="S668" s="129"/>
      <c r="T668" s="117"/>
      <c r="U668" s="117"/>
      <c r="V668" s="129"/>
      <c r="W668" s="114"/>
    </row>
    <row r="669" spans="2:23">
      <c r="B669" s="114">
        <v>8</v>
      </c>
      <c r="C669" s="74">
        <f>SUM(0.25*(F669-B669),B669)</f>
        <v>8.5</v>
      </c>
      <c r="D669" s="74">
        <f>SUM(0.5*(F669-B669)+B669)</f>
        <v>9</v>
      </c>
      <c r="E669" s="74">
        <f>SUM(0.75*(F669-B669),B669)</f>
        <v>9.5</v>
      </c>
      <c r="F669" s="114">
        <v>10</v>
      </c>
      <c r="G669" s="74">
        <f>SUM(0.25*(J669-F669),F669)</f>
        <v>10.5</v>
      </c>
      <c r="H669" s="74">
        <f>SUM(0.5*(J669-F669),F669)</f>
        <v>11</v>
      </c>
      <c r="I669" s="74">
        <f>SUM(0.75*(J669-F669),F669)</f>
        <v>11.5</v>
      </c>
      <c r="J669" s="114">
        <f>SUM(F669,-B669,F669)</f>
        <v>12</v>
      </c>
      <c r="K669" s="74">
        <f t="shared" ref="K669:K688" si="375">SUM(0.5*(L669-J669),J669)</f>
        <v>12.625</v>
      </c>
      <c r="L669" s="114">
        <f t="shared" si="339"/>
        <v>13.25</v>
      </c>
      <c r="M669" s="115">
        <f t="shared" ref="M669:M677" si="376">SUM(0.166*(R669-L669),L669)</f>
        <v>13.8725</v>
      </c>
      <c r="N669" s="115">
        <f t="shared" ref="N669:N677" si="377">SUM(0.333*(R669-L669),L669)</f>
        <v>14.498749999999999</v>
      </c>
      <c r="O669" s="74">
        <f t="shared" ref="O669:O677" si="378">SUM(0.5*(R669-L669),L669)</f>
        <v>15.125</v>
      </c>
      <c r="P669" s="74">
        <f t="shared" ref="P669:P677" si="379">SUM(0.666*(R669-L669),L669)</f>
        <v>15.7475</v>
      </c>
      <c r="Q669" s="74">
        <f t="shared" ref="Q669:Q677" si="380">SUM(0.832*(R669-L669),L669)</f>
        <v>16.37</v>
      </c>
      <c r="R669" s="114">
        <v>17</v>
      </c>
      <c r="S669" s="129"/>
      <c r="T669" s="117">
        <f>SUM((CN20+CM19+CL18+CK17+CJ16+CI15+CH14+CG13+CF12+CE11)*0.132,(CD10+CC10+CB9+CA9)*0.132/2,(BZ8+BY7+BX6+BW5+BV4)*0.132,17)</f>
        <v>19.103538461538463</v>
      </c>
      <c r="U669" s="117"/>
      <c r="V669" s="129"/>
      <c r="W669" s="114"/>
    </row>
    <row r="670" spans="2:23">
      <c r="B670" s="114">
        <v>9</v>
      </c>
      <c r="C670" s="74">
        <f t="shared" ref="C670:C734" si="381">SUM(0.25*(F670-B670),B670)</f>
        <v>9.25</v>
      </c>
      <c r="D670" s="74">
        <f t="shared" ref="D670:D734" si="382">SUM(0.5*(F670-B670)+B670)</f>
        <v>9.5</v>
      </c>
      <c r="E670" s="74">
        <f t="shared" ref="E670:E734" si="383">SUM(0.75*(F670-B670),B670)</f>
        <v>9.75</v>
      </c>
      <c r="F670" s="114">
        <v>10</v>
      </c>
      <c r="G670" s="74">
        <f t="shared" ref="G670:G734" si="384">SUM(0.25*(J670-F670),F670)</f>
        <v>10.25</v>
      </c>
      <c r="H670" s="74">
        <f t="shared" ref="H670:H734" si="385">SUM(0.5*(J670-F670),F670)</f>
        <v>10.5</v>
      </c>
      <c r="I670" s="74">
        <f t="shared" ref="I670:I734" si="386">SUM(0.75*(J670-F670),F670)</f>
        <v>10.75</v>
      </c>
      <c r="J670" s="114">
        <f t="shared" ref="J670:J734" si="387">SUM(F670,-B670,F670)</f>
        <v>11</v>
      </c>
      <c r="K670" s="74">
        <f t="shared" si="375"/>
        <v>11.3125</v>
      </c>
      <c r="L670" s="114">
        <f t="shared" si="339"/>
        <v>11.625</v>
      </c>
      <c r="M670" s="115">
        <f t="shared" si="376"/>
        <v>12.517250000000001</v>
      </c>
      <c r="N670" s="115">
        <f t="shared" si="377"/>
        <v>13.414875</v>
      </c>
      <c r="O670" s="74">
        <f t="shared" si="378"/>
        <v>14.3125</v>
      </c>
      <c r="P670" s="74">
        <f t="shared" si="379"/>
        <v>15.204750000000001</v>
      </c>
      <c r="Q670" s="74">
        <f t="shared" si="380"/>
        <v>16.097000000000001</v>
      </c>
      <c r="R670" s="114">
        <v>17</v>
      </c>
      <c r="S670" s="129"/>
      <c r="T670" s="117">
        <f>SUM((CL20+CK19+CK18+CJ17+CJ16+CI15+CI14+CH13+CH12+CG11+CG10+BV4)*0.132,(CF9+CE9+CD8+CC8+CB7+CA7+BZ6+BY6+BX5+BW5)*0.132/2,17)</f>
        <v>19.565538461538463</v>
      </c>
      <c r="U670" s="117"/>
      <c r="V670" s="129"/>
      <c r="W670" s="114"/>
    </row>
    <row r="671" spans="2:23">
      <c r="B671" s="114">
        <v>10</v>
      </c>
      <c r="C671" s="74">
        <f t="shared" si="381"/>
        <v>10</v>
      </c>
      <c r="D671" s="74">
        <f t="shared" si="382"/>
        <v>10</v>
      </c>
      <c r="E671" s="74">
        <f t="shared" si="383"/>
        <v>10</v>
      </c>
      <c r="F671" s="114">
        <v>10</v>
      </c>
      <c r="G671" s="74">
        <f t="shared" si="384"/>
        <v>10</v>
      </c>
      <c r="H671" s="74">
        <f t="shared" si="385"/>
        <v>10</v>
      </c>
      <c r="I671" s="74">
        <f t="shared" si="386"/>
        <v>10</v>
      </c>
      <c r="J671" s="114">
        <f t="shared" si="387"/>
        <v>10</v>
      </c>
      <c r="K671" s="74">
        <f t="shared" si="375"/>
        <v>10.35</v>
      </c>
      <c r="L671" s="114">
        <f>SUM(J671,J671,-H671,0.25*ABS(J671-H671),0.1*(17-F671))</f>
        <v>10.7</v>
      </c>
      <c r="M671" s="115">
        <f t="shared" si="376"/>
        <v>11.745799999999999</v>
      </c>
      <c r="N671" s="115">
        <f t="shared" si="377"/>
        <v>12.7979</v>
      </c>
      <c r="O671" s="74">
        <f t="shared" si="378"/>
        <v>13.85</v>
      </c>
      <c r="P671" s="74">
        <f t="shared" si="379"/>
        <v>14.895800000000001</v>
      </c>
      <c r="Q671" s="74">
        <f t="shared" si="380"/>
        <v>15.941599999999999</v>
      </c>
      <c r="R671" s="114">
        <v>17</v>
      </c>
      <c r="S671" s="129"/>
      <c r="T671" s="117">
        <f>SUM((CJ20+CJ19+CJ18+CJ17+CJ16+CJ15+CJ14+CJ13+CJ12+CI11+CI10)*0.132,(CH9+CG9+CF9)*0.132/3,(CE8+CD8+CC7+CB7+CA6+BZ6+BY5+BX5+BW4+BV4)*0.132/2,17)</f>
        <v>20.335538461538462</v>
      </c>
      <c r="U671" s="117"/>
      <c r="V671" s="129"/>
      <c r="W671" s="114"/>
    </row>
    <row r="672" spans="2:23">
      <c r="B672" s="114">
        <v>11</v>
      </c>
      <c r="C672" s="74">
        <f t="shared" si="381"/>
        <v>10.75</v>
      </c>
      <c r="D672" s="74">
        <f t="shared" si="382"/>
        <v>10.5</v>
      </c>
      <c r="E672" s="74">
        <f t="shared" si="383"/>
        <v>10.25</v>
      </c>
      <c r="F672" s="114">
        <v>10</v>
      </c>
      <c r="G672" s="74">
        <f t="shared" si="384"/>
        <v>9.75</v>
      </c>
      <c r="H672" s="74">
        <f t="shared" si="385"/>
        <v>9.5</v>
      </c>
      <c r="I672" s="74">
        <f t="shared" si="386"/>
        <v>9.25</v>
      </c>
      <c r="J672" s="114">
        <f t="shared" si="387"/>
        <v>9</v>
      </c>
      <c r="K672" s="74">
        <f t="shared" si="375"/>
        <v>8.8125</v>
      </c>
      <c r="L672" s="114">
        <f t="shared" si="339"/>
        <v>8.625</v>
      </c>
      <c r="M672" s="115">
        <f t="shared" si="376"/>
        <v>10.01525</v>
      </c>
      <c r="N672" s="115">
        <f t="shared" si="377"/>
        <v>11.413875000000001</v>
      </c>
      <c r="O672" s="74">
        <f t="shared" si="378"/>
        <v>12.8125</v>
      </c>
      <c r="P672" s="74">
        <f t="shared" si="379"/>
        <v>14.20275</v>
      </c>
      <c r="Q672" s="74">
        <f t="shared" si="380"/>
        <v>15.593</v>
      </c>
      <c r="R672" s="114">
        <v>17</v>
      </c>
      <c r="S672" s="129"/>
      <c r="T672" s="117">
        <f>SUM((CH20+CI19+CI18+CJ17+CJ16+CK15+CK14+CL13+CL12+CM11+CM10)*0.132,(CL9+CK9+CJ9+CI8+CH8+CG8+CF7+CE7+CD7+CC6+CB6+CA6+BZ5+BY5+BX5)*0.132/3,(BW4+BV4)*0.132/2,17)</f>
        <v>19.477538461538462</v>
      </c>
      <c r="U672" s="117"/>
      <c r="V672" s="129"/>
      <c r="W672" s="114"/>
    </row>
    <row r="673" spans="2:23">
      <c r="B673" s="114">
        <v>12</v>
      </c>
      <c r="C673" s="74">
        <f t="shared" si="381"/>
        <v>11.5</v>
      </c>
      <c r="D673" s="74">
        <f t="shared" si="382"/>
        <v>11</v>
      </c>
      <c r="E673" s="74">
        <f t="shared" si="383"/>
        <v>10.5</v>
      </c>
      <c r="F673" s="114">
        <v>10</v>
      </c>
      <c r="G673" s="74">
        <f t="shared" si="384"/>
        <v>9.5</v>
      </c>
      <c r="H673" s="74">
        <f t="shared" si="385"/>
        <v>9</v>
      </c>
      <c r="I673" s="74">
        <f t="shared" si="386"/>
        <v>8.5</v>
      </c>
      <c r="J673" s="114">
        <f t="shared" si="387"/>
        <v>8</v>
      </c>
      <c r="K673" s="74">
        <f t="shared" si="375"/>
        <v>7.625</v>
      </c>
      <c r="L673" s="114">
        <f t="shared" si="339"/>
        <v>7.25</v>
      </c>
      <c r="M673" s="115">
        <f t="shared" si="376"/>
        <v>8.8685000000000009</v>
      </c>
      <c r="N673" s="115">
        <f t="shared" si="377"/>
        <v>10.49675</v>
      </c>
      <c r="O673" s="74">
        <f t="shared" si="378"/>
        <v>12.125</v>
      </c>
      <c r="P673" s="74">
        <f t="shared" si="379"/>
        <v>13.743500000000001</v>
      </c>
      <c r="Q673" s="74">
        <f t="shared" si="380"/>
        <v>15.362</v>
      </c>
      <c r="R673" s="114">
        <v>17</v>
      </c>
      <c r="S673" s="129"/>
      <c r="T673" s="117">
        <f>SUM((CF20+CG19+CH18+CI17+CJ16+CK15+CL14+CM13+CN12+CO11+CO10)*0.132,(CN9+CM9+CL9+CK9)*0.132/4,(CJ8+CI8+CH8+CG7+CF7+CE7+CD6+CC6+CB6+CA5+BZ5+BY5+BX4+BW4+BV4)*0.132/3,17)</f>
        <v>19.44453846153846</v>
      </c>
      <c r="U673" s="117"/>
      <c r="V673" s="129"/>
      <c r="W673" s="114"/>
    </row>
    <row r="674" spans="2:23">
      <c r="B674" s="114">
        <v>13</v>
      </c>
      <c r="C674" s="74">
        <f t="shared" si="381"/>
        <v>12.25</v>
      </c>
      <c r="D674" s="74">
        <f t="shared" si="382"/>
        <v>11.5</v>
      </c>
      <c r="E674" s="74">
        <f t="shared" si="383"/>
        <v>10.75</v>
      </c>
      <c r="F674" s="114">
        <v>10</v>
      </c>
      <c r="G674" s="74">
        <f t="shared" si="384"/>
        <v>9.25</v>
      </c>
      <c r="H674" s="74">
        <f t="shared" si="385"/>
        <v>8.5</v>
      </c>
      <c r="I674" s="74">
        <f t="shared" si="386"/>
        <v>7.75</v>
      </c>
      <c r="J674" s="114">
        <f t="shared" si="387"/>
        <v>7</v>
      </c>
      <c r="K674" s="74">
        <f t="shared" si="375"/>
        <v>6.4375</v>
      </c>
      <c r="L674" s="114">
        <f t="shared" si="339"/>
        <v>5.875</v>
      </c>
      <c r="M674" s="115">
        <f t="shared" si="376"/>
        <v>7.7217500000000001</v>
      </c>
      <c r="N674" s="115">
        <f t="shared" si="377"/>
        <v>9.5796250000000001</v>
      </c>
      <c r="O674" s="74">
        <f t="shared" si="378"/>
        <v>11.4375</v>
      </c>
      <c r="P674" s="74">
        <f t="shared" si="379"/>
        <v>13.28425</v>
      </c>
      <c r="Q674" s="74">
        <f t="shared" si="380"/>
        <v>15.131</v>
      </c>
      <c r="R674" s="114">
        <v>17</v>
      </c>
      <c r="S674" s="129"/>
      <c r="T674" s="117">
        <f>SUM((CD20+CG18+CJ16+CM14+CP12+CQ11+CR10)*0.132,(CE19+CF19+CH17+CI17+CK15+CL15+CN13+CO13)*0.132/2,(CQ9+CP9+CO9+CN9+CM8+CL8+CK8+CJ8+CI7+CH7+CG7+CF7+CE6+CD6+CC6+CB6)*0.132/4,(CA5+BZ5+BY5+BX4+BW4+BV4)*0.132/3,17)</f>
        <v>19.378538461538461</v>
      </c>
      <c r="U674" s="117"/>
      <c r="V674" s="129"/>
      <c r="W674" s="114"/>
    </row>
    <row r="675" spans="2:23">
      <c r="B675" s="114">
        <v>14</v>
      </c>
      <c r="C675" s="74">
        <f t="shared" si="381"/>
        <v>13</v>
      </c>
      <c r="D675" s="74">
        <f t="shared" si="382"/>
        <v>12</v>
      </c>
      <c r="E675" s="74">
        <f t="shared" si="383"/>
        <v>11</v>
      </c>
      <c r="F675" s="114">
        <v>10</v>
      </c>
      <c r="G675" s="74">
        <f t="shared" si="384"/>
        <v>9</v>
      </c>
      <c r="H675" s="74">
        <f t="shared" si="385"/>
        <v>8</v>
      </c>
      <c r="I675" s="74">
        <f t="shared" si="386"/>
        <v>7</v>
      </c>
      <c r="J675" s="114">
        <f t="shared" si="387"/>
        <v>6</v>
      </c>
      <c r="K675" s="74">
        <f t="shared" si="375"/>
        <v>5.25</v>
      </c>
      <c r="L675" s="114">
        <f t="shared" si="339"/>
        <v>4.5</v>
      </c>
      <c r="M675" s="115">
        <f t="shared" si="376"/>
        <v>6.5750000000000002</v>
      </c>
      <c r="N675" s="115">
        <f t="shared" si="377"/>
        <v>8.6625000000000014</v>
      </c>
      <c r="O675" s="74">
        <f t="shared" si="378"/>
        <v>10.75</v>
      </c>
      <c r="P675" s="74">
        <f t="shared" si="379"/>
        <v>12.825000000000001</v>
      </c>
      <c r="Q675" s="74">
        <f t="shared" si="380"/>
        <v>14.9</v>
      </c>
      <c r="R675" s="114">
        <v>17</v>
      </c>
      <c r="S675" s="129"/>
      <c r="T675" s="117">
        <f>SUM((CC19+CD19+CE18+CF18+CG17+CH17+CI16+CJ16+CK15+CL15+CM14+CN14+CO13+CP13+CQ12+CR12+CS11+CT11)*0.132/2,(CB20+CU10)*0.132,(CT9+CS9+CR9+CQ9+CP9)*0.132/5,(CO8+CN8+CM8+CL8+CK7+CJ7+CI7+CH7+CG6+CF6+CE6+CD6+CC5+CB5+CA5+BZ5+BY4+BX4+BW4+BV4)*0.132/4,17)</f>
        <v>18.885738461538462</v>
      </c>
      <c r="U675" s="117"/>
      <c r="V675" s="129"/>
      <c r="W675" s="114"/>
    </row>
    <row r="676" spans="2:23">
      <c r="B676" s="114">
        <v>15</v>
      </c>
      <c r="C676" s="74">
        <f t="shared" si="381"/>
        <v>13.75</v>
      </c>
      <c r="D676" s="74">
        <f t="shared" si="382"/>
        <v>12.5</v>
      </c>
      <c r="E676" s="74">
        <f t="shared" si="383"/>
        <v>11.25</v>
      </c>
      <c r="F676" s="114">
        <v>10</v>
      </c>
      <c r="G676" s="74">
        <f t="shared" si="384"/>
        <v>8.75</v>
      </c>
      <c r="H676" s="74">
        <f t="shared" si="385"/>
        <v>7.5</v>
      </c>
      <c r="I676" s="74">
        <f t="shared" si="386"/>
        <v>6.25</v>
      </c>
      <c r="J676" s="114">
        <f t="shared" si="387"/>
        <v>5</v>
      </c>
      <c r="K676" s="74">
        <f t="shared" si="375"/>
        <v>4.0625</v>
      </c>
      <c r="L676" s="114">
        <f t="shared" si="339"/>
        <v>3.125</v>
      </c>
      <c r="M676" s="115">
        <f t="shared" si="376"/>
        <v>5.4282500000000002</v>
      </c>
      <c r="N676" s="115">
        <f t="shared" si="377"/>
        <v>7.7453750000000001</v>
      </c>
      <c r="O676" s="74">
        <f t="shared" si="378"/>
        <v>10.0625</v>
      </c>
      <c r="P676" s="74">
        <f t="shared" si="379"/>
        <v>12.36575</v>
      </c>
      <c r="Q676" s="74">
        <f t="shared" si="380"/>
        <v>14.668999999999999</v>
      </c>
      <c r="R676" s="114">
        <v>17</v>
      </c>
      <c r="S676" s="129"/>
      <c r="T676" s="117">
        <f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18.907738461538461</v>
      </c>
      <c r="U676" s="117"/>
      <c r="V676" s="129"/>
      <c r="W676" s="114"/>
    </row>
    <row r="677" spans="2:23">
      <c r="B677" s="114">
        <v>16</v>
      </c>
      <c r="C677" s="74">
        <f t="shared" si="381"/>
        <v>14.5</v>
      </c>
      <c r="D677" s="74">
        <f t="shared" si="382"/>
        <v>13</v>
      </c>
      <c r="E677" s="74">
        <f t="shared" si="383"/>
        <v>11.5</v>
      </c>
      <c r="F677" s="114">
        <v>10</v>
      </c>
      <c r="G677" s="74">
        <f t="shared" si="384"/>
        <v>8.5</v>
      </c>
      <c r="H677" s="74">
        <f t="shared" si="385"/>
        <v>7</v>
      </c>
      <c r="I677" s="74">
        <f t="shared" si="386"/>
        <v>5.5</v>
      </c>
      <c r="J677" s="114">
        <f t="shared" si="387"/>
        <v>4</v>
      </c>
      <c r="K677" s="74">
        <f t="shared" si="375"/>
        <v>2.875</v>
      </c>
      <c r="L677" s="114">
        <f t="shared" si="339"/>
        <v>1.75</v>
      </c>
      <c r="M677" s="115">
        <f t="shared" si="376"/>
        <v>4.2815000000000003</v>
      </c>
      <c r="N677" s="115">
        <f t="shared" si="377"/>
        <v>6.8282500000000006</v>
      </c>
      <c r="O677" s="74">
        <f t="shared" si="378"/>
        <v>9.375</v>
      </c>
      <c r="P677" s="74">
        <f t="shared" si="379"/>
        <v>11.906500000000001</v>
      </c>
      <c r="Q677" s="74">
        <f t="shared" si="380"/>
        <v>14.437999999999999</v>
      </c>
      <c r="R677" s="114">
        <v>17</v>
      </c>
      <c r="S677" s="129"/>
      <c r="T677" s="117">
        <f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18.623938461538462</v>
      </c>
      <c r="U677" s="117"/>
      <c r="V677" s="129"/>
      <c r="W677" s="114"/>
    </row>
    <row r="678" spans="2:23">
      <c r="B678" s="114"/>
      <c r="C678" s="74"/>
      <c r="D678" s="74"/>
      <c r="E678" s="74"/>
      <c r="F678" s="114"/>
      <c r="G678" s="74"/>
      <c r="H678" s="74"/>
      <c r="I678" s="74"/>
      <c r="J678" s="114"/>
      <c r="K678" s="74"/>
      <c r="L678" s="114"/>
      <c r="M678" s="115"/>
      <c r="N678" s="115"/>
      <c r="O678" s="74"/>
      <c r="P678" s="74"/>
      <c r="Q678" s="74"/>
      <c r="R678" s="114"/>
      <c r="S678" s="129"/>
      <c r="T678" s="117"/>
      <c r="U678" s="117"/>
      <c r="V678" s="129"/>
      <c r="W678" s="114"/>
    </row>
    <row r="679" spans="2:23">
      <c r="B679" s="114">
        <v>9</v>
      </c>
      <c r="C679" s="74">
        <f t="shared" si="381"/>
        <v>9.5</v>
      </c>
      <c r="D679" s="74">
        <f t="shared" si="382"/>
        <v>10</v>
      </c>
      <c r="E679" s="74">
        <f t="shared" si="383"/>
        <v>10.5</v>
      </c>
      <c r="F679" s="114">
        <v>11</v>
      </c>
      <c r="G679" s="74">
        <f t="shared" si="384"/>
        <v>11.5</v>
      </c>
      <c r="H679" s="74">
        <f t="shared" si="385"/>
        <v>12</v>
      </c>
      <c r="I679" s="74">
        <f t="shared" si="386"/>
        <v>12.5</v>
      </c>
      <c r="J679" s="114">
        <f t="shared" si="387"/>
        <v>13</v>
      </c>
      <c r="K679" s="74">
        <f t="shared" si="375"/>
        <v>13.5</v>
      </c>
      <c r="L679" s="114">
        <f>SUM(J679,J679,-H679)</f>
        <v>14</v>
      </c>
      <c r="M679" s="115">
        <f t="shared" ref="M679:M688" si="388">SUM(0.166*(R679-L679),L679)</f>
        <v>14.497999999999999</v>
      </c>
      <c r="N679" s="115">
        <f t="shared" ref="N679:N688" si="389">SUM(0.333*(R679-L679),L679)</f>
        <v>14.999000000000001</v>
      </c>
      <c r="O679" s="74">
        <f t="shared" ref="O679:O688" si="390">SUM(0.5*(R679-L679),L679)</f>
        <v>15.5</v>
      </c>
      <c r="P679" s="74">
        <f t="shared" ref="P679:P688" si="391">SUM(0.666*(R679-L679),L679)</f>
        <v>15.998000000000001</v>
      </c>
      <c r="Q679" s="74">
        <f t="shared" ref="Q679:Q688" si="392">SUM(0.832*(R679-L679),L679)</f>
        <v>16.495999999999999</v>
      </c>
      <c r="R679" s="114">
        <v>17</v>
      </c>
      <c r="S679" s="129"/>
      <c r="T679" s="117">
        <f>SUM((CL20+CK19+CJ18+CI17+CH16+CG15+CF14+CE13+CD12+CC11+CB10+CA9+BZ8+BY7+BX6+BW5+BV4)*0.132,17)</f>
        <v>18.971538461538461</v>
      </c>
      <c r="U679" s="117"/>
      <c r="V679" s="129"/>
      <c r="W679" s="114"/>
    </row>
    <row r="680" spans="2:23">
      <c r="B680" s="114">
        <v>10</v>
      </c>
      <c r="C680" s="74">
        <f t="shared" si="381"/>
        <v>10.25</v>
      </c>
      <c r="D680" s="74">
        <f t="shared" si="382"/>
        <v>10.5</v>
      </c>
      <c r="E680" s="74">
        <f t="shared" si="383"/>
        <v>10.75</v>
      </c>
      <c r="F680" s="114">
        <v>11</v>
      </c>
      <c r="G680" s="74">
        <f t="shared" si="384"/>
        <v>11.25</v>
      </c>
      <c r="H680" s="74">
        <f t="shared" si="385"/>
        <v>11.5</v>
      </c>
      <c r="I680" s="74">
        <f t="shared" si="386"/>
        <v>11.75</v>
      </c>
      <c r="J680" s="114">
        <f t="shared" si="387"/>
        <v>12</v>
      </c>
      <c r="K680" s="74">
        <f t="shared" si="375"/>
        <v>12.3125</v>
      </c>
      <c r="L680" s="114">
        <f t="shared" ref="L680:L734" si="393">SUM(J680,J680,-H680,0.25*ABS(J680-H680))</f>
        <v>12.625</v>
      </c>
      <c r="M680" s="115">
        <f t="shared" si="388"/>
        <v>13.35125</v>
      </c>
      <c r="N680" s="115">
        <f t="shared" si="389"/>
        <v>14.081875</v>
      </c>
      <c r="O680" s="74">
        <f t="shared" si="390"/>
        <v>14.8125</v>
      </c>
      <c r="P680" s="74">
        <f t="shared" si="391"/>
        <v>15.53875</v>
      </c>
      <c r="Q680" s="74">
        <f t="shared" si="392"/>
        <v>16.265000000000001</v>
      </c>
      <c r="R680" s="114">
        <v>17</v>
      </c>
      <c r="S680" s="129"/>
      <c r="T680" s="117">
        <f>SUM((CJ20+CI19+CI18+CH17+CH16+CG15+CG14+CF13+CF12+CE11+CE10+BX6+BW5+BV4)*0.132,(CD9+CC9+CB8+CA8+BZ7+BY7)*0.132/2,17)</f>
        <v>19.367538461538462</v>
      </c>
      <c r="U680" s="117"/>
      <c r="V680" s="129"/>
      <c r="W680" s="114"/>
    </row>
    <row r="681" spans="2:23">
      <c r="B681" s="114">
        <v>11</v>
      </c>
      <c r="C681" s="74">
        <f t="shared" si="381"/>
        <v>11</v>
      </c>
      <c r="D681" s="74">
        <f t="shared" si="382"/>
        <v>11</v>
      </c>
      <c r="E681" s="74">
        <f t="shared" si="383"/>
        <v>11</v>
      </c>
      <c r="F681" s="114">
        <v>11</v>
      </c>
      <c r="G681" s="74">
        <f t="shared" si="384"/>
        <v>11</v>
      </c>
      <c r="H681" s="74">
        <f t="shared" si="385"/>
        <v>11</v>
      </c>
      <c r="I681" s="74">
        <f t="shared" si="386"/>
        <v>11</v>
      </c>
      <c r="J681" s="114">
        <f t="shared" si="387"/>
        <v>11</v>
      </c>
      <c r="K681" s="74">
        <f t="shared" si="375"/>
        <v>11.3</v>
      </c>
      <c r="L681" s="114">
        <f>SUM(J681,J681,-H681,0.25*ABS(J681-H681),0.1*(17-F681))</f>
        <v>11.6</v>
      </c>
      <c r="M681" s="115">
        <f t="shared" si="388"/>
        <v>12.4964</v>
      </c>
      <c r="N681" s="115">
        <f t="shared" si="389"/>
        <v>13.398199999999999</v>
      </c>
      <c r="O681" s="74">
        <f t="shared" si="390"/>
        <v>14.3</v>
      </c>
      <c r="P681" s="74">
        <f t="shared" si="391"/>
        <v>15.196400000000001</v>
      </c>
      <c r="Q681" s="74">
        <f t="shared" si="392"/>
        <v>16.0928</v>
      </c>
      <c r="R681" s="114">
        <v>17</v>
      </c>
      <c r="S681" s="129"/>
      <c r="T681" s="117">
        <f>SUM((CH20+CH19+CH18+CH17+CH16+CH15+CH14+CH13+CH12+CG11+CG10+BV4)*0.132,(CF9+CE9+CD8+CC8+CB7+CA7+BZ6+BY6+BX5+BW5)*0.132/2,17)</f>
        <v>19.829538461538462</v>
      </c>
      <c r="U681" s="117"/>
      <c r="V681" s="129"/>
      <c r="W681" s="114"/>
    </row>
    <row r="682" spans="2:23">
      <c r="B682" s="114">
        <v>12</v>
      </c>
      <c r="C682" s="74">
        <f t="shared" si="381"/>
        <v>11.75</v>
      </c>
      <c r="D682" s="74">
        <f t="shared" si="382"/>
        <v>11.5</v>
      </c>
      <c r="E682" s="74">
        <f t="shared" si="383"/>
        <v>11.25</v>
      </c>
      <c r="F682" s="114">
        <v>11</v>
      </c>
      <c r="G682" s="74">
        <f t="shared" si="384"/>
        <v>10.75</v>
      </c>
      <c r="H682" s="74">
        <f t="shared" si="385"/>
        <v>10.5</v>
      </c>
      <c r="I682" s="74">
        <f t="shared" si="386"/>
        <v>10.25</v>
      </c>
      <c r="J682" s="114">
        <f t="shared" si="387"/>
        <v>10</v>
      </c>
      <c r="K682" s="74">
        <f t="shared" si="375"/>
        <v>9.8125</v>
      </c>
      <c r="L682" s="114">
        <f t="shared" si="393"/>
        <v>9.625</v>
      </c>
      <c r="M682" s="115">
        <f t="shared" si="388"/>
        <v>10.84925</v>
      </c>
      <c r="N682" s="115">
        <f t="shared" si="389"/>
        <v>12.080875000000001</v>
      </c>
      <c r="O682" s="74">
        <f t="shared" si="390"/>
        <v>13.3125</v>
      </c>
      <c r="P682" s="74">
        <f t="shared" si="391"/>
        <v>14.536750000000001</v>
      </c>
      <c r="Q682" s="74">
        <f t="shared" si="392"/>
        <v>15.760999999999999</v>
      </c>
      <c r="R682" s="114">
        <v>17</v>
      </c>
      <c r="S682" s="129"/>
      <c r="T682" s="117">
        <f>SUM((CF20+CG19+CG18+CH17+CH16+CI15+CI14+CJ13+CJ12+CK11+CK10)*0.132,(CJ9+CI9+CH9+CG8+CF8+CE8+CD7+CC7+CB7)*0.132/3,(CA6+BZ6+BY5+BX5+BW4+BV4)*0.132/2,17)</f>
        <v>20.027538461538462</v>
      </c>
      <c r="U682" s="117"/>
      <c r="V682" s="129"/>
      <c r="W682" s="114"/>
    </row>
    <row r="683" spans="2:23">
      <c r="B683" s="114">
        <v>13</v>
      </c>
      <c r="C683" s="74">
        <f t="shared" si="381"/>
        <v>12.5</v>
      </c>
      <c r="D683" s="74">
        <f t="shared" si="382"/>
        <v>12</v>
      </c>
      <c r="E683" s="74">
        <f t="shared" si="383"/>
        <v>11.5</v>
      </c>
      <c r="F683" s="114">
        <v>11</v>
      </c>
      <c r="G683" s="74">
        <f t="shared" si="384"/>
        <v>10.5</v>
      </c>
      <c r="H683" s="74">
        <f t="shared" si="385"/>
        <v>10</v>
      </c>
      <c r="I683" s="74">
        <f t="shared" si="386"/>
        <v>9.5</v>
      </c>
      <c r="J683" s="114">
        <f t="shared" si="387"/>
        <v>9</v>
      </c>
      <c r="K683" s="74">
        <f t="shared" si="375"/>
        <v>8.625</v>
      </c>
      <c r="L683" s="114">
        <f t="shared" si="393"/>
        <v>8.25</v>
      </c>
      <c r="M683" s="115">
        <f t="shared" si="388"/>
        <v>9.7025000000000006</v>
      </c>
      <c r="N683" s="115">
        <f t="shared" si="389"/>
        <v>11.16375</v>
      </c>
      <c r="O683" s="74">
        <f t="shared" si="390"/>
        <v>12.625</v>
      </c>
      <c r="P683" s="74">
        <f t="shared" si="391"/>
        <v>14.077500000000001</v>
      </c>
      <c r="Q683" s="74">
        <f t="shared" si="392"/>
        <v>15.53</v>
      </c>
      <c r="R683" s="114">
        <v>17</v>
      </c>
      <c r="S683" s="129"/>
      <c r="T683" s="117">
        <f>SUM((CD20+CE19+CF18+CG17+CH16+CI15+CJ14+CK13+CL12+CM11+CM10)*0.132,(CL9+CK9+CJ9+CI8+CH8+CG8+CF7+CE7+CD7+CC6+CB6+CA6+BZ5+BY5+BX5)*0.132/3,(BW4+BV4)*0.132/2,17)</f>
        <v>19.60953846153846</v>
      </c>
      <c r="U683" s="117"/>
      <c r="V683" s="129"/>
      <c r="W683" s="114"/>
    </row>
    <row r="684" spans="2:23">
      <c r="B684" s="114">
        <v>14</v>
      </c>
      <c r="C684" s="74">
        <f t="shared" si="381"/>
        <v>13.25</v>
      </c>
      <c r="D684" s="74">
        <f t="shared" si="382"/>
        <v>12.5</v>
      </c>
      <c r="E684" s="74">
        <f t="shared" si="383"/>
        <v>11.75</v>
      </c>
      <c r="F684" s="114">
        <v>11</v>
      </c>
      <c r="G684" s="74">
        <f t="shared" si="384"/>
        <v>10.25</v>
      </c>
      <c r="H684" s="74">
        <f t="shared" si="385"/>
        <v>9.5</v>
      </c>
      <c r="I684" s="74">
        <f t="shared" si="386"/>
        <v>8.75</v>
      </c>
      <c r="J684" s="114">
        <f t="shared" si="387"/>
        <v>8</v>
      </c>
      <c r="K684" s="74">
        <f t="shared" si="375"/>
        <v>7.4375</v>
      </c>
      <c r="L684" s="114">
        <f t="shared" si="393"/>
        <v>6.875</v>
      </c>
      <c r="M684" s="115">
        <f t="shared" si="388"/>
        <v>8.5557499999999997</v>
      </c>
      <c r="N684" s="115">
        <f t="shared" si="389"/>
        <v>10.246625</v>
      </c>
      <c r="O684" s="74">
        <f t="shared" si="390"/>
        <v>11.9375</v>
      </c>
      <c r="P684" s="74">
        <f t="shared" si="391"/>
        <v>13.61825</v>
      </c>
      <c r="Q684" s="74">
        <f t="shared" si="392"/>
        <v>15.298999999999999</v>
      </c>
      <c r="R684" s="114">
        <v>17</v>
      </c>
      <c r="S684" s="129"/>
      <c r="T684" s="117">
        <f>SUM((CB20+CE18+CH16+CK14+CN12+CO11+CP10)*0.132,(CC19+CD19+CF17+CG17+CI15+CJ15+CL13+CM13)*0.132/2,(CO9+CN9+CM9+CL9+CK8+CJ8+CI8+CH8)*0.132/4,(CG7+CF7+CE7+CD6+CC6+CB6+CA5+BZ5+BY5+BX4+BW4+BV4)*0.132/3,17)</f>
        <v>19.081538461538461</v>
      </c>
      <c r="U684" s="117"/>
      <c r="V684" s="129"/>
      <c r="W684" s="114"/>
    </row>
    <row r="685" spans="2:23">
      <c r="B685" s="114">
        <v>15</v>
      </c>
      <c r="C685" s="74">
        <f t="shared" si="381"/>
        <v>14</v>
      </c>
      <c r="D685" s="74">
        <f t="shared" si="382"/>
        <v>13</v>
      </c>
      <c r="E685" s="74">
        <f t="shared" si="383"/>
        <v>12</v>
      </c>
      <c r="F685" s="114">
        <v>11</v>
      </c>
      <c r="G685" s="74">
        <f t="shared" si="384"/>
        <v>10</v>
      </c>
      <c r="H685" s="74">
        <f t="shared" si="385"/>
        <v>9</v>
      </c>
      <c r="I685" s="74">
        <f t="shared" si="386"/>
        <v>8</v>
      </c>
      <c r="J685" s="114">
        <f t="shared" si="387"/>
        <v>7</v>
      </c>
      <c r="K685" s="74">
        <f t="shared" si="375"/>
        <v>6.25</v>
      </c>
      <c r="L685" s="114">
        <f t="shared" si="393"/>
        <v>5.5</v>
      </c>
      <c r="M685" s="115">
        <f t="shared" si="388"/>
        <v>7.4089999999999998</v>
      </c>
      <c r="N685" s="115">
        <f t="shared" si="389"/>
        <v>9.3294999999999995</v>
      </c>
      <c r="O685" s="74">
        <f t="shared" si="390"/>
        <v>11.25</v>
      </c>
      <c r="P685" s="74">
        <f t="shared" si="391"/>
        <v>13.159000000000001</v>
      </c>
      <c r="Q685" s="74">
        <f t="shared" si="392"/>
        <v>15.068</v>
      </c>
      <c r="R685" s="114">
        <v>17</v>
      </c>
      <c r="S685" s="129"/>
      <c r="T685" s="117">
        <f>SUM((CA19+CB19+CC18+CD18+CE17+CF17+CG16+CH16+CI15+CJ15+CK14+CL14+CM13+CN13+CO12+CP12+CQ11+CR11)*0.132/2,(BZ20+CS10)*0.132,(CR9+CQ9+CP9+CO9+CN8+CM8+CL8+CK8+CJ7+CI7+CH7+CG7+CF6+CE6+CD6+CC6+CB5+CA5+BZ5+BY5)*0.132/4,(BX4+BW4+BV4)*0.132/3,17)</f>
        <v>19.257538461538459</v>
      </c>
      <c r="U685" s="117"/>
      <c r="V685" s="129"/>
      <c r="W685" s="114"/>
    </row>
    <row r="686" spans="2:23">
      <c r="B686" s="114">
        <v>16</v>
      </c>
      <c r="C686" s="74">
        <f t="shared" si="381"/>
        <v>14.75</v>
      </c>
      <c r="D686" s="74">
        <f t="shared" si="382"/>
        <v>13.5</v>
      </c>
      <c r="E686" s="74">
        <f t="shared" si="383"/>
        <v>12.25</v>
      </c>
      <c r="F686" s="114">
        <v>11</v>
      </c>
      <c r="G686" s="74">
        <f t="shared" si="384"/>
        <v>9.75</v>
      </c>
      <c r="H686" s="74">
        <f t="shared" si="385"/>
        <v>8.5</v>
      </c>
      <c r="I686" s="74">
        <f t="shared" si="386"/>
        <v>7.25</v>
      </c>
      <c r="J686" s="114">
        <f t="shared" si="387"/>
        <v>6</v>
      </c>
      <c r="K686" s="74">
        <f t="shared" si="375"/>
        <v>5.0625</v>
      </c>
      <c r="L686" s="114">
        <f t="shared" si="393"/>
        <v>4.125</v>
      </c>
      <c r="M686" s="115">
        <f t="shared" si="388"/>
        <v>6.2622499999999999</v>
      </c>
      <c r="N686" s="115">
        <f t="shared" si="389"/>
        <v>8.4123750000000008</v>
      </c>
      <c r="O686" s="74">
        <f t="shared" si="390"/>
        <v>10.5625</v>
      </c>
      <c r="P686" s="74">
        <f t="shared" si="391"/>
        <v>12.69975</v>
      </c>
      <c r="Q686" s="74">
        <f t="shared" si="392"/>
        <v>14.837</v>
      </c>
      <c r="R686" s="114">
        <v>17</v>
      </c>
      <c r="S686" s="129"/>
      <c r="T686" s="117">
        <f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18.93413846153846</v>
      </c>
      <c r="U686" s="117"/>
      <c r="V686" s="129"/>
      <c r="W686" s="114"/>
    </row>
    <row r="687" spans="2:23">
      <c r="B687" s="114">
        <v>17</v>
      </c>
      <c r="C687" s="74">
        <f t="shared" si="381"/>
        <v>15.5</v>
      </c>
      <c r="D687" s="74">
        <f t="shared" si="382"/>
        <v>14</v>
      </c>
      <c r="E687" s="74">
        <f t="shared" si="383"/>
        <v>12.5</v>
      </c>
      <c r="F687" s="114">
        <v>11</v>
      </c>
      <c r="G687" s="74">
        <f t="shared" si="384"/>
        <v>9.5</v>
      </c>
      <c r="H687" s="74">
        <f t="shared" si="385"/>
        <v>8</v>
      </c>
      <c r="I687" s="74">
        <f t="shared" si="386"/>
        <v>6.5</v>
      </c>
      <c r="J687" s="114">
        <f t="shared" si="387"/>
        <v>5</v>
      </c>
      <c r="K687" s="74">
        <f t="shared" si="375"/>
        <v>3.875</v>
      </c>
      <c r="L687" s="114">
        <f t="shared" si="393"/>
        <v>2.75</v>
      </c>
      <c r="M687" s="115">
        <f t="shared" si="388"/>
        <v>5.1154999999999999</v>
      </c>
      <c r="N687" s="115">
        <f t="shared" si="389"/>
        <v>7.4952500000000004</v>
      </c>
      <c r="O687" s="74">
        <f t="shared" si="390"/>
        <v>9.875</v>
      </c>
      <c r="P687" s="74">
        <f t="shared" si="391"/>
        <v>12.240500000000001</v>
      </c>
      <c r="Q687" s="74">
        <f t="shared" si="392"/>
        <v>14.606</v>
      </c>
      <c r="R687" s="114">
        <v>17</v>
      </c>
      <c r="S687" s="129"/>
      <c r="T687" s="117">
        <f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18.975938461538462</v>
      </c>
      <c r="U687" s="117"/>
      <c r="V687" s="129"/>
      <c r="W687" s="114"/>
    </row>
    <row r="688" spans="2:23">
      <c r="B688" s="114">
        <v>18</v>
      </c>
      <c r="C688" s="74">
        <f t="shared" si="381"/>
        <v>16.25</v>
      </c>
      <c r="D688" s="74">
        <f t="shared" si="382"/>
        <v>14.5</v>
      </c>
      <c r="E688" s="74">
        <f t="shared" si="383"/>
        <v>12.75</v>
      </c>
      <c r="F688" s="114">
        <v>11</v>
      </c>
      <c r="G688" s="74">
        <f t="shared" si="384"/>
        <v>9.25</v>
      </c>
      <c r="H688" s="74">
        <f t="shared" si="385"/>
        <v>7.5</v>
      </c>
      <c r="I688" s="74">
        <f t="shared" si="386"/>
        <v>5.75</v>
      </c>
      <c r="J688" s="114">
        <f t="shared" si="387"/>
        <v>4</v>
      </c>
      <c r="K688" s="74">
        <f t="shared" si="375"/>
        <v>2.6875</v>
      </c>
      <c r="L688" s="114">
        <f t="shared" si="393"/>
        <v>1.375</v>
      </c>
      <c r="M688" s="115">
        <f t="shared" si="388"/>
        <v>3.96875</v>
      </c>
      <c r="N688" s="115">
        <f t="shared" si="389"/>
        <v>6.578125</v>
      </c>
      <c r="O688" s="74">
        <f t="shared" si="390"/>
        <v>9.1875</v>
      </c>
      <c r="P688" s="74">
        <f t="shared" si="391"/>
        <v>11.78125</v>
      </c>
      <c r="Q688" s="74">
        <f t="shared" si="392"/>
        <v>14.375</v>
      </c>
      <c r="R688" s="114">
        <v>17</v>
      </c>
      <c r="S688" s="129"/>
      <c r="T688" s="117">
        <f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18.70093846153846</v>
      </c>
      <c r="U688" s="117"/>
      <c r="V688" s="129"/>
      <c r="W688" s="114"/>
    </row>
    <row r="689" spans="2:23">
      <c r="B689" s="114"/>
      <c r="C689" s="74"/>
      <c r="D689" s="74"/>
      <c r="E689" s="74"/>
      <c r="F689" s="114"/>
      <c r="G689" s="74"/>
      <c r="H689" s="74"/>
      <c r="I689" s="74"/>
      <c r="J689" s="114"/>
      <c r="K689" s="74"/>
      <c r="L689" s="114"/>
      <c r="M689" s="115"/>
      <c r="N689" s="115"/>
      <c r="O689" s="74"/>
      <c r="P689" s="74"/>
      <c r="Q689" s="74"/>
      <c r="R689" s="114"/>
      <c r="S689" s="129"/>
      <c r="T689" s="117"/>
      <c r="U689" s="117"/>
      <c r="V689" s="129"/>
      <c r="W689" s="114"/>
    </row>
    <row r="690" spans="2:23">
      <c r="B690" s="114">
        <v>11</v>
      </c>
      <c r="C690" s="74">
        <f t="shared" si="381"/>
        <v>11.25</v>
      </c>
      <c r="D690" s="74">
        <f t="shared" si="382"/>
        <v>11.5</v>
      </c>
      <c r="E690" s="74">
        <f t="shared" si="383"/>
        <v>11.75</v>
      </c>
      <c r="F690" s="114">
        <v>12</v>
      </c>
      <c r="G690" s="74">
        <f t="shared" si="384"/>
        <v>12.25</v>
      </c>
      <c r="H690" s="74">
        <f t="shared" si="385"/>
        <v>12.5</v>
      </c>
      <c r="I690" s="74">
        <f t="shared" si="386"/>
        <v>12.75</v>
      </c>
      <c r="J690" s="114">
        <f t="shared" si="387"/>
        <v>13</v>
      </c>
      <c r="K690" s="74">
        <f t="shared" ref="K690:K699" si="394">SUM(0.5*(L690-J690),J690)</f>
        <v>13.3125</v>
      </c>
      <c r="L690" s="114">
        <f t="shared" si="393"/>
        <v>13.625</v>
      </c>
      <c r="M690" s="115">
        <f t="shared" ref="M690:M699" si="395">SUM(0.166*(R690-L690),L690)</f>
        <v>14.18525</v>
      </c>
      <c r="N690" s="115">
        <f t="shared" ref="N690:N699" si="396">SUM(0.333*(R690-L690),L690)</f>
        <v>14.748875</v>
      </c>
      <c r="O690" s="74">
        <f t="shared" ref="O690:O699" si="397">SUM(0.5*(R690-L690),L690)</f>
        <v>15.3125</v>
      </c>
      <c r="P690" s="74">
        <f t="shared" ref="P690:P699" si="398">SUM(0.666*(R690-L690),L690)</f>
        <v>15.87275</v>
      </c>
      <c r="Q690" s="74">
        <f t="shared" ref="Q690:Q699" si="399">SUM(0.832*(R690-L690),L690)</f>
        <v>16.433</v>
      </c>
      <c r="R690" s="114">
        <v>17</v>
      </c>
      <c r="S690" s="129"/>
      <c r="T690" s="117">
        <f>SUM((CH20+CG19+CG18+CF17+CF16+CE15+CE14+CD13+CD12+CC11+CC10+BZ8+BY7+BX6+BW5+BV4)*0.132,(CB9+CA9)*0.132/2,17)</f>
        <v>18.707538461538462</v>
      </c>
      <c r="U690" s="117"/>
      <c r="V690" s="129"/>
      <c r="W690" s="114"/>
    </row>
    <row r="691" spans="2:23">
      <c r="B691" s="114">
        <v>12</v>
      </c>
      <c r="C691" s="74">
        <f t="shared" si="381"/>
        <v>12</v>
      </c>
      <c r="D691" s="74">
        <f t="shared" si="382"/>
        <v>12</v>
      </c>
      <c r="E691" s="74">
        <f t="shared" si="383"/>
        <v>12</v>
      </c>
      <c r="F691" s="114">
        <v>12</v>
      </c>
      <c r="G691" s="74">
        <f t="shared" si="384"/>
        <v>12</v>
      </c>
      <c r="H691" s="74">
        <f t="shared" si="385"/>
        <v>12</v>
      </c>
      <c r="I691" s="74">
        <f t="shared" si="386"/>
        <v>12</v>
      </c>
      <c r="J691" s="114">
        <f t="shared" si="387"/>
        <v>12</v>
      </c>
      <c r="K691" s="74">
        <f t="shared" si="394"/>
        <v>12.25</v>
      </c>
      <c r="L691" s="114">
        <f>SUM(J691,J691,-H691,0.25*ABS(J691-H691),0.1*(17-F691))</f>
        <v>12.5</v>
      </c>
      <c r="M691" s="115">
        <f t="shared" si="395"/>
        <v>13.247</v>
      </c>
      <c r="N691" s="115">
        <f t="shared" si="396"/>
        <v>13.9985</v>
      </c>
      <c r="O691" s="74">
        <f t="shared" si="397"/>
        <v>14.75</v>
      </c>
      <c r="P691" s="74">
        <f t="shared" si="398"/>
        <v>15.497</v>
      </c>
      <c r="Q691" s="74">
        <f t="shared" si="399"/>
        <v>16.244</v>
      </c>
      <c r="R691" s="114">
        <v>17</v>
      </c>
      <c r="S691" s="129"/>
      <c r="T691" s="117">
        <f>SUM((CF20+CF19+CF18+CF17+CF16+CF15+CF14+CF13+CF12+CE11+CE10+BX6+BW5+BV4)*0.132,(CD9+CC9+CB8+CA8+BZ7+BY7)*0.132/2,17)</f>
        <v>19.367538461538459</v>
      </c>
      <c r="U691" s="117"/>
      <c r="V691" s="129"/>
      <c r="W691" s="114"/>
    </row>
    <row r="692" spans="2:23">
      <c r="B692" s="114">
        <v>13</v>
      </c>
      <c r="C692" s="74">
        <f t="shared" si="381"/>
        <v>12.75</v>
      </c>
      <c r="D692" s="74">
        <f t="shared" si="382"/>
        <v>12.5</v>
      </c>
      <c r="E692" s="74">
        <f t="shared" si="383"/>
        <v>12.25</v>
      </c>
      <c r="F692" s="114">
        <v>12</v>
      </c>
      <c r="G692" s="74">
        <f t="shared" si="384"/>
        <v>11.75</v>
      </c>
      <c r="H692" s="74">
        <f t="shared" si="385"/>
        <v>11.5</v>
      </c>
      <c r="I692" s="74">
        <f t="shared" si="386"/>
        <v>11.25</v>
      </c>
      <c r="J692" s="114">
        <f t="shared" si="387"/>
        <v>11</v>
      </c>
      <c r="K692" s="74">
        <f t="shared" si="394"/>
        <v>10.8125</v>
      </c>
      <c r="L692" s="114">
        <f t="shared" si="393"/>
        <v>10.625</v>
      </c>
      <c r="M692" s="115">
        <f t="shared" si="395"/>
        <v>11.683250000000001</v>
      </c>
      <c r="N692" s="115">
        <f t="shared" si="396"/>
        <v>12.747875000000001</v>
      </c>
      <c r="O692" s="74">
        <f t="shared" si="397"/>
        <v>13.8125</v>
      </c>
      <c r="P692" s="74">
        <f t="shared" si="398"/>
        <v>14.870750000000001</v>
      </c>
      <c r="Q692" s="74">
        <f t="shared" si="399"/>
        <v>15.928999999999998</v>
      </c>
      <c r="R692" s="114">
        <v>17</v>
      </c>
      <c r="S692" s="129"/>
      <c r="T692" s="117">
        <f>SUM((CD20+CE19+CE18+CF17+CF16+CG15+CG14+CH13+CH12+CI11+CI10)*0.132,(CH9+CG9+CF9)*0.132/3,(CE8+CD8+CC7+CB7+CA6+BZ6+BY5+BX5+BW4+BV4)*0.132/2,17)</f>
        <v>19.14753846153846</v>
      </c>
      <c r="U692" s="117"/>
      <c r="V692" s="129"/>
      <c r="W692" s="114"/>
    </row>
    <row r="693" spans="2:23">
      <c r="B693" s="114">
        <v>14</v>
      </c>
      <c r="C693" s="74">
        <f t="shared" si="381"/>
        <v>13.5</v>
      </c>
      <c r="D693" s="74">
        <f t="shared" si="382"/>
        <v>13</v>
      </c>
      <c r="E693" s="74">
        <f t="shared" si="383"/>
        <v>12.5</v>
      </c>
      <c r="F693" s="114">
        <v>12</v>
      </c>
      <c r="G693" s="74">
        <f t="shared" si="384"/>
        <v>11.5</v>
      </c>
      <c r="H693" s="74">
        <f t="shared" si="385"/>
        <v>11</v>
      </c>
      <c r="I693" s="74">
        <f t="shared" si="386"/>
        <v>10.5</v>
      </c>
      <c r="J693" s="114">
        <f t="shared" si="387"/>
        <v>10</v>
      </c>
      <c r="K693" s="74">
        <f t="shared" si="394"/>
        <v>9.625</v>
      </c>
      <c r="L693" s="114">
        <f t="shared" si="393"/>
        <v>9.25</v>
      </c>
      <c r="M693" s="115">
        <f t="shared" si="395"/>
        <v>10.5365</v>
      </c>
      <c r="N693" s="115">
        <f t="shared" si="396"/>
        <v>11.83075</v>
      </c>
      <c r="O693" s="74">
        <f t="shared" si="397"/>
        <v>13.125</v>
      </c>
      <c r="P693" s="74">
        <f t="shared" si="398"/>
        <v>14.4115</v>
      </c>
      <c r="Q693" s="74">
        <f t="shared" si="399"/>
        <v>15.698</v>
      </c>
      <c r="R693" s="114">
        <v>17</v>
      </c>
      <c r="S693" s="129"/>
      <c r="T693" s="117">
        <f>SUM((CB20+CC19+CD18+CE17+CF16+CG15+CH14+CI13+CJ12+CK11+CK10)*0.132,(CJ9+CI9+CH9+CG8+CF8+CE8+CD7+CC7+CB7)*0.132/3,(CA6+BZ6+BY5+BX5+BW4+BV4)*0.132/2,17)</f>
        <v>19.76353846153846</v>
      </c>
      <c r="U693" s="117"/>
      <c r="V693" s="129"/>
      <c r="W693" s="114"/>
    </row>
    <row r="694" spans="2:23">
      <c r="B694" s="114">
        <v>15</v>
      </c>
      <c r="C694" s="74">
        <f t="shared" si="381"/>
        <v>14.25</v>
      </c>
      <c r="D694" s="74">
        <f t="shared" si="382"/>
        <v>13.5</v>
      </c>
      <c r="E694" s="74">
        <f t="shared" si="383"/>
        <v>12.75</v>
      </c>
      <c r="F694" s="114">
        <v>12</v>
      </c>
      <c r="G694" s="74">
        <f t="shared" si="384"/>
        <v>11.25</v>
      </c>
      <c r="H694" s="74">
        <f t="shared" si="385"/>
        <v>10.5</v>
      </c>
      <c r="I694" s="74">
        <f t="shared" si="386"/>
        <v>9.75</v>
      </c>
      <c r="J694" s="114">
        <f t="shared" si="387"/>
        <v>9</v>
      </c>
      <c r="K694" s="74">
        <f t="shared" si="394"/>
        <v>8.4375</v>
      </c>
      <c r="L694" s="114">
        <f t="shared" si="393"/>
        <v>7.875</v>
      </c>
      <c r="M694" s="115">
        <f t="shared" si="395"/>
        <v>9.3897499999999994</v>
      </c>
      <c r="N694" s="115">
        <f t="shared" si="396"/>
        <v>10.913625</v>
      </c>
      <c r="O694" s="74">
        <f t="shared" si="397"/>
        <v>12.4375</v>
      </c>
      <c r="P694" s="74">
        <f t="shared" si="398"/>
        <v>13.952249999999999</v>
      </c>
      <c r="Q694" s="74">
        <f t="shared" si="399"/>
        <v>15.466999999999999</v>
      </c>
      <c r="R694" s="114">
        <v>17</v>
      </c>
      <c r="S694" s="129"/>
      <c r="T694" s="117">
        <f>SUM((BZ20+CC18+CF16+CI14+CL12+CM11+CN10)*0.132,(CA19+CB19+CD17+CE17+CG15+CH15+CJ13+CK13)*0.132/2,(CM9+CL9+CK9+CJ8+CI8+CH8+CG7+CF7+CE7+CD6+CC6+CB6+CA5+BZ5+BY5+BX4+BW4+BV4)*0.132/3,17)</f>
        <v>19.719538461538463</v>
      </c>
      <c r="U694" s="117"/>
      <c r="V694" s="129"/>
      <c r="W694" s="114"/>
    </row>
    <row r="695" spans="2:23">
      <c r="B695" s="114">
        <v>16</v>
      </c>
      <c r="C695" s="74">
        <f t="shared" si="381"/>
        <v>15</v>
      </c>
      <c r="D695" s="74">
        <f t="shared" si="382"/>
        <v>14</v>
      </c>
      <c r="E695" s="74">
        <f t="shared" si="383"/>
        <v>13</v>
      </c>
      <c r="F695" s="114">
        <v>12</v>
      </c>
      <c r="G695" s="74">
        <f t="shared" si="384"/>
        <v>11</v>
      </c>
      <c r="H695" s="74">
        <f t="shared" si="385"/>
        <v>10</v>
      </c>
      <c r="I695" s="74">
        <f t="shared" si="386"/>
        <v>9</v>
      </c>
      <c r="J695" s="114">
        <f t="shared" si="387"/>
        <v>8</v>
      </c>
      <c r="K695" s="74">
        <f t="shared" si="394"/>
        <v>7.25</v>
      </c>
      <c r="L695" s="114">
        <f t="shared" si="393"/>
        <v>6.5</v>
      </c>
      <c r="M695" s="115">
        <f t="shared" si="395"/>
        <v>8.2430000000000003</v>
      </c>
      <c r="N695" s="115">
        <f t="shared" si="396"/>
        <v>9.9965000000000011</v>
      </c>
      <c r="O695" s="74">
        <f t="shared" si="397"/>
        <v>11.75</v>
      </c>
      <c r="P695" s="74">
        <f t="shared" si="398"/>
        <v>13.493</v>
      </c>
      <c r="Q695" s="74">
        <f t="shared" si="399"/>
        <v>15.235999999999999</v>
      </c>
      <c r="R695" s="114">
        <v>17</v>
      </c>
      <c r="S695" s="129"/>
      <c r="T695" s="117">
        <f>SUM((BY19+BZ19+CA18+CB18+CC17+CD17+CE16+CF16+CG15+CH15+CI14+CJ14+CK13+CL13+CM12+CN12+CO11+CP11)*0.132/2,(BX20+CQ10)*0.132,(CP9+CO9+CN9+CM9+CL8+CK8+CJ8+CI8+CH7+CG7+CF7+CE7)*0.132/4,(CD6+CC6+CB6+CA5+BZ5+BY5+BX4+BW4+BV4)*0.132/3,17)</f>
        <v>19.477538461538462</v>
      </c>
      <c r="U695" s="117"/>
      <c r="V695" s="129"/>
      <c r="W695" s="114"/>
    </row>
    <row r="696" spans="2:23">
      <c r="B696" s="114">
        <v>17</v>
      </c>
      <c r="C696" s="74">
        <f t="shared" si="381"/>
        <v>15.75</v>
      </c>
      <c r="D696" s="74">
        <f t="shared" si="382"/>
        <v>14.5</v>
      </c>
      <c r="E696" s="74">
        <f t="shared" si="383"/>
        <v>13.25</v>
      </c>
      <c r="F696" s="114">
        <v>12</v>
      </c>
      <c r="G696" s="74">
        <f t="shared" si="384"/>
        <v>10.75</v>
      </c>
      <c r="H696" s="74">
        <f t="shared" si="385"/>
        <v>9.5</v>
      </c>
      <c r="I696" s="74">
        <f t="shared" si="386"/>
        <v>8.25</v>
      </c>
      <c r="J696" s="114">
        <f t="shared" si="387"/>
        <v>7</v>
      </c>
      <c r="K696" s="74">
        <f t="shared" si="394"/>
        <v>6.0625</v>
      </c>
      <c r="L696" s="114">
        <f t="shared" si="393"/>
        <v>5.125</v>
      </c>
      <c r="M696" s="115">
        <f t="shared" si="395"/>
        <v>7.0962500000000004</v>
      </c>
      <c r="N696" s="115">
        <f t="shared" si="396"/>
        <v>9.0793750000000006</v>
      </c>
      <c r="O696" s="74">
        <f t="shared" si="397"/>
        <v>11.0625</v>
      </c>
      <c r="P696" s="74">
        <f t="shared" si="398"/>
        <v>13.033750000000001</v>
      </c>
      <c r="Q696" s="74">
        <f t="shared" si="399"/>
        <v>15.004999999999999</v>
      </c>
      <c r="R696" s="114">
        <v>17</v>
      </c>
      <c r="S696" s="129"/>
      <c r="T696" s="117">
        <f>SUM((BV20+BW20+BX19+BY19+CC17+CD17+CE16+CF16+CJ14+CK14+CO12+CP12+CQ11+CR11+CS10+CT10)*0.132/2,(BZ18+CA18+CB18+CG15+CH15+CI15+CL13+CM13+CN13)*0.132/3,(CS9+CR9+CQ9+CP9+CO8+CN8+CM8+CL8+CK7+CJ7+CI7+CH7+CG6+CF6+CE6+CD6+CC5+CB5+CA5+BZ5+BY4+BX4+BW4+BV4)*0.132/4,17)</f>
        <v>19.323538461538462</v>
      </c>
      <c r="U696" s="117"/>
      <c r="V696" s="129"/>
      <c r="W696" s="114"/>
    </row>
    <row r="697" spans="2:23">
      <c r="B697" s="114">
        <v>18</v>
      </c>
      <c r="C697" s="74">
        <f t="shared" si="381"/>
        <v>16.5</v>
      </c>
      <c r="D697" s="74">
        <f t="shared" si="382"/>
        <v>15</v>
      </c>
      <c r="E697" s="74">
        <f t="shared" si="383"/>
        <v>13.5</v>
      </c>
      <c r="F697" s="114">
        <v>12</v>
      </c>
      <c r="G697" s="74">
        <f t="shared" si="384"/>
        <v>10.5</v>
      </c>
      <c r="H697" s="74">
        <f t="shared" si="385"/>
        <v>9</v>
      </c>
      <c r="I697" s="74">
        <f t="shared" si="386"/>
        <v>7.5</v>
      </c>
      <c r="J697" s="114">
        <f t="shared" si="387"/>
        <v>6</v>
      </c>
      <c r="K697" s="74">
        <f t="shared" si="394"/>
        <v>4.875</v>
      </c>
      <c r="L697" s="114">
        <f t="shared" si="393"/>
        <v>3.75</v>
      </c>
      <c r="M697" s="115">
        <f t="shared" si="395"/>
        <v>5.9495000000000005</v>
      </c>
      <c r="N697" s="115">
        <f t="shared" si="396"/>
        <v>8.1622500000000002</v>
      </c>
      <c r="O697" s="74">
        <f t="shared" si="397"/>
        <v>10.375</v>
      </c>
      <c r="P697" s="74">
        <f t="shared" si="398"/>
        <v>12.5745</v>
      </c>
      <c r="Q697" s="74">
        <f t="shared" si="399"/>
        <v>14.773999999999999</v>
      </c>
      <c r="R697" s="114">
        <v>17</v>
      </c>
      <c r="S697" s="129"/>
      <c r="T697" s="117">
        <f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18.775738461538459</v>
      </c>
      <c r="U697" s="117"/>
      <c r="V697" s="129"/>
      <c r="W697" s="114"/>
    </row>
    <row r="698" spans="2:23">
      <c r="B698" s="114">
        <v>19</v>
      </c>
      <c r="C698" s="74">
        <f t="shared" si="381"/>
        <v>17.25</v>
      </c>
      <c r="D698" s="74">
        <f t="shared" si="382"/>
        <v>15.5</v>
      </c>
      <c r="E698" s="74">
        <f t="shared" si="383"/>
        <v>13.75</v>
      </c>
      <c r="F698" s="114">
        <v>12</v>
      </c>
      <c r="G698" s="74">
        <f t="shared" si="384"/>
        <v>10.25</v>
      </c>
      <c r="H698" s="74">
        <f t="shared" si="385"/>
        <v>8.5</v>
      </c>
      <c r="I698" s="74">
        <f t="shared" si="386"/>
        <v>6.75</v>
      </c>
      <c r="J698" s="114">
        <f t="shared" si="387"/>
        <v>5</v>
      </c>
      <c r="K698" s="74">
        <f t="shared" si="394"/>
        <v>3.6875</v>
      </c>
      <c r="L698" s="114">
        <f t="shared" si="393"/>
        <v>2.375</v>
      </c>
      <c r="M698" s="115">
        <f t="shared" si="395"/>
        <v>4.8027499999999996</v>
      </c>
      <c r="N698" s="115">
        <f t="shared" si="396"/>
        <v>7.2451250000000007</v>
      </c>
      <c r="O698" s="74">
        <f t="shared" si="397"/>
        <v>9.6875</v>
      </c>
      <c r="P698" s="74">
        <f t="shared" si="398"/>
        <v>12.115250000000001</v>
      </c>
      <c r="Q698" s="74">
        <f t="shared" si="399"/>
        <v>14.542999999999999</v>
      </c>
      <c r="R698" s="114">
        <v>17</v>
      </c>
      <c r="S698" s="129"/>
      <c r="T698" s="117">
        <f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18.612938461538462</v>
      </c>
      <c r="U698" s="117"/>
      <c r="V698" s="129"/>
      <c r="W698" s="114"/>
    </row>
    <row r="699" spans="2:23">
      <c r="B699" s="114">
        <v>20</v>
      </c>
      <c r="C699" s="74">
        <f t="shared" si="381"/>
        <v>18</v>
      </c>
      <c r="D699" s="74">
        <f t="shared" si="382"/>
        <v>16</v>
      </c>
      <c r="E699" s="74">
        <f t="shared" si="383"/>
        <v>14</v>
      </c>
      <c r="F699" s="114">
        <v>12</v>
      </c>
      <c r="G699" s="74">
        <f t="shared" si="384"/>
        <v>10</v>
      </c>
      <c r="H699" s="74">
        <f t="shared" si="385"/>
        <v>8</v>
      </c>
      <c r="I699" s="74">
        <f t="shared" si="386"/>
        <v>6</v>
      </c>
      <c r="J699" s="114">
        <f t="shared" si="387"/>
        <v>4</v>
      </c>
      <c r="K699" s="74">
        <f t="shared" si="394"/>
        <v>2.5</v>
      </c>
      <c r="L699" s="114">
        <f t="shared" si="393"/>
        <v>1</v>
      </c>
      <c r="M699" s="115">
        <f t="shared" si="395"/>
        <v>3.6560000000000001</v>
      </c>
      <c r="N699" s="115">
        <f t="shared" si="396"/>
        <v>6.3280000000000003</v>
      </c>
      <c r="O699" s="74">
        <f t="shared" si="397"/>
        <v>9</v>
      </c>
      <c r="P699" s="74">
        <f t="shared" si="398"/>
        <v>11.656000000000001</v>
      </c>
      <c r="Q699" s="74">
        <f t="shared" si="399"/>
        <v>14.311999999999999</v>
      </c>
      <c r="R699" s="114">
        <v>17</v>
      </c>
      <c r="S699" s="129"/>
      <c r="T699" s="126">
        <f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18.439138461538462</v>
      </c>
      <c r="U699" s="126"/>
      <c r="V699" s="129"/>
      <c r="W699" s="114"/>
    </row>
    <row r="700" spans="2:23">
      <c r="B700" s="114"/>
      <c r="C700" s="74"/>
      <c r="D700" s="74"/>
      <c r="E700" s="74"/>
      <c r="F700" s="114"/>
      <c r="G700" s="74"/>
      <c r="H700" s="74"/>
      <c r="I700" s="74"/>
      <c r="J700" s="114"/>
      <c r="K700" s="74"/>
      <c r="L700" s="114"/>
      <c r="M700" s="115"/>
      <c r="N700" s="115"/>
      <c r="O700" s="74"/>
      <c r="P700" s="74"/>
      <c r="Q700" s="74"/>
      <c r="R700" s="114"/>
      <c r="S700" s="129"/>
      <c r="T700" s="117"/>
      <c r="U700" s="117"/>
      <c r="V700" s="129"/>
      <c r="W700" s="114"/>
    </row>
    <row r="701" spans="2:23">
      <c r="B701" s="114">
        <v>12</v>
      </c>
      <c r="C701" s="74">
        <f t="shared" si="381"/>
        <v>12.25</v>
      </c>
      <c r="D701" s="74">
        <f t="shared" si="382"/>
        <v>12.5</v>
      </c>
      <c r="E701" s="74">
        <f t="shared" si="383"/>
        <v>12.75</v>
      </c>
      <c r="F701" s="114">
        <v>13</v>
      </c>
      <c r="G701" s="74">
        <f t="shared" si="384"/>
        <v>13.25</v>
      </c>
      <c r="H701" s="74">
        <f t="shared" si="385"/>
        <v>13.5</v>
      </c>
      <c r="I701" s="74">
        <f t="shared" si="386"/>
        <v>13.75</v>
      </c>
      <c r="J701" s="114">
        <f t="shared" si="387"/>
        <v>14</v>
      </c>
      <c r="K701" s="74">
        <f t="shared" ref="K701:K710" si="400">SUM(0.5*(L701-J701),J701)</f>
        <v>14.3125</v>
      </c>
      <c r="L701" s="114">
        <f t="shared" si="393"/>
        <v>14.625</v>
      </c>
      <c r="M701" s="115">
        <f t="shared" ref="M701:M710" si="401">SUM(0.166*(R701-L701),L701)</f>
        <v>15.01925</v>
      </c>
      <c r="N701" s="115">
        <f t="shared" ref="N701:N710" si="402">SUM(0.333*(R701-L701),L701)</f>
        <v>15.415875</v>
      </c>
      <c r="O701" s="74">
        <f t="shared" ref="O701:O710" si="403">SUM(0.5*(R701-L701),L701)</f>
        <v>15.8125</v>
      </c>
      <c r="P701" s="74">
        <f t="shared" ref="P701:P710" si="404">SUM(0.666*(R701-L701),L701)</f>
        <v>16.20675</v>
      </c>
      <c r="Q701" s="74">
        <f t="shared" ref="Q701:Q710" si="405">SUM(0.832*(R701-L701),L701)</f>
        <v>16.600999999999999</v>
      </c>
      <c r="R701" s="114">
        <v>17</v>
      </c>
      <c r="S701" s="129"/>
      <c r="T701" s="117">
        <f>SUM((CF20+CE19+CE18+CD17+CD16+CC15+CC14+CB13+CB12+CA11+CA10+BZ9+BY8+BX7+BW6+BV5+BV4)*0.132,17)</f>
        <v>19.631538461538462</v>
      </c>
      <c r="U701" s="117"/>
      <c r="V701" s="129"/>
      <c r="W701" s="114"/>
    </row>
    <row r="702" spans="2:23">
      <c r="B702" s="114">
        <v>13</v>
      </c>
      <c r="C702" s="74">
        <f t="shared" si="381"/>
        <v>13</v>
      </c>
      <c r="D702" s="74">
        <f t="shared" si="382"/>
        <v>13</v>
      </c>
      <c r="E702" s="74">
        <f t="shared" si="383"/>
        <v>13</v>
      </c>
      <c r="F702" s="114">
        <v>13</v>
      </c>
      <c r="G702" s="74">
        <f t="shared" si="384"/>
        <v>13</v>
      </c>
      <c r="H702" s="74">
        <f t="shared" si="385"/>
        <v>13</v>
      </c>
      <c r="I702" s="74">
        <f t="shared" si="386"/>
        <v>13</v>
      </c>
      <c r="J702" s="114">
        <f t="shared" si="387"/>
        <v>13</v>
      </c>
      <c r="K702" s="74">
        <f t="shared" si="400"/>
        <v>13.2</v>
      </c>
      <c r="L702" s="114">
        <f>SUM(J702,J702,-H702,0.25*ABS(J702-H702),0.1*(17-F702))</f>
        <v>13.4</v>
      </c>
      <c r="M702" s="115">
        <f t="shared" si="401"/>
        <v>13.9976</v>
      </c>
      <c r="N702" s="115">
        <f t="shared" si="402"/>
        <v>14.598800000000001</v>
      </c>
      <c r="O702" s="74">
        <f t="shared" si="403"/>
        <v>15.2</v>
      </c>
      <c r="P702" s="74">
        <f t="shared" si="404"/>
        <v>15.797599999999999</v>
      </c>
      <c r="Q702" s="74">
        <f t="shared" si="405"/>
        <v>16.395199999999999</v>
      </c>
      <c r="R702" s="114">
        <v>17</v>
      </c>
      <c r="S702" s="129"/>
      <c r="T702" s="117">
        <f>SUM((CD20+CD19+CD18+CD17+CD16+CD15+CD14+CD13+CD12+CD11+CC10+BZ8+BY7+BX6+BW5+BV4)*0.132,(CB9+CA9)*0.132/2,17)</f>
        <v>19.367538461538459</v>
      </c>
      <c r="U702" s="117"/>
      <c r="V702" s="129"/>
      <c r="W702" s="114"/>
    </row>
    <row r="703" spans="2:23">
      <c r="B703" s="114">
        <v>14</v>
      </c>
      <c r="C703" s="74">
        <f t="shared" si="381"/>
        <v>13.75</v>
      </c>
      <c r="D703" s="74">
        <f t="shared" si="382"/>
        <v>13.5</v>
      </c>
      <c r="E703" s="74">
        <f t="shared" si="383"/>
        <v>13.25</v>
      </c>
      <c r="F703" s="114">
        <v>13</v>
      </c>
      <c r="G703" s="74">
        <f t="shared" si="384"/>
        <v>12.75</v>
      </c>
      <c r="H703" s="74">
        <f t="shared" si="385"/>
        <v>12.5</v>
      </c>
      <c r="I703" s="74">
        <f t="shared" si="386"/>
        <v>12.25</v>
      </c>
      <c r="J703" s="114">
        <f t="shared" si="387"/>
        <v>12</v>
      </c>
      <c r="K703" s="74">
        <f t="shared" si="400"/>
        <v>11.8125</v>
      </c>
      <c r="L703" s="114">
        <f t="shared" si="393"/>
        <v>11.625</v>
      </c>
      <c r="M703" s="115">
        <f t="shared" si="401"/>
        <v>12.517250000000001</v>
      </c>
      <c r="N703" s="115">
        <f t="shared" si="402"/>
        <v>13.414875</v>
      </c>
      <c r="O703" s="74">
        <f t="shared" si="403"/>
        <v>14.3125</v>
      </c>
      <c r="P703" s="74">
        <f t="shared" si="404"/>
        <v>15.204750000000001</v>
      </c>
      <c r="Q703" s="74">
        <f t="shared" si="405"/>
        <v>16.097000000000001</v>
      </c>
      <c r="R703" s="114">
        <v>17</v>
      </c>
      <c r="S703" s="129"/>
      <c r="T703" s="117">
        <f>SUM((CB20+CC19+CC18+CD17+CD16+CE15+CE14+CF13+CF12+CG11+CG10+BV4)*0.132,(CF9+CE9+CD8+CC8+CB7+CA7+BZ6+BY6+BX5+BW5)*0.132/2,17)</f>
        <v>19.169538461538462</v>
      </c>
      <c r="U703" s="117"/>
      <c r="V703" s="129"/>
      <c r="W703" s="114"/>
    </row>
    <row r="704" spans="2:23">
      <c r="B704" s="114">
        <v>15</v>
      </c>
      <c r="C704" s="74">
        <f t="shared" si="381"/>
        <v>14.5</v>
      </c>
      <c r="D704" s="74">
        <f t="shared" si="382"/>
        <v>14</v>
      </c>
      <c r="E704" s="74">
        <f t="shared" si="383"/>
        <v>13.5</v>
      </c>
      <c r="F704" s="114">
        <v>13</v>
      </c>
      <c r="G704" s="74">
        <f t="shared" si="384"/>
        <v>12.5</v>
      </c>
      <c r="H704" s="74">
        <f t="shared" si="385"/>
        <v>12</v>
      </c>
      <c r="I704" s="74">
        <f t="shared" si="386"/>
        <v>11.5</v>
      </c>
      <c r="J704" s="114">
        <f t="shared" si="387"/>
        <v>11</v>
      </c>
      <c r="K704" s="74">
        <f t="shared" si="400"/>
        <v>10.625</v>
      </c>
      <c r="L704" s="114">
        <f t="shared" si="393"/>
        <v>10.25</v>
      </c>
      <c r="M704" s="115">
        <f t="shared" si="401"/>
        <v>11.3705</v>
      </c>
      <c r="N704" s="115">
        <f t="shared" si="402"/>
        <v>12.49775</v>
      </c>
      <c r="O704" s="74">
        <f t="shared" si="403"/>
        <v>13.625</v>
      </c>
      <c r="P704" s="74">
        <f t="shared" si="404"/>
        <v>14.7455</v>
      </c>
      <c r="Q704" s="74">
        <f t="shared" si="405"/>
        <v>15.866</v>
      </c>
      <c r="R704" s="114">
        <v>17</v>
      </c>
      <c r="S704" s="129"/>
      <c r="T704" s="117">
        <f>SUM((BZ20+CA19+CB18+CC17+CD16+CE15+CF14+CG13+CH12+CI11+CI10)*0.132,(CH9+CG9+CF9)*0.132/3,(CE8+CD8+CC7+CB7+CA6+BZ6+BY5+BX5+BW4+BV4)*0.132/2,17)</f>
        <v>19.411538461538463</v>
      </c>
      <c r="U704" s="117"/>
      <c r="V704" s="129"/>
      <c r="W704" s="114"/>
    </row>
    <row r="705" spans="2:23">
      <c r="B705" s="114">
        <v>16</v>
      </c>
      <c r="C705" s="74">
        <f t="shared" si="381"/>
        <v>15.25</v>
      </c>
      <c r="D705" s="74">
        <f t="shared" si="382"/>
        <v>14.5</v>
      </c>
      <c r="E705" s="74">
        <f t="shared" si="383"/>
        <v>13.75</v>
      </c>
      <c r="F705" s="114">
        <v>13</v>
      </c>
      <c r="G705" s="74">
        <f t="shared" si="384"/>
        <v>12.25</v>
      </c>
      <c r="H705" s="74">
        <f t="shared" si="385"/>
        <v>11.5</v>
      </c>
      <c r="I705" s="74">
        <f t="shared" si="386"/>
        <v>10.75</v>
      </c>
      <c r="J705" s="114">
        <f t="shared" si="387"/>
        <v>10</v>
      </c>
      <c r="K705" s="74">
        <f t="shared" si="400"/>
        <v>9.4375</v>
      </c>
      <c r="L705" s="114">
        <f t="shared" si="393"/>
        <v>8.875</v>
      </c>
      <c r="M705" s="115">
        <f t="shared" si="401"/>
        <v>10.223750000000001</v>
      </c>
      <c r="N705" s="115">
        <f t="shared" si="402"/>
        <v>11.580625</v>
      </c>
      <c r="O705" s="74">
        <f t="shared" si="403"/>
        <v>12.9375</v>
      </c>
      <c r="P705" s="74">
        <f t="shared" si="404"/>
        <v>14.286249999999999</v>
      </c>
      <c r="Q705" s="74">
        <f t="shared" si="405"/>
        <v>15.635</v>
      </c>
      <c r="R705" s="114">
        <v>17</v>
      </c>
      <c r="S705" s="129"/>
      <c r="T705" s="117">
        <f>SUM((BX20+CA18+CD16+CG14+CJ12+CK11+CL10)*0.132,(BY19+BZ19+CB17+CC17+CE15+CF15+CH13+CI13+BY5+BX5+BW4+BV4)*0.132/2,(CK9+CJ9+CI9+CH8+CG8+CF8+CE7+CD7+CC7+CB6+CA6+BZ6)*0.132/3,17)</f>
        <v>19.34553846153846</v>
      </c>
      <c r="U705" s="117"/>
      <c r="V705" s="129"/>
      <c r="W705" s="114"/>
    </row>
    <row r="706" spans="2:23">
      <c r="B706" s="114">
        <v>17</v>
      </c>
      <c r="C706" s="74">
        <f t="shared" si="381"/>
        <v>16</v>
      </c>
      <c r="D706" s="74">
        <f t="shared" si="382"/>
        <v>15</v>
      </c>
      <c r="E706" s="74">
        <f t="shared" si="383"/>
        <v>14</v>
      </c>
      <c r="F706" s="114">
        <v>13</v>
      </c>
      <c r="G706" s="74">
        <f t="shared" si="384"/>
        <v>12</v>
      </c>
      <c r="H706" s="74">
        <f t="shared" si="385"/>
        <v>11</v>
      </c>
      <c r="I706" s="74">
        <f t="shared" si="386"/>
        <v>10</v>
      </c>
      <c r="J706" s="114">
        <f t="shared" si="387"/>
        <v>9</v>
      </c>
      <c r="K706" s="74">
        <f t="shared" si="400"/>
        <v>8.25</v>
      </c>
      <c r="L706" s="114">
        <f t="shared" si="393"/>
        <v>7.5</v>
      </c>
      <c r="M706" s="115">
        <f t="shared" si="401"/>
        <v>9.077</v>
      </c>
      <c r="N706" s="115">
        <f t="shared" si="402"/>
        <v>10.663499999999999</v>
      </c>
      <c r="O706" s="74">
        <f t="shared" si="403"/>
        <v>12.25</v>
      </c>
      <c r="P706" s="74">
        <f t="shared" si="404"/>
        <v>13.827</v>
      </c>
      <c r="Q706" s="74">
        <f t="shared" si="405"/>
        <v>15.404</v>
      </c>
      <c r="R706" s="114">
        <v>17</v>
      </c>
      <c r="S706" s="129"/>
      <c r="T706" s="117">
        <f>SUM((BW19+BX19+BY18+BZ18+CA17+CB17+CC16+CD16+CE15+CF15+CG14+CH14+CI13+CJ13+CK12+CL12+CM11+CN11)*0.132/2,(BV20+CO10)*0.132,(CN9+CM9+CL9+CK9)*0.132/4,(CJ8+CI8+CH8+CG7+CF7+CE7+CD6+CC6+CB6+CA5+BZ5+BY5+BX4+BW4+BV4)*0.132/3,17)</f>
        <v>19.24653846153846</v>
      </c>
      <c r="U706" s="117"/>
      <c r="V706" s="129"/>
      <c r="W706" s="114"/>
    </row>
    <row r="707" spans="2:23">
      <c r="B707" s="114">
        <v>18</v>
      </c>
      <c r="C707" s="74">
        <f t="shared" si="381"/>
        <v>16.75</v>
      </c>
      <c r="D707" s="74">
        <f t="shared" si="382"/>
        <v>15.5</v>
      </c>
      <c r="E707" s="74">
        <f t="shared" si="383"/>
        <v>14.25</v>
      </c>
      <c r="F707" s="114">
        <v>13</v>
      </c>
      <c r="G707" s="74">
        <f t="shared" si="384"/>
        <v>11.75</v>
      </c>
      <c r="H707" s="74">
        <f t="shared" si="385"/>
        <v>10.5</v>
      </c>
      <c r="I707" s="74">
        <f t="shared" si="386"/>
        <v>9.25</v>
      </c>
      <c r="J707" s="114">
        <f t="shared" si="387"/>
        <v>8</v>
      </c>
      <c r="K707" s="74">
        <f t="shared" si="400"/>
        <v>7.0625</v>
      </c>
      <c r="L707" s="114">
        <f t="shared" si="393"/>
        <v>6.125</v>
      </c>
      <c r="M707" s="115">
        <f t="shared" si="401"/>
        <v>7.93025</v>
      </c>
      <c r="N707" s="115">
        <f t="shared" si="402"/>
        <v>9.7463750000000005</v>
      </c>
      <c r="O707" s="74">
        <f t="shared" si="403"/>
        <v>11.5625</v>
      </c>
      <c r="P707" s="74">
        <f t="shared" si="404"/>
        <v>13.367750000000001</v>
      </c>
      <c r="Q707" s="74">
        <f t="shared" si="405"/>
        <v>15.173</v>
      </c>
      <c r="R707" s="114">
        <v>17</v>
      </c>
      <c r="S707" s="129"/>
      <c r="T707" s="117">
        <f>SUM((BT20+BU20+BV19+BW19+CA17+CB17+CC16+CD16+CH14+CI14+CM12+CN12+CO11+CP11+CQ10+CR10)*0.132/2,(BX18+BY18+BZ18+CE15+CF15+CG15+CJ13+CK13+CL13)*0.132/3,(CQ9+CP9+CO9+CN9+CM8+CL8+CK8+CJ8+CI7+CH7+CG7+CF7+CE6+CD6+CC6+CB6)*0.132/4,(CA5+BZ5+BY5+BX4+BW4+BV4)*0.132/3,17)</f>
        <v>18.89453846153846</v>
      </c>
      <c r="U707" s="117"/>
      <c r="V707" s="129"/>
      <c r="W707" s="114"/>
    </row>
    <row r="708" spans="2:23">
      <c r="B708" s="114">
        <v>19</v>
      </c>
      <c r="C708" s="74">
        <f t="shared" si="381"/>
        <v>17.5</v>
      </c>
      <c r="D708" s="74">
        <f t="shared" si="382"/>
        <v>16</v>
      </c>
      <c r="E708" s="74">
        <f t="shared" si="383"/>
        <v>14.5</v>
      </c>
      <c r="F708" s="114">
        <v>13</v>
      </c>
      <c r="G708" s="74">
        <f t="shared" si="384"/>
        <v>11.5</v>
      </c>
      <c r="H708" s="74">
        <f t="shared" si="385"/>
        <v>10</v>
      </c>
      <c r="I708" s="74">
        <f t="shared" si="386"/>
        <v>8.5</v>
      </c>
      <c r="J708" s="114">
        <f t="shared" si="387"/>
        <v>7</v>
      </c>
      <c r="K708" s="74">
        <f t="shared" si="400"/>
        <v>5.875</v>
      </c>
      <c r="L708" s="114">
        <f t="shared" si="393"/>
        <v>4.75</v>
      </c>
      <c r="M708" s="115">
        <f t="shared" si="401"/>
        <v>6.7835000000000001</v>
      </c>
      <c r="N708" s="115">
        <f t="shared" si="402"/>
        <v>8.82925</v>
      </c>
      <c r="O708" s="74">
        <f t="shared" si="403"/>
        <v>10.875</v>
      </c>
      <c r="P708" s="74">
        <f t="shared" si="404"/>
        <v>12.9085</v>
      </c>
      <c r="Q708" s="74">
        <f t="shared" si="405"/>
        <v>14.942</v>
      </c>
      <c r="R708" s="114">
        <v>17</v>
      </c>
      <c r="S708" s="129"/>
      <c r="T708" s="117">
        <f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18.885738461538459</v>
      </c>
      <c r="U708" s="117"/>
      <c r="V708" s="129"/>
      <c r="W708" s="114"/>
    </row>
    <row r="709" spans="2:23">
      <c r="B709" s="114">
        <v>20</v>
      </c>
      <c r="C709" s="74">
        <f t="shared" si="381"/>
        <v>18.25</v>
      </c>
      <c r="D709" s="74">
        <f t="shared" si="382"/>
        <v>16.5</v>
      </c>
      <c r="E709" s="74">
        <f t="shared" si="383"/>
        <v>14.75</v>
      </c>
      <c r="F709" s="114">
        <v>13</v>
      </c>
      <c r="G709" s="74">
        <f t="shared" si="384"/>
        <v>11.25</v>
      </c>
      <c r="H709" s="74">
        <f t="shared" si="385"/>
        <v>9.5</v>
      </c>
      <c r="I709" s="74">
        <f t="shared" si="386"/>
        <v>7.75</v>
      </c>
      <c r="J709" s="114">
        <f t="shared" si="387"/>
        <v>6</v>
      </c>
      <c r="K709" s="74">
        <f t="shared" si="400"/>
        <v>4.6875</v>
      </c>
      <c r="L709" s="114">
        <f t="shared" si="393"/>
        <v>3.375</v>
      </c>
      <c r="M709" s="115">
        <f t="shared" si="401"/>
        <v>5.6367500000000001</v>
      </c>
      <c r="N709" s="115">
        <f t="shared" si="402"/>
        <v>7.9121250000000005</v>
      </c>
      <c r="O709" s="74">
        <f t="shared" si="403"/>
        <v>10.1875</v>
      </c>
      <c r="P709" s="74">
        <f t="shared" si="404"/>
        <v>12.449250000000001</v>
      </c>
      <c r="Q709" s="74">
        <f t="shared" si="405"/>
        <v>14.711</v>
      </c>
      <c r="R709" s="114">
        <v>17</v>
      </c>
      <c r="S709" s="129"/>
      <c r="T709" s="117">
        <f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18.687738461538459</v>
      </c>
      <c r="U709" s="117"/>
      <c r="V709" s="129"/>
      <c r="W709" s="114"/>
    </row>
    <row r="710" spans="2:23">
      <c r="B710" s="114">
        <v>21</v>
      </c>
      <c r="C710" s="74">
        <f t="shared" si="381"/>
        <v>19</v>
      </c>
      <c r="D710" s="74">
        <f t="shared" si="382"/>
        <v>17</v>
      </c>
      <c r="E710" s="74">
        <f t="shared" si="383"/>
        <v>15</v>
      </c>
      <c r="F710" s="114">
        <v>13</v>
      </c>
      <c r="G710" s="74">
        <f t="shared" si="384"/>
        <v>11</v>
      </c>
      <c r="H710" s="74">
        <f t="shared" si="385"/>
        <v>9</v>
      </c>
      <c r="I710" s="74">
        <f t="shared" si="386"/>
        <v>7</v>
      </c>
      <c r="J710" s="114">
        <f t="shared" si="387"/>
        <v>5</v>
      </c>
      <c r="K710" s="74">
        <f t="shared" si="400"/>
        <v>3.5</v>
      </c>
      <c r="L710" s="114">
        <f t="shared" si="393"/>
        <v>2</v>
      </c>
      <c r="M710" s="115">
        <f t="shared" si="401"/>
        <v>4.49</v>
      </c>
      <c r="N710" s="115">
        <f t="shared" si="402"/>
        <v>6.9950000000000001</v>
      </c>
      <c r="O710" s="74">
        <f t="shared" si="403"/>
        <v>9.5</v>
      </c>
      <c r="P710" s="74">
        <f t="shared" si="404"/>
        <v>11.99</v>
      </c>
      <c r="Q710" s="74">
        <f t="shared" si="405"/>
        <v>14.479999999999999</v>
      </c>
      <c r="R710" s="114">
        <v>17</v>
      </c>
      <c r="S710" s="129"/>
      <c r="T710" s="117">
        <f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18.192738461538461</v>
      </c>
      <c r="U710" s="117"/>
      <c r="V710" s="129"/>
      <c r="W710" s="114"/>
    </row>
    <row r="711" spans="2:23">
      <c r="B711" s="114"/>
      <c r="C711" s="74"/>
      <c r="D711" s="74"/>
      <c r="E711" s="74"/>
      <c r="F711" s="114"/>
      <c r="G711" s="74"/>
      <c r="H711" s="74"/>
      <c r="I711" s="74"/>
      <c r="J711" s="114"/>
      <c r="K711" s="74"/>
      <c r="L711" s="114"/>
      <c r="M711" s="115"/>
      <c r="N711" s="115"/>
      <c r="O711" s="74"/>
      <c r="P711" s="74"/>
      <c r="Q711" s="74"/>
      <c r="R711" s="114"/>
      <c r="S711" s="129"/>
      <c r="T711" s="117"/>
      <c r="U711" s="117"/>
      <c r="V711" s="129"/>
      <c r="W711" s="114"/>
    </row>
    <row r="712" spans="2:23">
      <c r="B712" s="114">
        <v>13</v>
      </c>
      <c r="C712" s="74">
        <f t="shared" si="381"/>
        <v>13.25</v>
      </c>
      <c r="D712" s="74">
        <f t="shared" si="382"/>
        <v>13.5</v>
      </c>
      <c r="E712" s="74">
        <f t="shared" si="383"/>
        <v>13.75</v>
      </c>
      <c r="F712" s="114">
        <v>14</v>
      </c>
      <c r="G712" s="74">
        <f t="shared" si="384"/>
        <v>14.25</v>
      </c>
      <c r="H712" s="74">
        <f t="shared" si="385"/>
        <v>14.5</v>
      </c>
      <c r="I712" s="74">
        <f t="shared" si="386"/>
        <v>14.75</v>
      </c>
      <c r="J712" s="114">
        <f t="shared" si="387"/>
        <v>15</v>
      </c>
      <c r="K712" s="74">
        <f t="shared" ref="K712:K722" si="406">SUM(0.5*(L712-J712),J712)</f>
        <v>15.25</v>
      </c>
      <c r="L712" s="114">
        <f>SUM(J712,J712,-H712)</f>
        <v>15.5</v>
      </c>
      <c r="M712" s="115">
        <f t="shared" ref="M712:M722" si="407">SUM(0.166*(R712-L712),L712)</f>
        <v>15.749000000000001</v>
      </c>
      <c r="N712" s="115">
        <f t="shared" ref="N712:N722" si="408">SUM(0.333*(R712-L712),L712)</f>
        <v>15.999499999999999</v>
      </c>
      <c r="O712" s="74">
        <f t="shared" ref="O712:O722" si="409">SUM(0.5*(R712-L712),L712)</f>
        <v>16.25</v>
      </c>
      <c r="P712" s="74">
        <f t="shared" ref="P712:P722" si="410">SUM(0.666*(R712-L712),L712)</f>
        <v>16.498999999999999</v>
      </c>
      <c r="Q712" s="74">
        <f t="shared" ref="Q712:Q722" si="411">SUM(0.832*(R712-L712),L712)</f>
        <v>16.748000000000001</v>
      </c>
      <c r="R712" s="114">
        <v>17</v>
      </c>
      <c r="S712" s="129"/>
      <c r="T712" s="117">
        <f>SUM((CD20+CC19+CC18+CB17+CB16+CA15+CA14+BZ13+BZ12+BY11+BY10+BX9+BX8+BW7+BW6+BV5+BV4)*0.132,17)</f>
        <v>18.17953846153846</v>
      </c>
      <c r="U712" s="117"/>
      <c r="V712" s="129"/>
      <c r="W712" s="114"/>
    </row>
    <row r="713" spans="2:23">
      <c r="B713" s="114">
        <v>14</v>
      </c>
      <c r="C713" s="74">
        <f t="shared" si="381"/>
        <v>14</v>
      </c>
      <c r="D713" s="74">
        <f t="shared" si="382"/>
        <v>14</v>
      </c>
      <c r="E713" s="74">
        <f t="shared" si="383"/>
        <v>14</v>
      </c>
      <c r="F713" s="114">
        <v>14</v>
      </c>
      <c r="G713" s="74">
        <f t="shared" si="384"/>
        <v>14</v>
      </c>
      <c r="H713" s="74">
        <f t="shared" si="385"/>
        <v>14</v>
      </c>
      <c r="I713" s="74">
        <f t="shared" si="386"/>
        <v>14</v>
      </c>
      <c r="J713" s="114">
        <f t="shared" si="387"/>
        <v>14</v>
      </c>
      <c r="K713" s="74">
        <f t="shared" si="406"/>
        <v>14.15</v>
      </c>
      <c r="L713" s="114">
        <f>SUM(J713,J713,-H713,0.25*ABS(J713-H713),0.1*(17-F713))</f>
        <v>14.3</v>
      </c>
      <c r="M713" s="115">
        <f t="shared" si="407"/>
        <v>14.748200000000001</v>
      </c>
      <c r="N713" s="115">
        <f t="shared" si="408"/>
        <v>15.199100000000001</v>
      </c>
      <c r="O713" s="74">
        <f t="shared" si="409"/>
        <v>15.65</v>
      </c>
      <c r="P713" s="74">
        <f t="shared" si="410"/>
        <v>16.098199999999999</v>
      </c>
      <c r="Q713" s="74">
        <f t="shared" si="411"/>
        <v>16.546399999999998</v>
      </c>
      <c r="R713" s="114">
        <v>17</v>
      </c>
      <c r="S713" s="129"/>
      <c r="T713" s="117">
        <f>SUM((CB20+CB19+CB18+CB17+CB16+CB15+CB14+CB13+CB12+CA11+CA10+BZ9+BY8+BX7+BW6+BV5+BV4)*0.132,17)</f>
        <v>19.895538461538461</v>
      </c>
      <c r="U713" s="117"/>
      <c r="V713" s="129"/>
      <c r="W713" s="114"/>
    </row>
    <row r="714" spans="2:23">
      <c r="B714" s="114">
        <v>15</v>
      </c>
      <c r="C714" s="74">
        <f t="shared" si="381"/>
        <v>14.75</v>
      </c>
      <c r="D714" s="74">
        <f t="shared" si="382"/>
        <v>14.5</v>
      </c>
      <c r="E714" s="74">
        <f t="shared" si="383"/>
        <v>14.25</v>
      </c>
      <c r="F714" s="114">
        <v>14</v>
      </c>
      <c r="G714" s="74">
        <f t="shared" si="384"/>
        <v>13.75</v>
      </c>
      <c r="H714" s="74">
        <f t="shared" si="385"/>
        <v>13.5</v>
      </c>
      <c r="I714" s="74">
        <f t="shared" si="386"/>
        <v>13.25</v>
      </c>
      <c r="J714" s="114">
        <f t="shared" si="387"/>
        <v>13</v>
      </c>
      <c r="K714" s="74">
        <f t="shared" si="406"/>
        <v>12.8125</v>
      </c>
      <c r="L714" s="114">
        <f t="shared" si="393"/>
        <v>12.625</v>
      </c>
      <c r="M714" s="115">
        <f t="shared" si="407"/>
        <v>13.35125</v>
      </c>
      <c r="N714" s="115">
        <f t="shared" si="408"/>
        <v>14.081875</v>
      </c>
      <c r="O714" s="74">
        <f t="shared" si="409"/>
        <v>14.8125</v>
      </c>
      <c r="P714" s="74">
        <f t="shared" si="410"/>
        <v>15.53875</v>
      </c>
      <c r="Q714" s="74">
        <f t="shared" si="411"/>
        <v>16.265000000000001</v>
      </c>
      <c r="R714" s="114">
        <v>17</v>
      </c>
      <c r="S714" s="129"/>
      <c r="T714" s="117">
        <f>SUM((BZ20+CA19+CA18+CB17+CB16+CC15+CC14+CD13+CD12+CE11+CE10+BX6+BW5+BV4)*0.132,(CD9+CC9+CB8+CA8+BZ7+BY7)*0.132/2,17)</f>
        <v>19.235538461538461</v>
      </c>
      <c r="U714" s="117"/>
      <c r="V714" s="129"/>
      <c r="W714" s="114"/>
    </row>
    <row r="715" spans="2:23">
      <c r="B715" s="114">
        <v>16</v>
      </c>
      <c r="C715" s="74">
        <f t="shared" si="381"/>
        <v>15.5</v>
      </c>
      <c r="D715" s="74">
        <f t="shared" si="382"/>
        <v>15</v>
      </c>
      <c r="E715" s="74">
        <f t="shared" si="383"/>
        <v>14.5</v>
      </c>
      <c r="F715" s="114">
        <v>14</v>
      </c>
      <c r="G715" s="74">
        <f t="shared" si="384"/>
        <v>13.5</v>
      </c>
      <c r="H715" s="74">
        <f t="shared" si="385"/>
        <v>13</v>
      </c>
      <c r="I715" s="74">
        <f t="shared" si="386"/>
        <v>12.5</v>
      </c>
      <c r="J715" s="114">
        <f t="shared" si="387"/>
        <v>12</v>
      </c>
      <c r="K715" s="74">
        <f t="shared" si="406"/>
        <v>11.625</v>
      </c>
      <c r="L715" s="114">
        <f t="shared" si="393"/>
        <v>11.25</v>
      </c>
      <c r="M715" s="115">
        <f t="shared" si="407"/>
        <v>12.204499999999999</v>
      </c>
      <c r="N715" s="115">
        <f t="shared" si="408"/>
        <v>13.16475</v>
      </c>
      <c r="O715" s="74">
        <f t="shared" si="409"/>
        <v>14.125</v>
      </c>
      <c r="P715" s="74">
        <f t="shared" si="410"/>
        <v>15.079499999999999</v>
      </c>
      <c r="Q715" s="74">
        <f t="shared" si="411"/>
        <v>16.033999999999999</v>
      </c>
      <c r="R715" s="114">
        <v>17</v>
      </c>
      <c r="S715" s="129"/>
      <c r="T715" s="117">
        <f>SUM((BX20+BY19+BZ18+CA17+CB16+CC15+CD14+CE13+CF12+CG11+CG10+BV4)*0.132,(CF9+CE9+CD8+CC8+CB7+CA7+BZ6+BY6+BX5+BW5)*0.132/2,17)</f>
        <v>19.433538461538461</v>
      </c>
      <c r="U715" s="117"/>
      <c r="V715" s="129"/>
      <c r="W715" s="114"/>
    </row>
    <row r="716" spans="2:23">
      <c r="B716" s="114">
        <v>17</v>
      </c>
      <c r="C716" s="74">
        <f t="shared" si="381"/>
        <v>16.25</v>
      </c>
      <c r="D716" s="74">
        <f t="shared" si="382"/>
        <v>15.5</v>
      </c>
      <c r="E716" s="74">
        <f t="shared" si="383"/>
        <v>14.75</v>
      </c>
      <c r="F716" s="114">
        <v>14</v>
      </c>
      <c r="G716" s="74">
        <f t="shared" si="384"/>
        <v>13.25</v>
      </c>
      <c r="H716" s="74">
        <f t="shared" si="385"/>
        <v>12.5</v>
      </c>
      <c r="I716" s="74">
        <f t="shared" si="386"/>
        <v>11.75</v>
      </c>
      <c r="J716" s="114">
        <f t="shared" si="387"/>
        <v>11</v>
      </c>
      <c r="K716" s="74">
        <f t="shared" si="406"/>
        <v>10.4375</v>
      </c>
      <c r="L716" s="114">
        <f t="shared" si="393"/>
        <v>9.875</v>
      </c>
      <c r="M716" s="115">
        <f t="shared" si="407"/>
        <v>11.05775</v>
      </c>
      <c r="N716" s="115">
        <f t="shared" si="408"/>
        <v>12.247624999999999</v>
      </c>
      <c r="O716" s="74">
        <f t="shared" si="409"/>
        <v>13.4375</v>
      </c>
      <c r="P716" s="74">
        <f t="shared" si="410"/>
        <v>14.62025</v>
      </c>
      <c r="Q716" s="74">
        <f t="shared" si="411"/>
        <v>15.803000000000001</v>
      </c>
      <c r="R716" s="114">
        <v>17</v>
      </c>
      <c r="S716" s="129"/>
      <c r="T716" s="117">
        <f>SUM((BV20+BY18+CB16+CE14+CH12+CI11+CJ10)*0.132,(BW19+BX19+BZ17+CA17+CC15+CD15+CF13+CG13+CC7+CB7+CA6+BZ6+BY5+BX5+BW4+BV4)*0.132/2,(CI9+CH9+CG9+CF8+CE8+CD8)*0.132/3,17)</f>
        <v>18.927538461538461</v>
      </c>
      <c r="U716" s="117"/>
      <c r="V716" s="129"/>
      <c r="W716" s="114"/>
    </row>
    <row r="717" spans="2:23">
      <c r="B717" s="114">
        <v>18</v>
      </c>
      <c r="C717" s="74">
        <f t="shared" si="381"/>
        <v>17</v>
      </c>
      <c r="D717" s="74">
        <f t="shared" si="382"/>
        <v>16</v>
      </c>
      <c r="E717" s="74">
        <f t="shared" si="383"/>
        <v>15</v>
      </c>
      <c r="F717" s="114">
        <v>14</v>
      </c>
      <c r="G717" s="74">
        <f t="shared" si="384"/>
        <v>13</v>
      </c>
      <c r="H717" s="74">
        <f t="shared" si="385"/>
        <v>12</v>
      </c>
      <c r="I717" s="74">
        <f t="shared" si="386"/>
        <v>11</v>
      </c>
      <c r="J717" s="114">
        <f t="shared" si="387"/>
        <v>10</v>
      </c>
      <c r="K717" s="74">
        <f t="shared" si="406"/>
        <v>9.25</v>
      </c>
      <c r="L717" s="114">
        <f t="shared" si="393"/>
        <v>8.5</v>
      </c>
      <c r="M717" s="115">
        <f t="shared" si="407"/>
        <v>9.9109999999999996</v>
      </c>
      <c r="N717" s="115">
        <f t="shared" si="408"/>
        <v>11.330500000000001</v>
      </c>
      <c r="O717" s="74">
        <f t="shared" si="409"/>
        <v>12.75</v>
      </c>
      <c r="P717" s="74">
        <f t="shared" si="410"/>
        <v>14.161000000000001</v>
      </c>
      <c r="Q717" s="74">
        <f t="shared" si="411"/>
        <v>15.571999999999999</v>
      </c>
      <c r="R717" s="114">
        <v>17</v>
      </c>
      <c r="S717" s="129"/>
      <c r="T717" s="117">
        <f>SUM((BU19+BV19+BW18+BX18+BY17+BZ17+CA16+CB16+CC15+CD15+CE14+CF14+CG13+CH13+CI12+CJ12+CK11+CL11)*0.132/2,(BT20+CM10)*0.132,(CL9+CK9+CJ9+CI8+CH8+CG8+CF7+CE7+CD7+CC6+CB6+CA6+BZ5+BY5+BX5)*0.132/3,(BW4+BV4)*0.132/2,17)</f>
        <v>18.751538461538459</v>
      </c>
      <c r="U717" s="117"/>
      <c r="V717" s="129"/>
      <c r="W717" s="114"/>
    </row>
    <row r="718" spans="2:23">
      <c r="B718" s="114">
        <v>19</v>
      </c>
      <c r="C718" s="74">
        <f t="shared" si="381"/>
        <v>17.75</v>
      </c>
      <c r="D718" s="74">
        <f t="shared" si="382"/>
        <v>16.5</v>
      </c>
      <c r="E718" s="74">
        <f t="shared" si="383"/>
        <v>15.25</v>
      </c>
      <c r="F718" s="114">
        <v>14</v>
      </c>
      <c r="G718" s="74">
        <f t="shared" si="384"/>
        <v>12.75</v>
      </c>
      <c r="H718" s="74">
        <f t="shared" si="385"/>
        <v>11.5</v>
      </c>
      <c r="I718" s="74">
        <f t="shared" si="386"/>
        <v>10.25</v>
      </c>
      <c r="J718" s="114">
        <f t="shared" si="387"/>
        <v>9</v>
      </c>
      <c r="K718" s="74">
        <f t="shared" si="406"/>
        <v>8.0625</v>
      </c>
      <c r="L718" s="114">
        <f t="shared" si="393"/>
        <v>7.125</v>
      </c>
      <c r="M718" s="115">
        <f t="shared" si="407"/>
        <v>8.7642500000000005</v>
      </c>
      <c r="N718" s="115">
        <f t="shared" si="408"/>
        <v>10.413375</v>
      </c>
      <c r="O718" s="74">
        <f t="shared" si="409"/>
        <v>12.0625</v>
      </c>
      <c r="P718" s="74">
        <f t="shared" si="410"/>
        <v>13.701750000000001</v>
      </c>
      <c r="Q718" s="74">
        <f t="shared" si="411"/>
        <v>15.340999999999999</v>
      </c>
      <c r="R718" s="114">
        <v>17</v>
      </c>
      <c r="S718" s="129"/>
      <c r="T718" s="117">
        <f>SUM((BR20+BS20+BT19+BU19+BY17+BZ17+CA16+CB16+CF14+CG14+CK12+CL12+CM11+CN11+CO10+CP10)*0.132/2,(BV18+BW18+BX18+CC15+CD15+CE15+CH13+CI13+CJ13+CG7+CF7+CE7+CD6+CC6+CB6+CA5+BZ5+BY5+BX4+BW4+BV4)*0.132/3,(CO9+CN9++CM9+CL9+CK8+CJ8+CI8+CH8)*0.132/4,17)</f>
        <v>18.83953846153846</v>
      </c>
      <c r="U718" s="117"/>
      <c r="V718" s="129"/>
      <c r="W718" s="114"/>
    </row>
    <row r="719" spans="2:23">
      <c r="B719" s="114">
        <v>20</v>
      </c>
      <c r="C719" s="74">
        <f t="shared" si="381"/>
        <v>18.5</v>
      </c>
      <c r="D719" s="74">
        <f t="shared" si="382"/>
        <v>17</v>
      </c>
      <c r="E719" s="74">
        <f t="shared" si="383"/>
        <v>15.5</v>
      </c>
      <c r="F719" s="114">
        <v>14</v>
      </c>
      <c r="G719" s="74">
        <f t="shared" si="384"/>
        <v>12.5</v>
      </c>
      <c r="H719" s="74">
        <f t="shared" si="385"/>
        <v>11</v>
      </c>
      <c r="I719" s="74">
        <f t="shared" si="386"/>
        <v>9.5</v>
      </c>
      <c r="J719" s="114">
        <f t="shared" si="387"/>
        <v>8</v>
      </c>
      <c r="K719" s="74">
        <f t="shared" si="406"/>
        <v>6.875</v>
      </c>
      <c r="L719" s="114">
        <f t="shared" si="393"/>
        <v>5.75</v>
      </c>
      <c r="M719" s="115">
        <f t="shared" si="407"/>
        <v>7.6174999999999997</v>
      </c>
      <c r="N719" s="115">
        <f t="shared" si="408"/>
        <v>9.4962499999999999</v>
      </c>
      <c r="O719" s="74">
        <f t="shared" si="409"/>
        <v>11.375</v>
      </c>
      <c r="P719" s="74">
        <f t="shared" si="410"/>
        <v>13.2425</v>
      </c>
      <c r="Q719" s="74">
        <f t="shared" si="411"/>
        <v>15.11</v>
      </c>
      <c r="R719" s="114">
        <v>17</v>
      </c>
      <c r="S719" s="129"/>
      <c r="T719" s="117">
        <f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18.48753846153846</v>
      </c>
      <c r="U719" s="117"/>
      <c r="V719" s="129"/>
      <c r="W719" s="114"/>
    </row>
    <row r="720" spans="2:23">
      <c r="B720" s="114">
        <v>21</v>
      </c>
      <c r="C720" s="74">
        <f t="shared" si="381"/>
        <v>19.25</v>
      </c>
      <c r="D720" s="74">
        <f t="shared" si="382"/>
        <v>17.5</v>
      </c>
      <c r="E720" s="74">
        <f t="shared" si="383"/>
        <v>15.75</v>
      </c>
      <c r="F720" s="114">
        <v>14</v>
      </c>
      <c r="G720" s="74">
        <f t="shared" si="384"/>
        <v>12.25</v>
      </c>
      <c r="H720" s="74">
        <f t="shared" si="385"/>
        <v>10.5</v>
      </c>
      <c r="I720" s="74">
        <f t="shared" si="386"/>
        <v>8.75</v>
      </c>
      <c r="J720" s="114">
        <f t="shared" si="387"/>
        <v>7</v>
      </c>
      <c r="K720" s="74">
        <f t="shared" si="406"/>
        <v>5.6875</v>
      </c>
      <c r="L720" s="114">
        <f t="shared" si="393"/>
        <v>4.375</v>
      </c>
      <c r="M720" s="115">
        <f t="shared" si="407"/>
        <v>6.4707500000000007</v>
      </c>
      <c r="N720" s="115">
        <f t="shared" si="408"/>
        <v>8.5791250000000012</v>
      </c>
      <c r="O720" s="74">
        <f t="shared" si="409"/>
        <v>10.6875</v>
      </c>
      <c r="P720" s="74">
        <f t="shared" si="410"/>
        <v>12.783250000000001</v>
      </c>
      <c r="Q720" s="74">
        <f t="shared" si="411"/>
        <v>14.879</v>
      </c>
      <c r="R720" s="114">
        <v>17</v>
      </c>
      <c r="S720" s="129"/>
      <c r="T720" s="117">
        <f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18.500738461538461</v>
      </c>
      <c r="U720" s="117"/>
      <c r="V720" s="129"/>
      <c r="W720" s="114"/>
    </row>
    <row r="721" spans="2:23">
      <c r="B721" s="114">
        <v>22</v>
      </c>
      <c r="C721" s="74">
        <f t="shared" si="381"/>
        <v>20</v>
      </c>
      <c r="D721" s="74">
        <f t="shared" si="382"/>
        <v>18</v>
      </c>
      <c r="E721" s="74">
        <f t="shared" si="383"/>
        <v>16</v>
      </c>
      <c r="F721" s="114">
        <v>14</v>
      </c>
      <c r="G721" s="74">
        <f t="shared" si="384"/>
        <v>12</v>
      </c>
      <c r="H721" s="74">
        <f t="shared" si="385"/>
        <v>10</v>
      </c>
      <c r="I721" s="74">
        <f t="shared" si="386"/>
        <v>8</v>
      </c>
      <c r="J721" s="114">
        <f t="shared" si="387"/>
        <v>6</v>
      </c>
      <c r="K721" s="74">
        <f t="shared" si="406"/>
        <v>4.5</v>
      </c>
      <c r="L721" s="114">
        <f t="shared" si="393"/>
        <v>3</v>
      </c>
      <c r="M721" s="115">
        <f t="shared" si="407"/>
        <v>5.3239999999999998</v>
      </c>
      <c r="N721" s="115">
        <f t="shared" si="408"/>
        <v>7.6619999999999999</v>
      </c>
      <c r="O721" s="74">
        <f t="shared" si="409"/>
        <v>10</v>
      </c>
      <c r="P721" s="74">
        <f t="shared" si="410"/>
        <v>12.324</v>
      </c>
      <c r="Q721" s="74">
        <f t="shared" si="411"/>
        <v>14.648</v>
      </c>
      <c r="R721" s="114">
        <v>17</v>
      </c>
      <c r="S721" s="129"/>
      <c r="T721" s="117">
        <f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18.192738461538461</v>
      </c>
      <c r="U721" s="117"/>
      <c r="V721" s="129"/>
      <c r="W721" s="114"/>
    </row>
    <row r="722" spans="2:23">
      <c r="B722" s="114">
        <v>23</v>
      </c>
      <c r="C722" s="74">
        <f t="shared" si="381"/>
        <v>20.75</v>
      </c>
      <c r="D722" s="74">
        <f t="shared" si="382"/>
        <v>18.5</v>
      </c>
      <c r="E722" s="74">
        <f t="shared" si="383"/>
        <v>16.25</v>
      </c>
      <c r="F722" s="114">
        <v>14</v>
      </c>
      <c r="G722" s="74">
        <f t="shared" si="384"/>
        <v>11.75</v>
      </c>
      <c r="H722" s="74">
        <f t="shared" si="385"/>
        <v>9.5</v>
      </c>
      <c r="I722" s="74">
        <f t="shared" si="386"/>
        <v>7.25</v>
      </c>
      <c r="J722" s="114">
        <f t="shared" si="387"/>
        <v>5</v>
      </c>
      <c r="K722" s="74">
        <f t="shared" si="406"/>
        <v>3.3125</v>
      </c>
      <c r="L722" s="114">
        <f t="shared" si="393"/>
        <v>1.625</v>
      </c>
      <c r="M722" s="115">
        <f t="shared" si="407"/>
        <v>4.1772500000000008</v>
      </c>
      <c r="N722" s="115">
        <f t="shared" si="408"/>
        <v>6.7448750000000004</v>
      </c>
      <c r="O722" s="74">
        <f t="shared" si="409"/>
        <v>9.3125</v>
      </c>
      <c r="P722" s="74">
        <f t="shared" si="410"/>
        <v>11.864750000000001</v>
      </c>
      <c r="Q722" s="74">
        <f t="shared" si="411"/>
        <v>14.417</v>
      </c>
      <c r="R722" s="114">
        <v>17</v>
      </c>
      <c r="S722" s="129"/>
      <c r="T722" s="117">
        <f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17.937538461538463</v>
      </c>
      <c r="U722" s="117"/>
      <c r="V722" s="129"/>
      <c r="W722" s="114"/>
    </row>
    <row r="723" spans="2:23">
      <c r="B723" s="114"/>
      <c r="C723" s="74"/>
      <c r="D723" s="74"/>
      <c r="E723" s="74"/>
      <c r="F723" s="114"/>
      <c r="G723" s="74"/>
      <c r="H723" s="74"/>
      <c r="I723" s="74"/>
      <c r="J723" s="114"/>
      <c r="K723" s="74"/>
      <c r="L723" s="114"/>
      <c r="M723" s="115"/>
      <c r="N723" s="115"/>
      <c r="O723" s="74"/>
      <c r="P723" s="74"/>
      <c r="Q723" s="74"/>
      <c r="R723" s="114"/>
      <c r="S723" s="129"/>
      <c r="T723" s="117"/>
      <c r="U723" s="117"/>
      <c r="V723" s="129"/>
      <c r="W723" s="114"/>
    </row>
    <row r="724" spans="2:23">
      <c r="B724" s="114">
        <v>15</v>
      </c>
      <c r="C724" s="74">
        <f t="shared" si="381"/>
        <v>15</v>
      </c>
      <c r="D724" s="74">
        <f t="shared" si="382"/>
        <v>15</v>
      </c>
      <c r="E724" s="74">
        <f t="shared" si="383"/>
        <v>15</v>
      </c>
      <c r="F724" s="114">
        <v>15</v>
      </c>
      <c r="G724" s="74">
        <f t="shared" si="384"/>
        <v>15</v>
      </c>
      <c r="H724" s="74">
        <f t="shared" si="385"/>
        <v>15</v>
      </c>
      <c r="I724" s="74">
        <f t="shared" si="386"/>
        <v>15</v>
      </c>
      <c r="J724" s="114">
        <f t="shared" si="387"/>
        <v>15</v>
      </c>
      <c r="K724" s="74">
        <f t="shared" ref="K724:K734" si="412">SUM(0.5*(L724-J724),J724)</f>
        <v>15.1</v>
      </c>
      <c r="L724" s="114">
        <f>SUM(J724,J724,-H724,0.25*ABS(J724-H724),0.1*(17-F724))</f>
        <v>15.2</v>
      </c>
      <c r="M724" s="115">
        <f t="shared" ref="M724:M734" si="413">SUM(0.166*(R724-L724),L724)</f>
        <v>15.498799999999999</v>
      </c>
      <c r="N724" s="115">
        <f t="shared" ref="N724:N734" si="414">SUM(0.333*(R724-L724),L724)</f>
        <v>15.7994</v>
      </c>
      <c r="O724" s="74">
        <f t="shared" ref="O724:O734" si="415">SUM(0.5*(R724-L724),L724)</f>
        <v>16.100000000000001</v>
      </c>
      <c r="P724" s="74">
        <f t="shared" ref="P724:P734" si="416">SUM(0.666*(R724-L724),L724)</f>
        <v>16.398800000000001</v>
      </c>
      <c r="Q724" s="74">
        <f t="shared" ref="Q724:Q734" si="417">SUM(0.832*(R724-L724),L724)</f>
        <v>16.697600000000001</v>
      </c>
      <c r="R724" s="114">
        <v>17</v>
      </c>
      <c r="S724" s="129"/>
      <c r="T724" s="117">
        <f>SUM((BZ20+BZ19+BZ18+BZ17+BZ16+BZ15+BZ14+BZ13+BZ12+BZ11+BZ10+BY9+BX8+BW7+BW6+BV5+BV4)*0.132,17)</f>
        <v>18.443538461538463</v>
      </c>
      <c r="U724" s="117"/>
      <c r="V724" s="129"/>
      <c r="W724" s="114"/>
    </row>
    <row r="725" spans="2:23">
      <c r="B725" s="114">
        <v>16</v>
      </c>
      <c r="C725" s="74">
        <f t="shared" si="381"/>
        <v>15.75</v>
      </c>
      <c r="D725" s="74">
        <f t="shared" si="382"/>
        <v>15.5</v>
      </c>
      <c r="E725" s="74">
        <f t="shared" si="383"/>
        <v>15.25</v>
      </c>
      <c r="F725" s="114">
        <v>15</v>
      </c>
      <c r="G725" s="74">
        <f t="shared" si="384"/>
        <v>14.75</v>
      </c>
      <c r="H725" s="74">
        <f t="shared" si="385"/>
        <v>14.5</v>
      </c>
      <c r="I725" s="74">
        <f t="shared" si="386"/>
        <v>14.25</v>
      </c>
      <c r="J725" s="114">
        <f t="shared" si="387"/>
        <v>14</v>
      </c>
      <c r="K725" s="74">
        <f t="shared" si="412"/>
        <v>13.8125</v>
      </c>
      <c r="L725" s="114">
        <f t="shared" si="393"/>
        <v>13.625</v>
      </c>
      <c r="M725" s="115">
        <f t="shared" si="413"/>
        <v>14.18525</v>
      </c>
      <c r="N725" s="115">
        <f t="shared" si="414"/>
        <v>14.748875</v>
      </c>
      <c r="O725" s="74">
        <f t="shared" si="415"/>
        <v>15.3125</v>
      </c>
      <c r="P725" s="74">
        <f t="shared" si="416"/>
        <v>15.87275</v>
      </c>
      <c r="Q725" s="74">
        <f t="shared" si="417"/>
        <v>16.433</v>
      </c>
      <c r="R725" s="114">
        <v>17</v>
      </c>
      <c r="S725" s="129"/>
      <c r="T725" s="117">
        <f>SUM((BX20+BY19+BY18+BZ17+BZ16+CA15+CA14+CB13+CB12+CC11+CC10+BZ8+BY7+BX6+BW5+BV4)*0.132,(CB9+CA9)*0.132/2,17)</f>
        <v>19.103538461538463</v>
      </c>
      <c r="U725" s="117"/>
      <c r="V725" s="129"/>
      <c r="W725" s="114"/>
    </row>
    <row r="726" spans="2:23">
      <c r="B726" s="114">
        <v>17</v>
      </c>
      <c r="C726" s="74">
        <f t="shared" si="381"/>
        <v>16.5</v>
      </c>
      <c r="D726" s="74">
        <f t="shared" si="382"/>
        <v>16</v>
      </c>
      <c r="E726" s="74">
        <f t="shared" si="383"/>
        <v>15.5</v>
      </c>
      <c r="F726" s="114">
        <v>15</v>
      </c>
      <c r="G726" s="74">
        <f t="shared" si="384"/>
        <v>14.5</v>
      </c>
      <c r="H726" s="74">
        <f t="shared" si="385"/>
        <v>14</v>
      </c>
      <c r="I726" s="74">
        <f t="shared" si="386"/>
        <v>13.5</v>
      </c>
      <c r="J726" s="114">
        <f t="shared" si="387"/>
        <v>13</v>
      </c>
      <c r="K726" s="74">
        <f t="shared" si="412"/>
        <v>12.625</v>
      </c>
      <c r="L726" s="114">
        <f t="shared" si="393"/>
        <v>12.25</v>
      </c>
      <c r="M726" s="115">
        <f t="shared" si="413"/>
        <v>13.038500000000001</v>
      </c>
      <c r="N726" s="115">
        <f t="shared" si="414"/>
        <v>13.83175</v>
      </c>
      <c r="O726" s="74">
        <f t="shared" si="415"/>
        <v>14.625</v>
      </c>
      <c r="P726" s="74">
        <f t="shared" si="416"/>
        <v>15.413499999999999</v>
      </c>
      <c r="Q726" s="74">
        <f t="shared" si="417"/>
        <v>16.201999999999998</v>
      </c>
      <c r="R726" s="114">
        <v>17</v>
      </c>
      <c r="S726" s="129"/>
      <c r="T726" s="117">
        <f>SUM((BV20+BW19+BX18+BY17+BZ16+CA15+CB14+CC13+CD12+CE11+CE10+BX6+BW5+BV4)*0.132,(CD9+CC9+CB8+CA8+BZ7+BY7)*0.132/2,17)</f>
        <v>19.235538461538461</v>
      </c>
      <c r="U726" s="117"/>
      <c r="V726" s="129"/>
      <c r="W726" s="114"/>
    </row>
    <row r="727" spans="2:23">
      <c r="B727" s="114">
        <v>18</v>
      </c>
      <c r="C727" s="74">
        <f t="shared" si="381"/>
        <v>17.25</v>
      </c>
      <c r="D727" s="74">
        <f t="shared" si="382"/>
        <v>16.5</v>
      </c>
      <c r="E727" s="74">
        <f t="shared" si="383"/>
        <v>15.75</v>
      </c>
      <c r="F727" s="114">
        <v>15</v>
      </c>
      <c r="G727" s="74">
        <f t="shared" si="384"/>
        <v>14.25</v>
      </c>
      <c r="H727" s="74">
        <f t="shared" si="385"/>
        <v>13.5</v>
      </c>
      <c r="I727" s="74">
        <f t="shared" si="386"/>
        <v>12.75</v>
      </c>
      <c r="J727" s="114">
        <f t="shared" si="387"/>
        <v>12</v>
      </c>
      <c r="K727" s="74">
        <f t="shared" si="412"/>
        <v>11.4375</v>
      </c>
      <c r="L727" s="114">
        <f t="shared" si="393"/>
        <v>10.875</v>
      </c>
      <c r="M727" s="115">
        <f t="shared" si="413"/>
        <v>11.89175</v>
      </c>
      <c r="N727" s="115">
        <f t="shared" si="414"/>
        <v>12.914625000000001</v>
      </c>
      <c r="O727" s="74">
        <f t="shared" si="415"/>
        <v>13.9375</v>
      </c>
      <c r="P727" s="74">
        <f t="shared" si="416"/>
        <v>14.95425</v>
      </c>
      <c r="Q727" s="74">
        <f t="shared" si="417"/>
        <v>15.971</v>
      </c>
      <c r="R727" s="114">
        <v>17</v>
      </c>
      <c r="S727" s="129"/>
      <c r="T727" s="117">
        <f>SUM((BT20+BW18+BZ16+CC14+CF12+CG11+CH10)*0.132,(BU19+BV19+BX17+BY17+CA15+CB15+CD13+CE13+CG9+CF9+CE8+CD8+CC7+CB7+CA6+BZ6+BY5+BX5+BW4+BV4)*0.132/2,17)</f>
        <v>18.707538461538462</v>
      </c>
      <c r="U727" s="117"/>
      <c r="V727" s="129"/>
      <c r="W727" s="114"/>
    </row>
    <row r="728" spans="2:23">
      <c r="B728" s="114">
        <v>19</v>
      </c>
      <c r="C728" s="74">
        <f t="shared" si="381"/>
        <v>18</v>
      </c>
      <c r="D728" s="74">
        <f t="shared" si="382"/>
        <v>17</v>
      </c>
      <c r="E728" s="74">
        <f t="shared" si="383"/>
        <v>16</v>
      </c>
      <c r="F728" s="114">
        <v>15</v>
      </c>
      <c r="G728" s="74">
        <f t="shared" si="384"/>
        <v>14</v>
      </c>
      <c r="H728" s="74">
        <f t="shared" si="385"/>
        <v>13</v>
      </c>
      <c r="I728" s="74">
        <f t="shared" si="386"/>
        <v>12</v>
      </c>
      <c r="J728" s="114">
        <f t="shared" si="387"/>
        <v>11</v>
      </c>
      <c r="K728" s="74">
        <f t="shared" si="412"/>
        <v>10.25</v>
      </c>
      <c r="L728" s="114">
        <f t="shared" si="393"/>
        <v>9.5</v>
      </c>
      <c r="M728" s="115">
        <f t="shared" si="413"/>
        <v>10.745000000000001</v>
      </c>
      <c r="N728" s="115">
        <f t="shared" si="414"/>
        <v>11.9975</v>
      </c>
      <c r="O728" s="74">
        <f t="shared" si="415"/>
        <v>13.25</v>
      </c>
      <c r="P728" s="74">
        <f t="shared" si="416"/>
        <v>14.495000000000001</v>
      </c>
      <c r="Q728" s="74">
        <f t="shared" si="417"/>
        <v>15.739999999999998</v>
      </c>
      <c r="R728" s="114">
        <v>17</v>
      </c>
      <c r="S728" s="129"/>
      <c r="T728" s="117">
        <f>SUM((BS19+BT19+BU18+BV18+BW17+BX17+BY16+BZ16+CA15+CB15+CC14+CD14+CE13+CF13+CG12+CH12+CI11+CJ11)*0.132/2,(BR20+CK10)*0.132,(CJ9+CI9+CH9+CG8+CF8+CE8+CD7+CC7+CB7)*0.132/3,(CA6+BZ6+BY5+BX5+BW4+BV4)*0.132/2,17)</f>
        <v>19.103538461538459</v>
      </c>
      <c r="U728" s="117"/>
      <c r="V728" s="129"/>
      <c r="W728" s="114"/>
    </row>
    <row r="729" spans="2:23">
      <c r="B729" s="114">
        <v>20</v>
      </c>
      <c r="C729" s="74">
        <f t="shared" si="381"/>
        <v>18.75</v>
      </c>
      <c r="D729" s="74">
        <f t="shared" si="382"/>
        <v>17.5</v>
      </c>
      <c r="E729" s="74">
        <f t="shared" si="383"/>
        <v>16.25</v>
      </c>
      <c r="F729" s="114">
        <v>15</v>
      </c>
      <c r="G729" s="74">
        <f t="shared" si="384"/>
        <v>13.75</v>
      </c>
      <c r="H729" s="74">
        <f t="shared" si="385"/>
        <v>12.5</v>
      </c>
      <c r="I729" s="74">
        <f t="shared" si="386"/>
        <v>11.25</v>
      </c>
      <c r="J729" s="114">
        <f t="shared" si="387"/>
        <v>10</v>
      </c>
      <c r="K729" s="74">
        <f t="shared" si="412"/>
        <v>9.0625</v>
      </c>
      <c r="L729" s="114">
        <f t="shared" si="393"/>
        <v>8.125</v>
      </c>
      <c r="M729" s="115">
        <f t="shared" si="413"/>
        <v>9.5982500000000002</v>
      </c>
      <c r="N729" s="115">
        <f t="shared" si="414"/>
        <v>11.080375</v>
      </c>
      <c r="O729" s="74">
        <f t="shared" si="415"/>
        <v>12.5625</v>
      </c>
      <c r="P729" s="74">
        <f t="shared" si="416"/>
        <v>14.03575</v>
      </c>
      <c r="Q729" s="74">
        <f t="shared" si="417"/>
        <v>15.509</v>
      </c>
      <c r="R729" s="114">
        <v>17</v>
      </c>
      <c r="S729" s="129"/>
      <c r="T729" s="117">
        <f>SUM((BP20+BQ20+BR19+BS19+BW17+BX17+BY16+BZ16+CD14+CE14+CI12+CJ12+CK11+CL11+CM10+CN10)*0.132/2,(BT18+BU18+BV18+CA15+CB15+CC15+CF13+CG13+CH13+CM9+CL9+CK9+CJ8+CI8+CH8+CG7+CF7+CE7+CD6+CC6+CB6+CA5+BZ5+BY5+BX4+BW4+BV4)*0.132/3,17)</f>
        <v>18.619538461538461</v>
      </c>
      <c r="U729" s="117"/>
      <c r="V729" s="129"/>
      <c r="W729" s="114"/>
    </row>
    <row r="730" spans="2:23">
      <c r="B730" s="114">
        <v>21</v>
      </c>
      <c r="C730" s="74">
        <f t="shared" si="381"/>
        <v>19.5</v>
      </c>
      <c r="D730" s="74">
        <f t="shared" si="382"/>
        <v>18</v>
      </c>
      <c r="E730" s="74">
        <f t="shared" si="383"/>
        <v>16.5</v>
      </c>
      <c r="F730" s="114">
        <v>15</v>
      </c>
      <c r="G730" s="74">
        <f t="shared" si="384"/>
        <v>13.5</v>
      </c>
      <c r="H730" s="74">
        <f t="shared" si="385"/>
        <v>12</v>
      </c>
      <c r="I730" s="74">
        <f t="shared" si="386"/>
        <v>10.5</v>
      </c>
      <c r="J730" s="114">
        <f t="shared" si="387"/>
        <v>9</v>
      </c>
      <c r="K730" s="74">
        <f t="shared" si="412"/>
        <v>7.875</v>
      </c>
      <c r="L730" s="114">
        <f t="shared" si="393"/>
        <v>6.75</v>
      </c>
      <c r="M730" s="115">
        <f t="shared" si="413"/>
        <v>8.4514999999999993</v>
      </c>
      <c r="N730" s="115">
        <f t="shared" si="414"/>
        <v>10.16325</v>
      </c>
      <c r="O730" s="74">
        <f t="shared" si="415"/>
        <v>11.875</v>
      </c>
      <c r="P730" s="74">
        <f t="shared" si="416"/>
        <v>13.576499999999999</v>
      </c>
      <c r="Q730" s="74">
        <f t="shared" si="417"/>
        <v>15.278</v>
      </c>
      <c r="R730" s="114">
        <v>17</v>
      </c>
      <c r="S730" s="129"/>
      <c r="T730" s="117">
        <f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18.421538461538461</v>
      </c>
      <c r="U730" s="117"/>
      <c r="V730" s="129"/>
      <c r="W730" s="114"/>
    </row>
    <row r="731" spans="2:23">
      <c r="B731" s="114">
        <v>22</v>
      </c>
      <c r="C731" s="74">
        <f t="shared" si="381"/>
        <v>20.25</v>
      </c>
      <c r="D731" s="74">
        <f t="shared" si="382"/>
        <v>18.5</v>
      </c>
      <c r="E731" s="74">
        <f t="shared" si="383"/>
        <v>16.75</v>
      </c>
      <c r="F731" s="114">
        <v>15</v>
      </c>
      <c r="G731" s="74">
        <f t="shared" si="384"/>
        <v>13.25</v>
      </c>
      <c r="H731" s="74">
        <f t="shared" si="385"/>
        <v>11.5</v>
      </c>
      <c r="I731" s="74">
        <f t="shared" si="386"/>
        <v>9.75</v>
      </c>
      <c r="J731" s="114">
        <f t="shared" si="387"/>
        <v>8</v>
      </c>
      <c r="K731" s="74">
        <f t="shared" si="412"/>
        <v>6.6875</v>
      </c>
      <c r="L731" s="114">
        <f t="shared" si="393"/>
        <v>5.375</v>
      </c>
      <c r="M731" s="115">
        <f t="shared" si="413"/>
        <v>7.3047500000000003</v>
      </c>
      <c r="N731" s="115">
        <f t="shared" si="414"/>
        <v>9.2461249999999993</v>
      </c>
      <c r="O731" s="74">
        <f t="shared" si="415"/>
        <v>11.1875</v>
      </c>
      <c r="P731" s="74">
        <f t="shared" si="416"/>
        <v>13.11725</v>
      </c>
      <c r="Q731" s="74">
        <f t="shared" si="417"/>
        <v>15.046999999999999</v>
      </c>
      <c r="R731" s="114">
        <v>17</v>
      </c>
      <c r="S731" s="129"/>
      <c r="T731" s="117">
        <f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18.22353846153846</v>
      </c>
      <c r="U731" s="117"/>
      <c r="V731" s="129"/>
      <c r="W731" s="114"/>
    </row>
    <row r="732" spans="2:23">
      <c r="B732" s="114">
        <v>23</v>
      </c>
      <c r="C732" s="74">
        <f t="shared" si="381"/>
        <v>21</v>
      </c>
      <c r="D732" s="74">
        <f t="shared" si="382"/>
        <v>19</v>
      </c>
      <c r="E732" s="74">
        <f t="shared" si="383"/>
        <v>17</v>
      </c>
      <c r="F732" s="114">
        <v>15</v>
      </c>
      <c r="G732" s="74">
        <f t="shared" si="384"/>
        <v>13</v>
      </c>
      <c r="H732" s="74">
        <f t="shared" si="385"/>
        <v>11</v>
      </c>
      <c r="I732" s="74">
        <f t="shared" si="386"/>
        <v>9</v>
      </c>
      <c r="J732" s="114">
        <f t="shared" si="387"/>
        <v>7</v>
      </c>
      <c r="K732" s="74">
        <f t="shared" si="412"/>
        <v>5.5</v>
      </c>
      <c r="L732" s="114">
        <f t="shared" si="393"/>
        <v>4</v>
      </c>
      <c r="M732" s="115">
        <f t="shared" si="413"/>
        <v>6.1579999999999995</v>
      </c>
      <c r="N732" s="115">
        <f t="shared" si="414"/>
        <v>8.3290000000000006</v>
      </c>
      <c r="O732" s="74">
        <f t="shared" si="415"/>
        <v>10.5</v>
      </c>
      <c r="P732" s="74">
        <f t="shared" si="416"/>
        <v>12.658000000000001</v>
      </c>
      <c r="Q732" s="74">
        <f t="shared" si="417"/>
        <v>14.815999999999999</v>
      </c>
      <c r="R732" s="114">
        <v>17</v>
      </c>
      <c r="S732" s="129"/>
      <c r="T732" s="117">
        <f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18.186138461538462</v>
      </c>
      <c r="U732" s="117"/>
      <c r="V732" s="129"/>
      <c r="W732" s="114"/>
    </row>
    <row r="733" spans="2:23">
      <c r="B733" s="114">
        <v>24</v>
      </c>
      <c r="C733" s="74">
        <f t="shared" si="381"/>
        <v>21.75</v>
      </c>
      <c r="D733" s="74">
        <f t="shared" si="382"/>
        <v>19.5</v>
      </c>
      <c r="E733" s="74">
        <f t="shared" si="383"/>
        <v>17.25</v>
      </c>
      <c r="F733" s="114">
        <v>15</v>
      </c>
      <c r="G733" s="74">
        <f t="shared" si="384"/>
        <v>12.75</v>
      </c>
      <c r="H733" s="74">
        <f t="shared" si="385"/>
        <v>10.5</v>
      </c>
      <c r="I733" s="74">
        <f t="shared" si="386"/>
        <v>8.25</v>
      </c>
      <c r="J733" s="114">
        <f t="shared" si="387"/>
        <v>6</v>
      </c>
      <c r="K733" s="74">
        <f t="shared" si="412"/>
        <v>4.3125</v>
      </c>
      <c r="L733" s="114">
        <f t="shared" si="393"/>
        <v>2.625</v>
      </c>
      <c r="M733" s="115">
        <f t="shared" si="413"/>
        <v>5.0112500000000004</v>
      </c>
      <c r="N733" s="115">
        <f t="shared" si="414"/>
        <v>7.4118750000000002</v>
      </c>
      <c r="O733" s="74">
        <f t="shared" si="415"/>
        <v>9.8125</v>
      </c>
      <c r="P733" s="74">
        <f t="shared" si="416"/>
        <v>12.19875</v>
      </c>
      <c r="Q733" s="74">
        <f t="shared" si="417"/>
        <v>14.584999999999999</v>
      </c>
      <c r="R733" s="114">
        <v>17</v>
      </c>
      <c r="S733" s="129"/>
      <c r="T733" s="117">
        <f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17.968338461538462</v>
      </c>
      <c r="U733" s="117"/>
      <c r="V733" s="129"/>
      <c r="W733" s="114"/>
    </row>
    <row r="734" spans="2:23">
      <c r="B734" s="114">
        <v>25</v>
      </c>
      <c r="C734" s="74">
        <f t="shared" si="381"/>
        <v>22.5</v>
      </c>
      <c r="D734" s="74">
        <f t="shared" si="382"/>
        <v>20</v>
      </c>
      <c r="E734" s="74">
        <f t="shared" si="383"/>
        <v>17.5</v>
      </c>
      <c r="F734" s="114">
        <v>15</v>
      </c>
      <c r="G734" s="74">
        <f t="shared" si="384"/>
        <v>12.5</v>
      </c>
      <c r="H734" s="74">
        <f t="shared" si="385"/>
        <v>10</v>
      </c>
      <c r="I734" s="74">
        <f t="shared" si="386"/>
        <v>7.5</v>
      </c>
      <c r="J734" s="114">
        <f t="shared" si="387"/>
        <v>5</v>
      </c>
      <c r="K734" s="74">
        <f t="shared" si="412"/>
        <v>3.125</v>
      </c>
      <c r="L734" s="114">
        <f t="shared" si="393"/>
        <v>1.25</v>
      </c>
      <c r="M734" s="115">
        <f t="shared" si="413"/>
        <v>3.8645</v>
      </c>
      <c r="N734" s="115">
        <f t="shared" si="414"/>
        <v>6.4947500000000007</v>
      </c>
      <c r="O734" s="74">
        <f t="shared" si="415"/>
        <v>9.125</v>
      </c>
      <c r="P734" s="74">
        <f t="shared" si="416"/>
        <v>11.739500000000001</v>
      </c>
      <c r="Q734" s="74">
        <f t="shared" si="417"/>
        <v>14.353999999999999</v>
      </c>
      <c r="R734" s="114">
        <v>17</v>
      </c>
      <c r="S734" s="129"/>
      <c r="T734" s="126">
        <f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17.790138461538461</v>
      </c>
      <c r="U734" s="126"/>
      <c r="V734" s="129"/>
      <c r="W734" s="114"/>
    </row>
    <row r="735" spans="2:23">
      <c r="B735" s="114"/>
      <c r="C735" s="74"/>
      <c r="D735" s="74"/>
      <c r="E735" s="74"/>
      <c r="F735" s="114"/>
      <c r="G735" s="74"/>
      <c r="H735" s="74"/>
      <c r="I735" s="74"/>
      <c r="J735" s="114"/>
      <c r="K735" s="74"/>
      <c r="L735" s="114"/>
      <c r="M735" s="115"/>
      <c r="N735" s="115"/>
      <c r="O735" s="74"/>
      <c r="P735" s="74"/>
      <c r="Q735" s="74"/>
      <c r="R735" s="114"/>
      <c r="S735" s="129"/>
      <c r="T735" s="117"/>
      <c r="U735" s="117"/>
      <c r="V735" s="129"/>
      <c r="W735" s="114"/>
    </row>
    <row r="736" spans="2:23">
      <c r="B736" s="114">
        <v>16</v>
      </c>
      <c r="C736" s="74">
        <f t="shared" ref="C736:C826" si="418">SUM(0.25*(F736-B736),B736)</f>
        <v>16</v>
      </c>
      <c r="D736" s="74">
        <f t="shared" ref="D736:D826" si="419">SUM(0.5*(F736-B736)+B736)</f>
        <v>16</v>
      </c>
      <c r="E736" s="74">
        <f t="shared" ref="E736:E826" si="420">SUM(0.75*(F736-B736),B736)</f>
        <v>16</v>
      </c>
      <c r="F736" s="114">
        <v>16</v>
      </c>
      <c r="G736" s="74">
        <f t="shared" ref="G736:G826" si="421">SUM(0.25*(J736-F736),F736)</f>
        <v>16</v>
      </c>
      <c r="H736" s="74">
        <f t="shared" ref="H736:H826" si="422">SUM(0.5*(J736-F736),F736)</f>
        <v>16</v>
      </c>
      <c r="I736" s="74">
        <f t="shared" ref="I736:I826" si="423">SUM(0.75*(J736-F736),F736)</f>
        <v>16</v>
      </c>
      <c r="J736" s="114">
        <f t="shared" ref="J736:J826" si="424">SUM(F736,-B736,F736)</f>
        <v>16</v>
      </c>
      <c r="K736" s="74">
        <f t="shared" ref="K736:K746" si="425">SUM(0.5*(L736-J736),J736)</f>
        <v>16.05</v>
      </c>
      <c r="L736" s="114">
        <f>SUM(J736,J736,-H736,0.25*ABS(J736-H736),0.1*(17-F736))</f>
        <v>16.100000000000001</v>
      </c>
      <c r="M736" s="115">
        <f t="shared" ref="M736:M746" si="426">SUM(0.166*(R736-L736),L736)</f>
        <v>16.249400000000001</v>
      </c>
      <c r="N736" s="115">
        <f t="shared" ref="N736:N746" si="427">SUM(0.333*(R736-L736),L736)</f>
        <v>16.399699999999999</v>
      </c>
      <c r="O736" s="74">
        <f t="shared" ref="O736:O746" si="428">SUM(0.5*(R736-L736),L736)</f>
        <v>16.55</v>
      </c>
      <c r="P736" s="74">
        <f t="shared" ref="P736:P746" si="429">SUM(0.666*(R736-L736),L736)</f>
        <v>16.699400000000001</v>
      </c>
      <c r="Q736" s="74">
        <f t="shared" ref="Q736:Q746" si="430">SUM(0.832*(R736-L736),L736)</f>
        <v>16.848800000000001</v>
      </c>
      <c r="R736" s="114">
        <v>17</v>
      </c>
      <c r="S736" s="129"/>
      <c r="T736" s="117">
        <f>SUM((BX20+BX19+BX18+BX17+BX16+BX15+BX14+BX13+BX12+BX11+BX10+BX9+BW8+BW7+BV6+BV5+BV4)*0.132,17)</f>
        <v>19.103538461538459</v>
      </c>
      <c r="U736" s="117"/>
      <c r="V736" s="129"/>
      <c r="W736" s="114"/>
    </row>
    <row r="737" spans="2:23">
      <c r="B737" s="114">
        <v>17</v>
      </c>
      <c r="C737" s="74">
        <f t="shared" si="418"/>
        <v>16.75</v>
      </c>
      <c r="D737" s="74">
        <f t="shared" si="419"/>
        <v>16.5</v>
      </c>
      <c r="E737" s="74">
        <f t="shared" si="420"/>
        <v>16.25</v>
      </c>
      <c r="F737" s="114">
        <v>16</v>
      </c>
      <c r="G737" s="74">
        <f t="shared" si="421"/>
        <v>15.75</v>
      </c>
      <c r="H737" s="74">
        <f t="shared" si="422"/>
        <v>15.5</v>
      </c>
      <c r="I737" s="74">
        <f t="shared" si="423"/>
        <v>15.25</v>
      </c>
      <c r="J737" s="114">
        <f t="shared" si="424"/>
        <v>15</v>
      </c>
      <c r="K737" s="74">
        <f t="shared" si="425"/>
        <v>14.8125</v>
      </c>
      <c r="L737" s="114">
        <f t="shared" ref="L737:L800" si="431">SUM(J737,J737,-H737,0.25*ABS(J737-H737))</f>
        <v>14.625</v>
      </c>
      <c r="M737" s="115">
        <f t="shared" si="426"/>
        <v>15.01925</v>
      </c>
      <c r="N737" s="115">
        <f t="shared" si="427"/>
        <v>15.415875</v>
      </c>
      <c r="O737" s="74">
        <f t="shared" si="428"/>
        <v>15.8125</v>
      </c>
      <c r="P737" s="74">
        <f t="shared" si="429"/>
        <v>16.20675</v>
      </c>
      <c r="Q737" s="74">
        <f t="shared" si="430"/>
        <v>16.600999999999999</v>
      </c>
      <c r="R737" s="114">
        <v>17</v>
      </c>
      <c r="S737" s="129"/>
      <c r="T737" s="117">
        <f>SUM((BV20+BW19+BW18+BX17+BX16+BY15+BY14+BZ13+BZ12+CA11+CA10+BZ9+BY8+BX7+BW6+BV5+BV4)*0.132,17)</f>
        <v>18.311538461538461</v>
      </c>
      <c r="U737" s="117"/>
      <c r="V737" s="129"/>
      <c r="W737" s="114"/>
    </row>
    <row r="738" spans="2:23">
      <c r="B738" s="114">
        <v>18</v>
      </c>
      <c r="C738" s="74">
        <f t="shared" si="418"/>
        <v>17.5</v>
      </c>
      <c r="D738" s="74">
        <f t="shared" si="419"/>
        <v>17</v>
      </c>
      <c r="E738" s="74">
        <f t="shared" si="420"/>
        <v>16.5</v>
      </c>
      <c r="F738" s="114">
        <v>16</v>
      </c>
      <c r="G738" s="74">
        <f t="shared" si="421"/>
        <v>15.5</v>
      </c>
      <c r="H738" s="74">
        <f t="shared" si="422"/>
        <v>15</v>
      </c>
      <c r="I738" s="74">
        <f t="shared" si="423"/>
        <v>14.5</v>
      </c>
      <c r="J738" s="114">
        <f t="shared" si="424"/>
        <v>14</v>
      </c>
      <c r="K738" s="74">
        <f t="shared" si="425"/>
        <v>13.625</v>
      </c>
      <c r="L738" s="114">
        <f t="shared" si="431"/>
        <v>13.25</v>
      </c>
      <c r="M738" s="115">
        <f t="shared" si="426"/>
        <v>13.8725</v>
      </c>
      <c r="N738" s="115">
        <f t="shared" si="427"/>
        <v>14.498749999999999</v>
      </c>
      <c r="O738" s="74">
        <f t="shared" si="428"/>
        <v>15.125</v>
      </c>
      <c r="P738" s="74">
        <f t="shared" si="429"/>
        <v>15.7475</v>
      </c>
      <c r="Q738" s="74">
        <f t="shared" si="430"/>
        <v>16.37</v>
      </c>
      <c r="R738" s="114">
        <v>17</v>
      </c>
      <c r="S738" s="129"/>
      <c r="T738" s="117">
        <f>SUM((BT20+BU19+BV18+BW17+BX16+BY15+BZ14+CA13+CB12+CC11+CC10+BZ8+BY7+BX6+BW5+BV4)*0.132,(CB9+CA9)*0.132/2,17)</f>
        <v>18.17953846153846</v>
      </c>
      <c r="U738" s="117"/>
      <c r="V738" s="129"/>
      <c r="W738" s="114"/>
    </row>
    <row r="739" spans="2:23">
      <c r="B739" s="114">
        <v>19</v>
      </c>
      <c r="C739" s="74">
        <f t="shared" si="418"/>
        <v>18.25</v>
      </c>
      <c r="D739" s="74">
        <f t="shared" si="419"/>
        <v>17.5</v>
      </c>
      <c r="E739" s="74">
        <f t="shared" si="420"/>
        <v>16.75</v>
      </c>
      <c r="F739" s="114">
        <v>16</v>
      </c>
      <c r="G739" s="74">
        <f t="shared" si="421"/>
        <v>15.25</v>
      </c>
      <c r="H739" s="74">
        <f t="shared" si="422"/>
        <v>14.5</v>
      </c>
      <c r="I739" s="74">
        <f t="shared" si="423"/>
        <v>13.75</v>
      </c>
      <c r="J739" s="114">
        <f t="shared" si="424"/>
        <v>13</v>
      </c>
      <c r="K739" s="74">
        <f t="shared" si="425"/>
        <v>12.4375</v>
      </c>
      <c r="L739" s="114">
        <f t="shared" si="431"/>
        <v>11.875</v>
      </c>
      <c r="M739" s="115">
        <f t="shared" si="426"/>
        <v>12.72575</v>
      </c>
      <c r="N739" s="115">
        <f t="shared" si="427"/>
        <v>13.581625000000001</v>
      </c>
      <c r="O739" s="74">
        <f t="shared" si="428"/>
        <v>14.4375</v>
      </c>
      <c r="P739" s="74">
        <f t="shared" si="429"/>
        <v>15.28825</v>
      </c>
      <c r="Q739" s="74">
        <f t="shared" si="430"/>
        <v>16.138999999999999</v>
      </c>
      <c r="R739" s="114">
        <v>17</v>
      </c>
      <c r="S739" s="129"/>
      <c r="T739" s="117">
        <f>SUM((BR20+BU18+BX16+CA14+CD12+CE11+CF10+BW5+BV4)*0.132,(BS19+BT19+BV17+BW17+BY15+BZ15+CB13+CC13+CE9+CD9+CC8+CB8+CA7+BZ7+BY6+BX6)*0.132/2,17)</f>
        <v>18.509538461538462</v>
      </c>
      <c r="U739" s="117"/>
      <c r="V739" s="129"/>
      <c r="W739" s="114"/>
    </row>
    <row r="740" spans="2:23">
      <c r="B740" s="114">
        <v>20</v>
      </c>
      <c r="C740" s="74">
        <f t="shared" si="418"/>
        <v>19</v>
      </c>
      <c r="D740" s="74">
        <f t="shared" si="419"/>
        <v>18</v>
      </c>
      <c r="E740" s="74">
        <f t="shared" si="420"/>
        <v>17</v>
      </c>
      <c r="F740" s="114">
        <v>16</v>
      </c>
      <c r="G740" s="74">
        <f t="shared" si="421"/>
        <v>15</v>
      </c>
      <c r="H740" s="74">
        <f t="shared" si="422"/>
        <v>14</v>
      </c>
      <c r="I740" s="74">
        <f t="shared" si="423"/>
        <v>13</v>
      </c>
      <c r="J740" s="114">
        <f t="shared" si="424"/>
        <v>12</v>
      </c>
      <c r="K740" s="74">
        <f t="shared" si="425"/>
        <v>11.25</v>
      </c>
      <c r="L740" s="114">
        <f t="shared" si="431"/>
        <v>10.5</v>
      </c>
      <c r="M740" s="115">
        <f t="shared" si="426"/>
        <v>11.579000000000001</v>
      </c>
      <c r="N740" s="115">
        <f t="shared" si="427"/>
        <v>12.6645</v>
      </c>
      <c r="O740" s="74">
        <f t="shared" si="428"/>
        <v>13.75</v>
      </c>
      <c r="P740" s="74">
        <f t="shared" si="429"/>
        <v>14.829000000000001</v>
      </c>
      <c r="Q740" s="74">
        <f t="shared" si="430"/>
        <v>15.907999999999999</v>
      </c>
      <c r="R740" s="114">
        <v>17</v>
      </c>
      <c r="S740" s="129"/>
      <c r="T740" s="117">
        <f>SUM((BQ19+BR19+BS18+BT18+BU17+BV17+BW16+BX16+BY15+BZ15+CA14+CB14+CC13+CD13+CE12+CF12+CG11+CH11)*0.132/2,(BP20+CI10)*0.132,(CH9+CG9+CF9)*0.132/3,(CE8+CD8+CC7+CB7+CA6+BZ6+BY5+BX5+BW4+BV4)*0.132/2,17)</f>
        <v>18.289538461538463</v>
      </c>
      <c r="U740" s="117"/>
      <c r="V740" s="129"/>
      <c r="W740" s="114"/>
    </row>
    <row r="741" spans="2:23">
      <c r="B741" s="114">
        <v>21</v>
      </c>
      <c r="C741" s="74">
        <f t="shared" si="418"/>
        <v>19.75</v>
      </c>
      <c r="D741" s="74">
        <f t="shared" si="419"/>
        <v>18.5</v>
      </c>
      <c r="E741" s="74">
        <f t="shared" si="420"/>
        <v>17.25</v>
      </c>
      <c r="F741" s="114">
        <v>16</v>
      </c>
      <c r="G741" s="74">
        <f t="shared" si="421"/>
        <v>14.75</v>
      </c>
      <c r="H741" s="74">
        <f t="shared" si="422"/>
        <v>13.5</v>
      </c>
      <c r="I741" s="74">
        <f t="shared" si="423"/>
        <v>12.25</v>
      </c>
      <c r="J741" s="114">
        <f t="shared" si="424"/>
        <v>11</v>
      </c>
      <c r="K741" s="74">
        <f t="shared" si="425"/>
        <v>10.0625</v>
      </c>
      <c r="L741" s="114">
        <f t="shared" si="431"/>
        <v>9.125</v>
      </c>
      <c r="M741" s="115">
        <f t="shared" si="426"/>
        <v>10.43225</v>
      </c>
      <c r="N741" s="115">
        <f t="shared" si="427"/>
        <v>11.747375</v>
      </c>
      <c r="O741" s="74">
        <f t="shared" si="428"/>
        <v>13.0625</v>
      </c>
      <c r="P741" s="74">
        <f t="shared" si="429"/>
        <v>14.36975</v>
      </c>
      <c r="Q741" s="74">
        <f t="shared" si="430"/>
        <v>15.677</v>
      </c>
      <c r="R741" s="114">
        <v>17</v>
      </c>
      <c r="S741" s="129"/>
      <c r="T741" s="117">
        <f>SUM((BN20+BO20+BP19+BQ19+BU17+BV17+BW16+BX16+CB14+CC14+CG12+CH12+CI11+CJ11+CK10+CL10)*0.132/2,(BR18+BS18+BT18+BY15+BZ15+CA15+CD13+CE13+CF13)*0.132/3,(CK9+CJ9+CI9+CH8+CG8+CF8+CE7+CD7+CC7+CB6+CA6+BZ6)*0.132/3,(BY5+BX5+BW4+BV4)*0.132/2,17)</f>
        <v>18.355538461538462</v>
      </c>
      <c r="U741" s="117"/>
      <c r="V741" s="129"/>
      <c r="W741" s="114"/>
    </row>
    <row r="742" spans="2:23">
      <c r="B742" s="114">
        <v>22</v>
      </c>
      <c r="C742" s="74">
        <f t="shared" si="418"/>
        <v>20.5</v>
      </c>
      <c r="D742" s="74">
        <f t="shared" si="419"/>
        <v>19</v>
      </c>
      <c r="E742" s="74">
        <f t="shared" si="420"/>
        <v>17.5</v>
      </c>
      <c r="F742" s="114">
        <v>16</v>
      </c>
      <c r="G742" s="74">
        <f t="shared" si="421"/>
        <v>14.5</v>
      </c>
      <c r="H742" s="74">
        <f t="shared" si="422"/>
        <v>13</v>
      </c>
      <c r="I742" s="74">
        <f t="shared" si="423"/>
        <v>11.5</v>
      </c>
      <c r="J742" s="114">
        <f t="shared" si="424"/>
        <v>10</v>
      </c>
      <c r="K742" s="74">
        <f t="shared" si="425"/>
        <v>8.875</v>
      </c>
      <c r="L742" s="114">
        <f t="shared" si="431"/>
        <v>7.75</v>
      </c>
      <c r="M742" s="115">
        <f t="shared" si="426"/>
        <v>9.2855000000000008</v>
      </c>
      <c r="N742" s="115">
        <f t="shared" si="427"/>
        <v>10.830249999999999</v>
      </c>
      <c r="O742" s="74">
        <f t="shared" si="428"/>
        <v>12.375</v>
      </c>
      <c r="P742" s="74">
        <f t="shared" si="429"/>
        <v>13.910500000000001</v>
      </c>
      <c r="Q742" s="74">
        <f t="shared" si="430"/>
        <v>15.446</v>
      </c>
      <c r="R742" s="114">
        <v>17</v>
      </c>
      <c r="S742" s="129"/>
      <c r="T742" s="117">
        <f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18.080538461538463</v>
      </c>
      <c r="U742" s="117"/>
      <c r="V742" s="129"/>
      <c r="W742" s="114"/>
    </row>
    <row r="743" spans="2:23">
      <c r="B743" s="114">
        <v>23</v>
      </c>
      <c r="C743" s="74">
        <f t="shared" si="418"/>
        <v>21.25</v>
      </c>
      <c r="D743" s="74">
        <f t="shared" si="419"/>
        <v>19.5</v>
      </c>
      <c r="E743" s="74">
        <f t="shared" si="420"/>
        <v>17.75</v>
      </c>
      <c r="F743" s="114">
        <v>16</v>
      </c>
      <c r="G743" s="74">
        <f t="shared" si="421"/>
        <v>14.25</v>
      </c>
      <c r="H743" s="74">
        <f t="shared" si="422"/>
        <v>12.5</v>
      </c>
      <c r="I743" s="74">
        <f t="shared" si="423"/>
        <v>10.75</v>
      </c>
      <c r="J743" s="114">
        <f t="shared" si="424"/>
        <v>9</v>
      </c>
      <c r="K743" s="74">
        <f t="shared" si="425"/>
        <v>7.6875</v>
      </c>
      <c r="L743" s="114">
        <f t="shared" si="431"/>
        <v>6.375</v>
      </c>
      <c r="M743" s="115">
        <f t="shared" si="426"/>
        <v>8.1387499999999999</v>
      </c>
      <c r="N743" s="115">
        <f t="shared" si="427"/>
        <v>9.9131250000000009</v>
      </c>
      <c r="O743" s="74">
        <f t="shared" si="428"/>
        <v>11.6875</v>
      </c>
      <c r="P743" s="74">
        <f t="shared" si="429"/>
        <v>13.451250000000002</v>
      </c>
      <c r="Q743" s="74">
        <f t="shared" si="430"/>
        <v>15.215</v>
      </c>
      <c r="R743" s="114">
        <v>17</v>
      </c>
      <c r="S743" s="129"/>
      <c r="T743" s="117">
        <f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18.080538461538463</v>
      </c>
      <c r="U743" s="117"/>
      <c r="V743" s="129"/>
      <c r="W743" s="114"/>
    </row>
    <row r="744" spans="2:23">
      <c r="B744" s="114">
        <v>24</v>
      </c>
      <c r="C744" s="74">
        <f t="shared" si="418"/>
        <v>22</v>
      </c>
      <c r="D744" s="74">
        <f t="shared" si="419"/>
        <v>20</v>
      </c>
      <c r="E744" s="74">
        <f t="shared" si="420"/>
        <v>18</v>
      </c>
      <c r="F744" s="114">
        <v>16</v>
      </c>
      <c r="G744" s="74">
        <f t="shared" si="421"/>
        <v>14</v>
      </c>
      <c r="H744" s="74">
        <f t="shared" si="422"/>
        <v>12</v>
      </c>
      <c r="I744" s="74">
        <f t="shared" si="423"/>
        <v>10</v>
      </c>
      <c r="J744" s="114">
        <f t="shared" si="424"/>
        <v>8</v>
      </c>
      <c r="K744" s="74">
        <f t="shared" si="425"/>
        <v>6.5</v>
      </c>
      <c r="L744" s="114">
        <f t="shared" si="431"/>
        <v>5</v>
      </c>
      <c r="M744" s="115">
        <f t="shared" si="426"/>
        <v>6.992</v>
      </c>
      <c r="N744" s="115">
        <f t="shared" si="427"/>
        <v>8.9960000000000004</v>
      </c>
      <c r="O744" s="74">
        <f t="shared" si="428"/>
        <v>11</v>
      </c>
      <c r="P744" s="74">
        <f t="shared" si="429"/>
        <v>12.992000000000001</v>
      </c>
      <c r="Q744" s="74">
        <f t="shared" si="430"/>
        <v>14.984</v>
      </c>
      <c r="R744" s="114">
        <v>17</v>
      </c>
      <c r="S744" s="129"/>
      <c r="T744" s="117">
        <f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17.81653846153846</v>
      </c>
      <c r="U744" s="117"/>
      <c r="V744" s="129"/>
      <c r="W744" s="114"/>
    </row>
    <row r="745" spans="2:23">
      <c r="B745" s="114">
        <v>25</v>
      </c>
      <c r="C745" s="74">
        <f t="shared" si="418"/>
        <v>22.75</v>
      </c>
      <c r="D745" s="74">
        <f t="shared" si="419"/>
        <v>20.5</v>
      </c>
      <c r="E745" s="74">
        <f t="shared" si="420"/>
        <v>18.25</v>
      </c>
      <c r="F745" s="114">
        <v>16</v>
      </c>
      <c r="G745" s="74">
        <f t="shared" si="421"/>
        <v>13.75</v>
      </c>
      <c r="H745" s="74">
        <f t="shared" si="422"/>
        <v>11.5</v>
      </c>
      <c r="I745" s="74">
        <f t="shared" si="423"/>
        <v>9.25</v>
      </c>
      <c r="J745" s="114">
        <f t="shared" si="424"/>
        <v>7</v>
      </c>
      <c r="K745" s="74">
        <f t="shared" si="425"/>
        <v>5.3125</v>
      </c>
      <c r="L745" s="114">
        <f t="shared" si="431"/>
        <v>3.625</v>
      </c>
      <c r="M745" s="115">
        <f t="shared" si="426"/>
        <v>5.8452500000000001</v>
      </c>
      <c r="N745" s="115">
        <f t="shared" si="427"/>
        <v>8.078875</v>
      </c>
      <c r="O745" s="74">
        <f t="shared" si="428"/>
        <v>10.3125</v>
      </c>
      <c r="P745" s="74">
        <f t="shared" si="429"/>
        <v>12.53275</v>
      </c>
      <c r="Q745" s="74">
        <f t="shared" si="430"/>
        <v>14.753</v>
      </c>
      <c r="R745" s="114">
        <v>17</v>
      </c>
      <c r="S745" s="129"/>
      <c r="T745" s="117">
        <f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17.64273846153846</v>
      </c>
      <c r="U745" s="117"/>
      <c r="V745" s="129"/>
      <c r="W745" s="114"/>
    </row>
    <row r="746" spans="2:23">
      <c r="B746" s="114">
        <v>26</v>
      </c>
      <c r="C746" s="74">
        <f t="shared" si="418"/>
        <v>23.5</v>
      </c>
      <c r="D746" s="74">
        <f t="shared" si="419"/>
        <v>21</v>
      </c>
      <c r="E746" s="74">
        <f t="shared" si="420"/>
        <v>18.5</v>
      </c>
      <c r="F746" s="114">
        <v>16</v>
      </c>
      <c r="G746" s="74">
        <f t="shared" si="421"/>
        <v>13.5</v>
      </c>
      <c r="H746" s="74">
        <f t="shared" si="422"/>
        <v>11</v>
      </c>
      <c r="I746" s="74">
        <f t="shared" si="423"/>
        <v>8.5</v>
      </c>
      <c r="J746" s="114">
        <f t="shared" si="424"/>
        <v>6</v>
      </c>
      <c r="K746" s="74">
        <f t="shared" si="425"/>
        <v>4.125</v>
      </c>
      <c r="L746" s="114">
        <f t="shared" si="431"/>
        <v>2.25</v>
      </c>
      <c r="M746" s="115">
        <f t="shared" si="426"/>
        <v>4.6985000000000001</v>
      </c>
      <c r="N746" s="115">
        <f t="shared" si="427"/>
        <v>7.1617500000000005</v>
      </c>
      <c r="O746" s="74">
        <f t="shared" si="428"/>
        <v>9.625</v>
      </c>
      <c r="P746" s="74">
        <f t="shared" si="429"/>
        <v>12.073500000000001</v>
      </c>
      <c r="Q746" s="74">
        <f t="shared" si="430"/>
        <v>14.522</v>
      </c>
      <c r="R746" s="114">
        <v>17</v>
      </c>
      <c r="S746" s="129"/>
      <c r="T746" s="117">
        <f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17.433738461538461</v>
      </c>
      <c r="U746" s="117"/>
      <c r="V746" s="129"/>
      <c r="W746" s="114"/>
    </row>
    <row r="747" spans="2:23">
      <c r="B747" s="114"/>
      <c r="C747" s="74"/>
      <c r="D747" s="74"/>
      <c r="E747" s="74"/>
      <c r="F747" s="114"/>
      <c r="G747" s="74"/>
      <c r="H747" s="74"/>
      <c r="I747" s="74"/>
      <c r="J747" s="114"/>
      <c r="K747" s="74"/>
      <c r="L747" s="114"/>
      <c r="M747" s="115"/>
      <c r="N747" s="115"/>
      <c r="O747" s="74"/>
      <c r="P747" s="74"/>
      <c r="Q747" s="74"/>
      <c r="R747" s="114"/>
      <c r="S747" s="129"/>
      <c r="T747" s="117"/>
      <c r="U747" s="117"/>
      <c r="V747" s="129"/>
      <c r="W747" s="114"/>
    </row>
    <row r="748" spans="2:23">
      <c r="B748" s="114">
        <v>17</v>
      </c>
      <c r="C748" s="74">
        <f t="shared" si="418"/>
        <v>17</v>
      </c>
      <c r="D748" s="74">
        <f t="shared" si="419"/>
        <v>17</v>
      </c>
      <c r="E748" s="74">
        <f t="shared" si="420"/>
        <v>17</v>
      </c>
      <c r="F748" s="114">
        <v>17</v>
      </c>
      <c r="G748" s="74">
        <f t="shared" si="421"/>
        <v>17</v>
      </c>
      <c r="H748" s="74">
        <f t="shared" si="422"/>
        <v>17</v>
      </c>
      <c r="I748" s="74">
        <f t="shared" si="423"/>
        <v>17</v>
      </c>
      <c r="J748" s="114">
        <f t="shared" si="424"/>
        <v>17</v>
      </c>
      <c r="K748" s="74">
        <f t="shared" ref="K748:K759" si="432">SUM(0.5*(L748-J748),J748)</f>
        <v>17</v>
      </c>
      <c r="L748" s="114">
        <f>SUM(J748,J748,-H748,0.25*ABS(J748-H748),0.1*(17-F748))</f>
        <v>17</v>
      </c>
      <c r="M748" s="115">
        <f t="shared" ref="M748:M759" si="433">SUM(0.166*(R748-L748),L748)</f>
        <v>17</v>
      </c>
      <c r="N748" s="115">
        <f t="shared" ref="N748:N759" si="434">SUM(0.333*(R748-L748),L748)</f>
        <v>17</v>
      </c>
      <c r="O748" s="74">
        <f t="shared" ref="O748:O759" si="435">SUM(0.5*(R748-L748),L748)</f>
        <v>17</v>
      </c>
      <c r="P748" s="74">
        <f t="shared" ref="P748:P759" si="436">SUM(0.666*(R748-L748),L748)</f>
        <v>17</v>
      </c>
      <c r="Q748" s="74">
        <f t="shared" ref="Q748:Q759" si="437">SUM(0.832*(R748-L748),L748)</f>
        <v>17</v>
      </c>
      <c r="R748" s="114">
        <v>17</v>
      </c>
      <c r="S748" s="129"/>
      <c r="T748" s="117">
        <f>SUM((BV20+BV19+BV18+BV17+BV16+BV15+BV14+BV13+BV12+BV11+BV10+BV9+BV8+BV7+BV6+BV5+BV4)*0.132,17)</f>
        <v>17.651538461538461</v>
      </c>
      <c r="U748" s="117"/>
      <c r="V748" s="129"/>
      <c r="W748" s="114"/>
    </row>
    <row r="749" spans="2:23">
      <c r="B749" s="114">
        <v>18</v>
      </c>
      <c r="C749" s="74">
        <f t="shared" si="418"/>
        <v>17.75</v>
      </c>
      <c r="D749" s="74">
        <f t="shared" si="419"/>
        <v>17.5</v>
      </c>
      <c r="E749" s="74">
        <f t="shared" si="420"/>
        <v>17.25</v>
      </c>
      <c r="F749" s="114">
        <v>17</v>
      </c>
      <c r="G749" s="74">
        <f t="shared" si="421"/>
        <v>16.75</v>
      </c>
      <c r="H749" s="74">
        <f t="shared" si="422"/>
        <v>16.5</v>
      </c>
      <c r="I749" s="74">
        <f t="shared" si="423"/>
        <v>16.25</v>
      </c>
      <c r="J749" s="114">
        <f t="shared" si="424"/>
        <v>16</v>
      </c>
      <c r="K749" s="74">
        <f t="shared" si="432"/>
        <v>15.8125</v>
      </c>
      <c r="L749" s="114">
        <f t="shared" si="431"/>
        <v>15.625</v>
      </c>
      <c r="M749" s="115">
        <f t="shared" si="433"/>
        <v>15.853249999999999</v>
      </c>
      <c r="N749" s="115">
        <f t="shared" si="434"/>
        <v>16.082875000000001</v>
      </c>
      <c r="O749" s="74">
        <f t="shared" si="435"/>
        <v>16.3125</v>
      </c>
      <c r="P749" s="74">
        <f t="shared" si="436"/>
        <v>16.540749999999999</v>
      </c>
      <c r="Q749" s="74">
        <f t="shared" si="437"/>
        <v>16.768999999999998</v>
      </c>
      <c r="R749" s="114">
        <v>17</v>
      </c>
      <c r="S749" s="129"/>
      <c r="T749" s="117">
        <f>SUM((BT20+BU19+BU18+BV17+BV16+BW15+BW14+BX13+BX12+BY11+BY10+BX9+BX8+BW7+BW6+BV5+BV4)*0.132,17)</f>
        <v>17.783538461538463</v>
      </c>
      <c r="U749" s="117"/>
      <c r="V749" s="129"/>
      <c r="W749" s="114"/>
    </row>
    <row r="750" spans="2:23">
      <c r="B750" s="114">
        <v>19</v>
      </c>
      <c r="C750" s="74">
        <f t="shared" si="418"/>
        <v>18.5</v>
      </c>
      <c r="D750" s="74">
        <f t="shared" si="419"/>
        <v>18</v>
      </c>
      <c r="E750" s="74">
        <f t="shared" si="420"/>
        <v>17.5</v>
      </c>
      <c r="F750" s="114">
        <v>17</v>
      </c>
      <c r="G750" s="74">
        <f t="shared" si="421"/>
        <v>16.5</v>
      </c>
      <c r="H750" s="74">
        <f t="shared" si="422"/>
        <v>16</v>
      </c>
      <c r="I750" s="74">
        <f t="shared" si="423"/>
        <v>15.5</v>
      </c>
      <c r="J750" s="114">
        <f t="shared" si="424"/>
        <v>15</v>
      </c>
      <c r="K750" s="74">
        <f t="shared" si="432"/>
        <v>14.625</v>
      </c>
      <c r="L750" s="114">
        <f t="shared" si="431"/>
        <v>14.25</v>
      </c>
      <c r="M750" s="115">
        <f t="shared" si="433"/>
        <v>14.7065</v>
      </c>
      <c r="N750" s="115">
        <f t="shared" si="434"/>
        <v>15.165749999999999</v>
      </c>
      <c r="O750" s="74">
        <f t="shared" si="435"/>
        <v>15.625</v>
      </c>
      <c r="P750" s="74">
        <f t="shared" si="436"/>
        <v>16.081499999999998</v>
      </c>
      <c r="Q750" s="74">
        <f t="shared" si="437"/>
        <v>16.538</v>
      </c>
      <c r="R750" s="114">
        <v>17</v>
      </c>
      <c r="S750" s="129"/>
      <c r="T750" s="117">
        <f>SUM((BR20+BS19+BT18+BU17+BV16+BW15+BX14+BY13+BZ12+CA11+CA10+BZ9+BY8+BX7+BW6+BV5+BV4)*0.132,17)</f>
        <v>18.443538461538463</v>
      </c>
      <c r="U750" s="117"/>
      <c r="V750" s="129"/>
      <c r="W750" s="114"/>
    </row>
    <row r="751" spans="2:23">
      <c r="B751" s="114">
        <v>20</v>
      </c>
      <c r="C751" s="74">
        <f t="shared" si="418"/>
        <v>19.25</v>
      </c>
      <c r="D751" s="74">
        <f t="shared" si="419"/>
        <v>18.5</v>
      </c>
      <c r="E751" s="74">
        <f t="shared" si="420"/>
        <v>17.75</v>
      </c>
      <c r="F751" s="114">
        <v>17</v>
      </c>
      <c r="G751" s="74">
        <f t="shared" si="421"/>
        <v>16.25</v>
      </c>
      <c r="H751" s="74">
        <f t="shared" si="422"/>
        <v>15.5</v>
      </c>
      <c r="I751" s="74">
        <f t="shared" si="423"/>
        <v>14.75</v>
      </c>
      <c r="J751" s="114">
        <f t="shared" si="424"/>
        <v>14</v>
      </c>
      <c r="K751" s="74">
        <f t="shared" si="432"/>
        <v>13.4375</v>
      </c>
      <c r="L751" s="114">
        <f t="shared" si="431"/>
        <v>12.875</v>
      </c>
      <c r="M751" s="115">
        <f t="shared" si="433"/>
        <v>13.559749999999999</v>
      </c>
      <c r="N751" s="115">
        <f t="shared" si="434"/>
        <v>14.248625000000001</v>
      </c>
      <c r="O751" s="74">
        <f t="shared" si="435"/>
        <v>14.9375</v>
      </c>
      <c r="P751" s="74">
        <f t="shared" si="436"/>
        <v>15.622250000000001</v>
      </c>
      <c r="Q751" s="74">
        <f t="shared" si="437"/>
        <v>16.306999999999999</v>
      </c>
      <c r="R751" s="114">
        <v>17</v>
      </c>
      <c r="S751" s="129"/>
      <c r="T751" s="117">
        <f>SUM((BP20+BS18+BV16+BY14+CB12+CC11+CD10+BY7+BX6+BW5+BV4)*0.132,(BQ19+BR19+BT17+BU17+BW15+BX15+BZ13+CA13+CC9+CB9+CA8+BZ8)*0.132/2,17)</f>
        <v>17.849538461538462</v>
      </c>
      <c r="U751" s="117"/>
      <c r="V751" s="129"/>
      <c r="W751" s="114"/>
    </row>
    <row r="752" spans="2:23">
      <c r="B752" s="114">
        <v>21</v>
      </c>
      <c r="C752" s="74">
        <f t="shared" si="418"/>
        <v>20</v>
      </c>
      <c r="D752" s="74">
        <f t="shared" si="419"/>
        <v>19</v>
      </c>
      <c r="E752" s="74">
        <f t="shared" si="420"/>
        <v>18</v>
      </c>
      <c r="F752" s="114">
        <v>17</v>
      </c>
      <c r="G752" s="74">
        <f t="shared" si="421"/>
        <v>16</v>
      </c>
      <c r="H752" s="74">
        <f t="shared" si="422"/>
        <v>15</v>
      </c>
      <c r="I752" s="74">
        <f t="shared" si="423"/>
        <v>14</v>
      </c>
      <c r="J752" s="114">
        <f t="shared" si="424"/>
        <v>13</v>
      </c>
      <c r="K752" s="74">
        <f t="shared" si="432"/>
        <v>12.25</v>
      </c>
      <c r="L752" s="114">
        <f t="shared" si="431"/>
        <v>11.5</v>
      </c>
      <c r="M752" s="115">
        <f t="shared" si="433"/>
        <v>12.413</v>
      </c>
      <c r="N752" s="115">
        <f t="shared" si="434"/>
        <v>13.3315</v>
      </c>
      <c r="O752" s="74">
        <f t="shared" si="435"/>
        <v>14.25</v>
      </c>
      <c r="P752" s="74">
        <f t="shared" si="436"/>
        <v>15.163</v>
      </c>
      <c r="Q752" s="74">
        <f t="shared" si="437"/>
        <v>16.076000000000001</v>
      </c>
      <c r="R752" s="114">
        <v>17</v>
      </c>
      <c r="S752" s="129"/>
      <c r="T752" s="117">
        <f>SUM((BO19+BP19+BQ18+BR18+BS17+BT17+BU16+BV16+BW15+BX15+BY14+BZ14+CA13+CB13+CC12+CD12+CE11+CF11+CF9+CE9+CD8+CC8+CB7+CA7+BZ6+BY6+BX5+BW5)*0.132/2,(BN20+CG10+BV4)*0.132,17)</f>
        <v>17.915538461538461</v>
      </c>
      <c r="U752" s="117"/>
      <c r="V752" s="129"/>
      <c r="W752" s="114"/>
    </row>
    <row r="753" spans="2:23">
      <c r="B753" s="114">
        <v>22</v>
      </c>
      <c r="C753" s="74">
        <f t="shared" si="418"/>
        <v>20.75</v>
      </c>
      <c r="D753" s="74">
        <f t="shared" si="419"/>
        <v>19.5</v>
      </c>
      <c r="E753" s="74">
        <f t="shared" si="420"/>
        <v>18.25</v>
      </c>
      <c r="F753" s="114">
        <v>17</v>
      </c>
      <c r="G753" s="74">
        <f t="shared" si="421"/>
        <v>15.75</v>
      </c>
      <c r="H753" s="74">
        <f t="shared" si="422"/>
        <v>14.5</v>
      </c>
      <c r="I753" s="74">
        <f t="shared" si="423"/>
        <v>13.25</v>
      </c>
      <c r="J753" s="114">
        <f t="shared" si="424"/>
        <v>12</v>
      </c>
      <c r="K753" s="74">
        <f t="shared" si="432"/>
        <v>11.0625</v>
      </c>
      <c r="L753" s="114">
        <f t="shared" si="431"/>
        <v>10.125</v>
      </c>
      <c r="M753" s="115">
        <f t="shared" si="433"/>
        <v>11.266249999999999</v>
      </c>
      <c r="N753" s="115">
        <f t="shared" si="434"/>
        <v>12.414375</v>
      </c>
      <c r="O753" s="74">
        <f t="shared" si="435"/>
        <v>13.5625</v>
      </c>
      <c r="P753" s="74">
        <f t="shared" si="436"/>
        <v>14.703749999999999</v>
      </c>
      <c r="Q753" s="74">
        <f t="shared" si="437"/>
        <v>15.844999999999999</v>
      </c>
      <c r="R753" s="114">
        <v>17</v>
      </c>
      <c r="S753" s="129"/>
      <c r="T753" s="117">
        <f>SUM((BL20+BM20+BN19+BO19+BS17+BT17+BU16+BV16+BZ14+CA14+CE12+CF12+CG11+CH11+CI10+CJ10)*0.132/2,(BP18+BQ18+BR18+BW15+BX15+BY15+CB13+CC13+CD13)*0.132/3,(CI9+CH9+CG9+CF8+CE8+CD8)*0.132/3,(CC7+CB7+CA6+BZ6+BY5+BX5+BW4+BV4)*0.132/2,17)</f>
        <v>18.201538461538462</v>
      </c>
      <c r="U753" s="117"/>
      <c r="V753" s="129"/>
      <c r="W753" s="114"/>
    </row>
    <row r="754" spans="2:23">
      <c r="B754" s="114">
        <v>23</v>
      </c>
      <c r="C754" s="74">
        <f t="shared" si="418"/>
        <v>21.5</v>
      </c>
      <c r="D754" s="74">
        <f t="shared" si="419"/>
        <v>20</v>
      </c>
      <c r="E754" s="74">
        <f t="shared" si="420"/>
        <v>18.5</v>
      </c>
      <c r="F754" s="114">
        <v>17</v>
      </c>
      <c r="G754" s="74">
        <f t="shared" si="421"/>
        <v>15.5</v>
      </c>
      <c r="H754" s="74">
        <f t="shared" si="422"/>
        <v>14</v>
      </c>
      <c r="I754" s="74">
        <f t="shared" si="423"/>
        <v>12.5</v>
      </c>
      <c r="J754" s="114">
        <f t="shared" si="424"/>
        <v>11</v>
      </c>
      <c r="K754" s="74">
        <f t="shared" si="432"/>
        <v>9.875</v>
      </c>
      <c r="L754" s="114">
        <f t="shared" si="431"/>
        <v>8.75</v>
      </c>
      <c r="M754" s="115">
        <f t="shared" si="433"/>
        <v>10.1195</v>
      </c>
      <c r="N754" s="115">
        <f t="shared" si="434"/>
        <v>11.497250000000001</v>
      </c>
      <c r="O754" s="74">
        <f t="shared" si="435"/>
        <v>12.875</v>
      </c>
      <c r="P754" s="74">
        <f t="shared" si="436"/>
        <v>14.2445</v>
      </c>
      <c r="Q754" s="74">
        <f t="shared" si="437"/>
        <v>15.614000000000001</v>
      </c>
      <c r="R754" s="114">
        <v>17</v>
      </c>
      <c r="S754" s="129"/>
      <c r="T754" s="117">
        <f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17.805538461538461</v>
      </c>
      <c r="U754" s="117"/>
      <c r="V754" s="129"/>
      <c r="W754" s="114"/>
    </row>
    <row r="755" spans="2:23">
      <c r="B755" s="114">
        <v>24</v>
      </c>
      <c r="C755" s="74">
        <f t="shared" si="418"/>
        <v>22.25</v>
      </c>
      <c r="D755" s="74">
        <f t="shared" si="419"/>
        <v>20.5</v>
      </c>
      <c r="E755" s="74">
        <f t="shared" si="420"/>
        <v>18.75</v>
      </c>
      <c r="F755" s="114">
        <v>17</v>
      </c>
      <c r="G755" s="74">
        <f t="shared" si="421"/>
        <v>15.25</v>
      </c>
      <c r="H755" s="74">
        <f t="shared" si="422"/>
        <v>13.5</v>
      </c>
      <c r="I755" s="74">
        <f t="shared" si="423"/>
        <v>11.75</v>
      </c>
      <c r="J755" s="114">
        <f t="shared" si="424"/>
        <v>10</v>
      </c>
      <c r="K755" s="74">
        <f t="shared" si="432"/>
        <v>8.6875</v>
      </c>
      <c r="L755" s="114">
        <f t="shared" si="431"/>
        <v>7.375</v>
      </c>
      <c r="M755" s="115">
        <f t="shared" si="433"/>
        <v>8.9727499999999996</v>
      </c>
      <c r="N755" s="115">
        <f t="shared" si="434"/>
        <v>10.580125000000001</v>
      </c>
      <c r="O755" s="74">
        <f t="shared" si="435"/>
        <v>12.1875</v>
      </c>
      <c r="P755" s="74">
        <f t="shared" si="436"/>
        <v>13.785250000000001</v>
      </c>
      <c r="Q755" s="74">
        <f t="shared" si="437"/>
        <v>15.382999999999999</v>
      </c>
      <c r="R755" s="114">
        <v>17</v>
      </c>
      <c r="S755" s="129"/>
      <c r="T755" s="117">
        <f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17.71753846153846</v>
      </c>
      <c r="U755" s="117"/>
      <c r="V755" s="129"/>
      <c r="W755" s="114"/>
    </row>
    <row r="756" spans="2:23">
      <c r="B756" s="114">
        <v>25</v>
      </c>
      <c r="C756" s="74">
        <f t="shared" si="418"/>
        <v>23</v>
      </c>
      <c r="D756" s="74">
        <f t="shared" si="419"/>
        <v>21</v>
      </c>
      <c r="E756" s="74">
        <f t="shared" si="420"/>
        <v>19</v>
      </c>
      <c r="F756" s="114">
        <v>17</v>
      </c>
      <c r="G756" s="74">
        <f t="shared" si="421"/>
        <v>15</v>
      </c>
      <c r="H756" s="74">
        <f t="shared" si="422"/>
        <v>13</v>
      </c>
      <c r="I756" s="74">
        <f t="shared" si="423"/>
        <v>11</v>
      </c>
      <c r="J756" s="114">
        <f t="shared" si="424"/>
        <v>9</v>
      </c>
      <c r="K756" s="74">
        <f t="shared" si="432"/>
        <v>7.5</v>
      </c>
      <c r="L756" s="114">
        <f t="shared" si="431"/>
        <v>6</v>
      </c>
      <c r="M756" s="115">
        <f t="shared" si="433"/>
        <v>7.8260000000000005</v>
      </c>
      <c r="N756" s="115">
        <f t="shared" si="434"/>
        <v>9.6630000000000003</v>
      </c>
      <c r="O756" s="74">
        <f t="shared" si="435"/>
        <v>11.5</v>
      </c>
      <c r="P756" s="74">
        <f t="shared" si="436"/>
        <v>13.326000000000001</v>
      </c>
      <c r="Q756" s="74">
        <f t="shared" si="437"/>
        <v>15.151999999999999</v>
      </c>
      <c r="R756" s="114">
        <v>17</v>
      </c>
      <c r="S756" s="129"/>
      <c r="T756" s="117">
        <f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17.475538461538463</v>
      </c>
      <c r="U756" s="117"/>
      <c r="V756" s="129"/>
      <c r="W756" s="114"/>
    </row>
    <row r="757" spans="2:23">
      <c r="B757" s="114">
        <v>26</v>
      </c>
      <c r="C757" s="74">
        <f t="shared" si="418"/>
        <v>23.75</v>
      </c>
      <c r="D757" s="74">
        <f t="shared" si="419"/>
        <v>21.5</v>
      </c>
      <c r="E757" s="74">
        <f t="shared" si="420"/>
        <v>19.25</v>
      </c>
      <c r="F757" s="114">
        <v>17</v>
      </c>
      <c r="G757" s="74">
        <f t="shared" si="421"/>
        <v>14.75</v>
      </c>
      <c r="H757" s="74">
        <f t="shared" si="422"/>
        <v>12.5</v>
      </c>
      <c r="I757" s="74">
        <f t="shared" si="423"/>
        <v>10.25</v>
      </c>
      <c r="J757" s="114">
        <f t="shared" si="424"/>
        <v>8</v>
      </c>
      <c r="K757" s="74">
        <f t="shared" si="432"/>
        <v>6.3125</v>
      </c>
      <c r="L757" s="114">
        <f t="shared" si="431"/>
        <v>4.625</v>
      </c>
      <c r="M757" s="115">
        <f t="shared" si="433"/>
        <v>6.6792499999999997</v>
      </c>
      <c r="N757" s="115">
        <f t="shared" si="434"/>
        <v>8.7458749999999998</v>
      </c>
      <c r="O757" s="74">
        <f t="shared" si="435"/>
        <v>10.8125</v>
      </c>
      <c r="P757" s="74">
        <f t="shared" si="436"/>
        <v>12.86675</v>
      </c>
      <c r="Q757" s="74">
        <f t="shared" si="437"/>
        <v>14.920999999999999</v>
      </c>
      <c r="R757" s="114">
        <v>17</v>
      </c>
      <c r="S757" s="129"/>
      <c r="T757" s="117">
        <f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17.376538461538463</v>
      </c>
      <c r="U757" s="117"/>
      <c r="V757" s="129"/>
      <c r="W757" s="114"/>
    </row>
    <row r="758" spans="2:23">
      <c r="B758" s="114">
        <v>27</v>
      </c>
      <c r="C758" s="74">
        <f t="shared" si="418"/>
        <v>24.5</v>
      </c>
      <c r="D758" s="74">
        <f t="shared" si="419"/>
        <v>22</v>
      </c>
      <c r="E758" s="74">
        <f t="shared" si="420"/>
        <v>19.5</v>
      </c>
      <c r="F758" s="114">
        <v>17</v>
      </c>
      <c r="G758" s="74">
        <f t="shared" si="421"/>
        <v>14.5</v>
      </c>
      <c r="H758" s="74">
        <f t="shared" si="422"/>
        <v>12</v>
      </c>
      <c r="I758" s="74">
        <f t="shared" si="423"/>
        <v>9.5</v>
      </c>
      <c r="J758" s="114">
        <f t="shared" si="424"/>
        <v>7</v>
      </c>
      <c r="K758" s="74">
        <f t="shared" si="432"/>
        <v>5.125</v>
      </c>
      <c r="L758" s="114">
        <f t="shared" si="431"/>
        <v>3.25</v>
      </c>
      <c r="M758" s="115">
        <f t="shared" si="433"/>
        <v>5.5325000000000006</v>
      </c>
      <c r="N758" s="115">
        <f t="shared" si="434"/>
        <v>7.8287500000000003</v>
      </c>
      <c r="O758" s="74">
        <f t="shared" si="435"/>
        <v>10.125</v>
      </c>
      <c r="P758" s="74">
        <f t="shared" si="436"/>
        <v>12.407500000000001</v>
      </c>
      <c r="Q758" s="74">
        <f t="shared" si="437"/>
        <v>14.69</v>
      </c>
      <c r="R758" s="114">
        <v>17</v>
      </c>
      <c r="S758" s="129"/>
      <c r="T758" s="117">
        <f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17.314938461538461</v>
      </c>
      <c r="U758" s="117"/>
      <c r="V758" s="129"/>
      <c r="W758" s="114"/>
    </row>
    <row r="759" spans="2:23">
      <c r="B759" s="114">
        <v>28</v>
      </c>
      <c r="C759" s="74">
        <f t="shared" si="418"/>
        <v>25.25</v>
      </c>
      <c r="D759" s="74">
        <f t="shared" si="419"/>
        <v>22.5</v>
      </c>
      <c r="E759" s="74">
        <f t="shared" si="420"/>
        <v>19.75</v>
      </c>
      <c r="F759" s="114">
        <v>17</v>
      </c>
      <c r="G759" s="74">
        <f t="shared" si="421"/>
        <v>14.25</v>
      </c>
      <c r="H759" s="74">
        <f t="shared" si="422"/>
        <v>11.5</v>
      </c>
      <c r="I759" s="74">
        <f t="shared" si="423"/>
        <v>8.75</v>
      </c>
      <c r="J759" s="114">
        <f t="shared" si="424"/>
        <v>6</v>
      </c>
      <c r="K759" s="74">
        <f t="shared" si="432"/>
        <v>3.9375</v>
      </c>
      <c r="L759" s="114">
        <f t="shared" si="431"/>
        <v>1.875</v>
      </c>
      <c r="M759" s="115">
        <f t="shared" si="433"/>
        <v>4.3857499999999998</v>
      </c>
      <c r="N759" s="115">
        <f t="shared" si="434"/>
        <v>6.9116249999999999</v>
      </c>
      <c r="O759" s="74">
        <f t="shared" si="435"/>
        <v>9.4375</v>
      </c>
      <c r="P759" s="74">
        <f t="shared" si="436"/>
        <v>11.94825</v>
      </c>
      <c r="Q759" s="74">
        <f t="shared" si="437"/>
        <v>14.459</v>
      </c>
      <c r="R759" s="114">
        <v>17</v>
      </c>
      <c r="S759" s="129"/>
      <c r="T759" s="117">
        <f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17.147738461538463</v>
      </c>
      <c r="U759" s="117"/>
      <c r="V759" s="129"/>
      <c r="W759" s="114"/>
    </row>
    <row r="760" spans="2:23">
      <c r="B760" s="114"/>
      <c r="C760" s="74"/>
      <c r="D760" s="74"/>
      <c r="E760" s="74"/>
      <c r="F760" s="114"/>
      <c r="G760" s="74"/>
      <c r="H760" s="74"/>
      <c r="I760" s="74"/>
      <c r="J760" s="114"/>
      <c r="K760" s="74"/>
      <c r="L760" s="114"/>
      <c r="M760" s="115"/>
      <c r="N760" s="115"/>
      <c r="O760" s="74"/>
      <c r="P760" s="74"/>
      <c r="Q760" s="74"/>
      <c r="R760" s="114"/>
      <c r="S760" s="129"/>
      <c r="T760" s="117"/>
      <c r="U760" s="117"/>
      <c r="V760" s="129"/>
      <c r="W760" s="114"/>
    </row>
    <row r="761" spans="2:23">
      <c r="B761" s="114">
        <v>19</v>
      </c>
      <c r="C761" s="74">
        <f t="shared" si="418"/>
        <v>18.75</v>
      </c>
      <c r="D761" s="74">
        <f t="shared" si="419"/>
        <v>18.5</v>
      </c>
      <c r="E761" s="74">
        <f t="shared" si="420"/>
        <v>18.25</v>
      </c>
      <c r="F761" s="114">
        <v>18</v>
      </c>
      <c r="G761" s="74">
        <f t="shared" si="421"/>
        <v>17.75</v>
      </c>
      <c r="H761" s="74">
        <f t="shared" si="422"/>
        <v>17.5</v>
      </c>
      <c r="I761" s="74">
        <f t="shared" si="423"/>
        <v>17.25</v>
      </c>
      <c r="J761" s="114">
        <f t="shared" si="424"/>
        <v>17</v>
      </c>
      <c r="K761" s="74">
        <f t="shared" ref="K761:K772" si="438">SUM(0.5*(L761-J761),J761)</f>
        <v>16.8125</v>
      </c>
      <c r="L761" s="114">
        <f t="shared" si="431"/>
        <v>16.625</v>
      </c>
      <c r="M761" s="115">
        <f t="shared" ref="M761:M772" si="439">SUM(0.166*(R761-L761),L761)</f>
        <v>16.687249999999999</v>
      </c>
      <c r="N761" s="115">
        <f t="shared" ref="N761:N772" si="440">SUM(0.333*(R761-L761),L761)</f>
        <v>16.749874999999999</v>
      </c>
      <c r="O761" s="74">
        <f t="shared" ref="O761:O772" si="441">SUM(0.5*(R761-L761),L761)</f>
        <v>16.8125</v>
      </c>
      <c r="P761" s="74">
        <f t="shared" ref="P761:P772" si="442">SUM(0.666*(R761-L761),L761)</f>
        <v>16.874749999999999</v>
      </c>
      <c r="Q761" s="74">
        <f t="shared" ref="Q761:Q772" si="443">SUM(0.832*(R761-L761),L761)</f>
        <v>16.937000000000001</v>
      </c>
      <c r="R761" s="114">
        <v>17</v>
      </c>
      <c r="S761" s="129"/>
      <c r="T761" s="117">
        <f>SUM((BR20+BS19+BS18+BT17+BT16+BU15+BU14+BV13+BV12+BW11+BW10+BW9+BW8+BV7+BV6+BV5+BV4)*0.132,17)</f>
        <v>17.783538461538463</v>
      </c>
      <c r="U761" s="117"/>
      <c r="V761" s="129"/>
      <c r="W761" s="114"/>
    </row>
    <row r="762" spans="2:23">
      <c r="B762" s="114">
        <v>20</v>
      </c>
      <c r="C762" s="74">
        <f t="shared" si="418"/>
        <v>19.5</v>
      </c>
      <c r="D762" s="74">
        <f t="shared" si="419"/>
        <v>19</v>
      </c>
      <c r="E762" s="74">
        <f t="shared" si="420"/>
        <v>18.5</v>
      </c>
      <c r="F762" s="114">
        <v>18</v>
      </c>
      <c r="G762" s="74">
        <f t="shared" si="421"/>
        <v>17.5</v>
      </c>
      <c r="H762" s="74">
        <f t="shared" si="422"/>
        <v>17</v>
      </c>
      <c r="I762" s="74">
        <f t="shared" si="423"/>
        <v>16.5</v>
      </c>
      <c r="J762" s="114">
        <f t="shared" si="424"/>
        <v>16</v>
      </c>
      <c r="K762" s="74">
        <f t="shared" si="438"/>
        <v>15.625</v>
      </c>
      <c r="L762" s="114">
        <f t="shared" si="431"/>
        <v>15.25</v>
      </c>
      <c r="M762" s="115">
        <f t="shared" si="439"/>
        <v>15.5405</v>
      </c>
      <c r="N762" s="115">
        <f t="shared" si="440"/>
        <v>15.832750000000001</v>
      </c>
      <c r="O762" s="74">
        <f t="shared" si="441"/>
        <v>16.125</v>
      </c>
      <c r="P762" s="74">
        <f t="shared" si="442"/>
        <v>16.415500000000002</v>
      </c>
      <c r="Q762" s="74">
        <f t="shared" si="443"/>
        <v>16.706</v>
      </c>
      <c r="R762" s="114">
        <v>17</v>
      </c>
      <c r="S762" s="129"/>
      <c r="T762" s="117">
        <f>SUM((BP20+BQ19+BR18+BS17+BT16+BU15+BV14+BW13+BX12+BY11+BZ10+BY9+BX8+BW7+BW6+BV5+BV4)*0.132,17)</f>
        <v>17.651538461538461</v>
      </c>
      <c r="U762" s="117"/>
      <c r="V762" s="129"/>
      <c r="W762" s="114"/>
    </row>
    <row r="763" spans="2:23">
      <c r="B763" s="114">
        <v>21</v>
      </c>
      <c r="C763" s="74">
        <f t="shared" si="418"/>
        <v>20.25</v>
      </c>
      <c r="D763" s="74">
        <f t="shared" si="419"/>
        <v>19.5</v>
      </c>
      <c r="E763" s="74">
        <f t="shared" si="420"/>
        <v>18.75</v>
      </c>
      <c r="F763" s="114">
        <v>18</v>
      </c>
      <c r="G763" s="74">
        <f t="shared" si="421"/>
        <v>17.25</v>
      </c>
      <c r="H763" s="74">
        <f t="shared" si="422"/>
        <v>16.5</v>
      </c>
      <c r="I763" s="74">
        <f t="shared" si="423"/>
        <v>15.75</v>
      </c>
      <c r="J763" s="114">
        <f t="shared" si="424"/>
        <v>15</v>
      </c>
      <c r="K763" s="74">
        <f t="shared" si="438"/>
        <v>14.4375</v>
      </c>
      <c r="L763" s="114">
        <f t="shared" si="431"/>
        <v>13.875</v>
      </c>
      <c r="M763" s="115">
        <f t="shared" si="439"/>
        <v>14.393750000000001</v>
      </c>
      <c r="N763" s="115">
        <f t="shared" si="440"/>
        <v>14.915625</v>
      </c>
      <c r="O763" s="74">
        <f t="shared" si="441"/>
        <v>15.4375</v>
      </c>
      <c r="P763" s="74">
        <f t="shared" si="442"/>
        <v>15.956250000000001</v>
      </c>
      <c r="Q763" s="74">
        <f t="shared" si="443"/>
        <v>16.475000000000001</v>
      </c>
      <c r="R763" s="114">
        <v>17</v>
      </c>
      <c r="S763" s="129"/>
      <c r="T763" s="117">
        <f>SUM((BN20+BQ18+BT16+BW14+BZ12+CA11+CB10+CA9+BZ8+BY7+BX6+BW5+BV4)*0.132,(BO19+BP19+BR17+BS17+BU15+BV15+BX13+BY13)*0.132/2,17)</f>
        <v>17.71753846153846</v>
      </c>
      <c r="U763" s="117"/>
      <c r="V763" s="129"/>
      <c r="W763" s="114"/>
    </row>
    <row r="764" spans="2:23">
      <c r="B764" s="114">
        <v>22</v>
      </c>
      <c r="C764" s="74">
        <f t="shared" si="418"/>
        <v>21</v>
      </c>
      <c r="D764" s="74">
        <f t="shared" si="419"/>
        <v>20</v>
      </c>
      <c r="E764" s="74">
        <f t="shared" si="420"/>
        <v>19</v>
      </c>
      <c r="F764" s="114">
        <v>18</v>
      </c>
      <c r="G764" s="74">
        <f t="shared" si="421"/>
        <v>17</v>
      </c>
      <c r="H764" s="74">
        <f t="shared" si="422"/>
        <v>16</v>
      </c>
      <c r="I764" s="74">
        <f t="shared" si="423"/>
        <v>15</v>
      </c>
      <c r="J764" s="114">
        <f t="shared" si="424"/>
        <v>14</v>
      </c>
      <c r="K764" s="74">
        <f t="shared" si="438"/>
        <v>13.25</v>
      </c>
      <c r="L764" s="114">
        <f t="shared" si="431"/>
        <v>12.5</v>
      </c>
      <c r="M764" s="115">
        <f t="shared" si="439"/>
        <v>13.247</v>
      </c>
      <c r="N764" s="115">
        <f t="shared" si="440"/>
        <v>13.9985</v>
      </c>
      <c r="O764" s="74">
        <f t="shared" si="441"/>
        <v>14.75</v>
      </c>
      <c r="P764" s="74">
        <f t="shared" si="442"/>
        <v>15.497</v>
      </c>
      <c r="Q764" s="74">
        <f t="shared" si="443"/>
        <v>16.244</v>
      </c>
      <c r="R764" s="114">
        <v>17</v>
      </c>
      <c r="S764" s="129"/>
      <c r="T764" s="117">
        <f>SUM((BM19+BN19+BO18+BP18+BQ17+BR17+BS16+BT16+BU15+BV15+BW14+BX14+BY13+BZ13+CA12+CB12+CC11+CD11)*0.132/2,(BL20+CE10+BX6+BW5+BV4)*0.132,(CD9+CC9+CB8+CA8+BZ7+BY7)*0.132/2,17)</f>
        <v>17.783538461538463</v>
      </c>
      <c r="U764" s="117"/>
      <c r="V764" s="129"/>
      <c r="W764" s="114"/>
    </row>
    <row r="765" spans="2:23">
      <c r="B765" s="114">
        <v>23</v>
      </c>
      <c r="C765" s="74">
        <f t="shared" si="418"/>
        <v>21.75</v>
      </c>
      <c r="D765" s="74">
        <f t="shared" si="419"/>
        <v>20.5</v>
      </c>
      <c r="E765" s="74">
        <f t="shared" si="420"/>
        <v>19.25</v>
      </c>
      <c r="F765" s="114">
        <v>18</v>
      </c>
      <c r="G765" s="74">
        <f t="shared" si="421"/>
        <v>16.75</v>
      </c>
      <c r="H765" s="74">
        <f t="shared" si="422"/>
        <v>15.5</v>
      </c>
      <c r="I765" s="74">
        <f t="shared" si="423"/>
        <v>14.25</v>
      </c>
      <c r="J765" s="114">
        <f t="shared" si="424"/>
        <v>13</v>
      </c>
      <c r="K765" s="74">
        <f t="shared" si="438"/>
        <v>12.0625</v>
      </c>
      <c r="L765" s="114">
        <f t="shared" si="431"/>
        <v>11.125</v>
      </c>
      <c r="M765" s="115">
        <f t="shared" si="439"/>
        <v>12.100250000000001</v>
      </c>
      <c r="N765" s="115">
        <f t="shared" si="440"/>
        <v>13.081375</v>
      </c>
      <c r="O765" s="74">
        <f t="shared" si="441"/>
        <v>14.0625</v>
      </c>
      <c r="P765" s="74">
        <f t="shared" si="442"/>
        <v>15.037750000000001</v>
      </c>
      <c r="Q765" s="74">
        <f t="shared" si="443"/>
        <v>16.012999999999998</v>
      </c>
      <c r="R765" s="114">
        <v>17</v>
      </c>
      <c r="S765" s="129"/>
      <c r="T765" s="117">
        <f>SUM((BJ20+BK20+BL19+BM19+BQ17+BR17+BS16+BT16+BX14+BY14+CC12+CD12+CE11+CF11+CG10+CH10)*0.132/2,(BN18+BO18+BP18+BU15+BV15+BW15+BZ13+CA13+CB13)*0.132/3,(CG9+CF9+CE8+CD8+CC7+CB7+CA6+BZ6+BY5+BX5+BW4+BV4)*0.132/2,17)</f>
        <v>17.673538461538463</v>
      </c>
      <c r="U765" s="117"/>
      <c r="V765" s="129"/>
      <c r="W765" s="114"/>
    </row>
    <row r="766" spans="2:23">
      <c r="B766" s="114">
        <v>24</v>
      </c>
      <c r="C766" s="74">
        <f t="shared" si="418"/>
        <v>22.5</v>
      </c>
      <c r="D766" s="74">
        <f t="shared" si="419"/>
        <v>21</v>
      </c>
      <c r="E766" s="74">
        <f t="shared" si="420"/>
        <v>19.5</v>
      </c>
      <c r="F766" s="114">
        <v>18</v>
      </c>
      <c r="G766" s="74">
        <f t="shared" si="421"/>
        <v>16.5</v>
      </c>
      <c r="H766" s="74">
        <f t="shared" si="422"/>
        <v>15</v>
      </c>
      <c r="I766" s="74">
        <f t="shared" si="423"/>
        <v>13.5</v>
      </c>
      <c r="J766" s="114">
        <f t="shared" si="424"/>
        <v>12</v>
      </c>
      <c r="K766" s="74">
        <f t="shared" si="438"/>
        <v>10.875</v>
      </c>
      <c r="L766" s="114">
        <f t="shared" si="431"/>
        <v>9.75</v>
      </c>
      <c r="M766" s="115">
        <f t="shared" si="439"/>
        <v>10.9535</v>
      </c>
      <c r="N766" s="115">
        <f t="shared" si="440"/>
        <v>12.164249999999999</v>
      </c>
      <c r="O766" s="74">
        <f t="shared" si="441"/>
        <v>13.375</v>
      </c>
      <c r="P766" s="74">
        <f t="shared" si="442"/>
        <v>14.5785</v>
      </c>
      <c r="Q766" s="74">
        <f t="shared" si="443"/>
        <v>15.782</v>
      </c>
      <c r="R766" s="114">
        <v>17</v>
      </c>
      <c r="S766" s="129"/>
      <c r="T766" s="117">
        <f>SUM((BH20+BI20+BM18+BN18)*0.132/2,(BJ19+BK19+BL19+BO17+BP17+BQ17+BR16+BS16+BT16+BU15+BV15+BW15+BX14+BY14+BZ14+CA13+CB13+CC13+CD12+CE12+CF12+CG11+CH11+CI11)*0.132/3,(CJ10+CK10+CA6+BZ6+BY5+BX5+BW4+BV4)*0.132/2,(CJ9+CI9+CH9+CG8+CF8+CE8+CD7+CC7+CB7)*0.132/3,17)</f>
        <v>17.695538461538462</v>
      </c>
      <c r="U766" s="117"/>
      <c r="V766" s="129"/>
      <c r="W766" s="114"/>
    </row>
    <row r="767" spans="2:23">
      <c r="B767" s="114">
        <v>25</v>
      </c>
      <c r="C767" s="74">
        <f t="shared" si="418"/>
        <v>23.25</v>
      </c>
      <c r="D767" s="74">
        <f t="shared" si="419"/>
        <v>21.5</v>
      </c>
      <c r="E767" s="74">
        <f t="shared" si="420"/>
        <v>19.75</v>
      </c>
      <c r="F767" s="114">
        <v>18</v>
      </c>
      <c r="G767" s="74">
        <f t="shared" si="421"/>
        <v>16.25</v>
      </c>
      <c r="H767" s="74">
        <f t="shared" si="422"/>
        <v>14.5</v>
      </c>
      <c r="I767" s="74">
        <f t="shared" si="423"/>
        <v>12.75</v>
      </c>
      <c r="J767" s="114">
        <f t="shared" si="424"/>
        <v>11</v>
      </c>
      <c r="K767" s="74">
        <f t="shared" si="438"/>
        <v>9.6875</v>
      </c>
      <c r="L767" s="114">
        <f t="shared" si="431"/>
        <v>8.375</v>
      </c>
      <c r="M767" s="115">
        <f t="shared" si="439"/>
        <v>9.806750000000001</v>
      </c>
      <c r="N767" s="115">
        <f t="shared" si="440"/>
        <v>11.247125</v>
      </c>
      <c r="O767" s="74">
        <f t="shared" si="441"/>
        <v>12.6875</v>
      </c>
      <c r="P767" s="74">
        <f t="shared" si="442"/>
        <v>14.119250000000001</v>
      </c>
      <c r="Q767" s="74">
        <f t="shared" si="443"/>
        <v>15.550999999999998</v>
      </c>
      <c r="R767" s="114">
        <v>17</v>
      </c>
      <c r="S767" s="129"/>
      <c r="T767" s="117">
        <f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17.40953846153846</v>
      </c>
      <c r="U767" s="117"/>
      <c r="V767" s="129"/>
      <c r="W767" s="114"/>
    </row>
    <row r="768" spans="2:23">
      <c r="B768" s="114">
        <v>26</v>
      </c>
      <c r="C768" s="74">
        <f t="shared" si="418"/>
        <v>24</v>
      </c>
      <c r="D768" s="74">
        <f t="shared" si="419"/>
        <v>22</v>
      </c>
      <c r="E768" s="74">
        <f t="shared" si="420"/>
        <v>20</v>
      </c>
      <c r="F768" s="114">
        <v>18</v>
      </c>
      <c r="G768" s="74">
        <f t="shared" si="421"/>
        <v>16</v>
      </c>
      <c r="H768" s="74">
        <f t="shared" si="422"/>
        <v>14</v>
      </c>
      <c r="I768" s="74">
        <f t="shared" si="423"/>
        <v>12</v>
      </c>
      <c r="J768" s="114">
        <f t="shared" si="424"/>
        <v>10</v>
      </c>
      <c r="K768" s="74">
        <f t="shared" si="438"/>
        <v>8.5</v>
      </c>
      <c r="L768" s="114">
        <f t="shared" si="431"/>
        <v>7</v>
      </c>
      <c r="M768" s="115">
        <f t="shared" si="439"/>
        <v>8.66</v>
      </c>
      <c r="N768" s="115">
        <f t="shared" si="440"/>
        <v>10.33</v>
      </c>
      <c r="O768" s="74">
        <f t="shared" si="441"/>
        <v>12</v>
      </c>
      <c r="P768" s="74">
        <f t="shared" si="442"/>
        <v>13.66</v>
      </c>
      <c r="Q768" s="74">
        <f t="shared" si="443"/>
        <v>15.32</v>
      </c>
      <c r="R768" s="114">
        <v>17</v>
      </c>
      <c r="S768" s="129"/>
      <c r="T768" s="117">
        <f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17.332538461538462</v>
      </c>
      <c r="U768" s="117"/>
      <c r="V768" s="129"/>
      <c r="W768" s="114"/>
    </row>
    <row r="769" spans="2:23">
      <c r="B769" s="114">
        <v>27</v>
      </c>
      <c r="C769" s="74">
        <f t="shared" si="418"/>
        <v>24.75</v>
      </c>
      <c r="D769" s="74">
        <f t="shared" si="419"/>
        <v>22.5</v>
      </c>
      <c r="E769" s="74">
        <f t="shared" si="420"/>
        <v>20.25</v>
      </c>
      <c r="F769" s="114">
        <v>18</v>
      </c>
      <c r="G769" s="74">
        <f t="shared" si="421"/>
        <v>15.75</v>
      </c>
      <c r="H769" s="74">
        <f t="shared" si="422"/>
        <v>13.5</v>
      </c>
      <c r="I769" s="74">
        <f t="shared" si="423"/>
        <v>11.25</v>
      </c>
      <c r="J769" s="114">
        <f t="shared" si="424"/>
        <v>9</v>
      </c>
      <c r="K769" s="74">
        <f t="shared" si="438"/>
        <v>7.3125</v>
      </c>
      <c r="L769" s="114">
        <f t="shared" si="431"/>
        <v>5.625</v>
      </c>
      <c r="M769" s="115">
        <f t="shared" si="439"/>
        <v>7.5132500000000002</v>
      </c>
      <c r="N769" s="115">
        <f t="shared" si="440"/>
        <v>9.4128749999999997</v>
      </c>
      <c r="O769" s="74">
        <f t="shared" si="441"/>
        <v>11.3125</v>
      </c>
      <c r="P769" s="74">
        <f t="shared" si="442"/>
        <v>13.200749999999999</v>
      </c>
      <c r="Q769" s="74">
        <f t="shared" si="443"/>
        <v>15.089</v>
      </c>
      <c r="R769" s="114">
        <v>17</v>
      </c>
      <c r="S769" s="129"/>
      <c r="T769" s="117">
        <f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17.070738461538461</v>
      </c>
      <c r="U769" s="117"/>
      <c r="V769" s="129"/>
      <c r="W769" s="114"/>
    </row>
    <row r="770" spans="2:23">
      <c r="B770" s="114">
        <v>28</v>
      </c>
      <c r="C770" s="74">
        <f t="shared" si="418"/>
        <v>25.5</v>
      </c>
      <c r="D770" s="74">
        <f t="shared" si="419"/>
        <v>23</v>
      </c>
      <c r="E770" s="74">
        <f t="shared" si="420"/>
        <v>20.5</v>
      </c>
      <c r="F770" s="114">
        <v>18</v>
      </c>
      <c r="G770" s="74">
        <f t="shared" si="421"/>
        <v>15.5</v>
      </c>
      <c r="H770" s="74">
        <f t="shared" si="422"/>
        <v>13</v>
      </c>
      <c r="I770" s="74">
        <f t="shared" si="423"/>
        <v>10.5</v>
      </c>
      <c r="J770" s="114">
        <f t="shared" si="424"/>
        <v>8</v>
      </c>
      <c r="K770" s="74">
        <f t="shared" si="438"/>
        <v>6.125</v>
      </c>
      <c r="L770" s="114">
        <f t="shared" si="431"/>
        <v>4.25</v>
      </c>
      <c r="M770" s="115">
        <f t="shared" si="439"/>
        <v>6.3665000000000003</v>
      </c>
      <c r="N770" s="115">
        <f t="shared" si="440"/>
        <v>8.495750000000001</v>
      </c>
      <c r="O770" s="74">
        <f t="shared" si="441"/>
        <v>10.625</v>
      </c>
      <c r="P770" s="74">
        <f t="shared" si="442"/>
        <v>12.7415</v>
      </c>
      <c r="Q770" s="74">
        <f t="shared" si="443"/>
        <v>14.857999999999999</v>
      </c>
      <c r="R770" s="114">
        <v>17</v>
      </c>
      <c r="S770" s="129"/>
      <c r="T770" s="117">
        <f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17.11693846153846</v>
      </c>
      <c r="U770" s="117"/>
      <c r="V770" s="129"/>
      <c r="W770" s="114"/>
    </row>
    <row r="771" spans="2:23">
      <c r="B771" s="114">
        <v>29</v>
      </c>
      <c r="C771" s="74">
        <f t="shared" si="418"/>
        <v>26.25</v>
      </c>
      <c r="D771" s="74">
        <f t="shared" si="419"/>
        <v>23.5</v>
      </c>
      <c r="E771" s="74">
        <f t="shared" si="420"/>
        <v>20.75</v>
      </c>
      <c r="F771" s="114">
        <v>18</v>
      </c>
      <c r="G771" s="74">
        <f t="shared" si="421"/>
        <v>15.25</v>
      </c>
      <c r="H771" s="74">
        <f t="shared" si="422"/>
        <v>12.5</v>
      </c>
      <c r="I771" s="74">
        <f t="shared" si="423"/>
        <v>9.75</v>
      </c>
      <c r="J771" s="114">
        <f t="shared" si="424"/>
        <v>7</v>
      </c>
      <c r="K771" s="74">
        <f t="shared" si="438"/>
        <v>4.9375</v>
      </c>
      <c r="L771" s="114">
        <f t="shared" si="431"/>
        <v>2.875</v>
      </c>
      <c r="M771" s="115">
        <f t="shared" si="439"/>
        <v>5.2197500000000003</v>
      </c>
      <c r="N771" s="115">
        <f t="shared" si="440"/>
        <v>7.5786250000000006</v>
      </c>
      <c r="O771" s="74">
        <f t="shared" si="441"/>
        <v>9.9375</v>
      </c>
      <c r="P771" s="74">
        <f t="shared" si="442"/>
        <v>12.282250000000001</v>
      </c>
      <c r="Q771" s="74">
        <f t="shared" si="443"/>
        <v>14.626999999999999</v>
      </c>
      <c r="R771" s="114">
        <v>17</v>
      </c>
      <c r="S771" s="129"/>
      <c r="T771" s="117">
        <f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17.213738461538462</v>
      </c>
      <c r="U771" s="117"/>
      <c r="V771" s="129"/>
      <c r="W771" s="114"/>
    </row>
    <row r="772" spans="2:23">
      <c r="B772" s="114">
        <v>30</v>
      </c>
      <c r="C772" s="74">
        <f t="shared" si="418"/>
        <v>27</v>
      </c>
      <c r="D772" s="74">
        <f t="shared" si="419"/>
        <v>24</v>
      </c>
      <c r="E772" s="74">
        <f t="shared" si="420"/>
        <v>21</v>
      </c>
      <c r="F772" s="114">
        <v>18</v>
      </c>
      <c r="G772" s="74">
        <f t="shared" si="421"/>
        <v>15</v>
      </c>
      <c r="H772" s="74">
        <f t="shared" si="422"/>
        <v>12</v>
      </c>
      <c r="I772" s="74">
        <f t="shared" si="423"/>
        <v>9</v>
      </c>
      <c r="J772" s="114">
        <f t="shared" si="424"/>
        <v>6</v>
      </c>
      <c r="K772" s="74">
        <f t="shared" si="438"/>
        <v>3.75</v>
      </c>
      <c r="L772" s="114">
        <f t="shared" si="431"/>
        <v>1.5</v>
      </c>
      <c r="M772" s="115">
        <f t="shared" si="439"/>
        <v>4.0730000000000004</v>
      </c>
      <c r="N772" s="115">
        <f t="shared" si="440"/>
        <v>6.6615000000000002</v>
      </c>
      <c r="O772" s="74">
        <f t="shared" si="441"/>
        <v>9.25</v>
      </c>
      <c r="P772" s="74">
        <f t="shared" si="442"/>
        <v>11.823</v>
      </c>
      <c r="Q772" s="74">
        <f t="shared" si="443"/>
        <v>14.395999999999999</v>
      </c>
      <c r="R772" s="114">
        <v>17</v>
      </c>
      <c r="S772" s="129"/>
      <c r="T772" s="126">
        <f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17.050938461538461</v>
      </c>
      <c r="U772" s="126"/>
      <c r="V772" s="129"/>
      <c r="W772" s="114"/>
    </row>
    <row r="773" spans="2:23">
      <c r="B773" s="114"/>
      <c r="C773" s="74"/>
      <c r="D773" s="74"/>
      <c r="E773" s="74"/>
      <c r="F773" s="114"/>
      <c r="G773" s="74"/>
      <c r="H773" s="74"/>
      <c r="I773" s="74"/>
      <c r="J773" s="114"/>
      <c r="K773" s="74"/>
      <c r="L773" s="114"/>
      <c r="M773" s="115"/>
      <c r="N773" s="115"/>
      <c r="O773" s="74"/>
      <c r="P773" s="74"/>
      <c r="Q773" s="74"/>
      <c r="R773" s="114"/>
      <c r="S773" s="129"/>
      <c r="T773" s="117"/>
      <c r="U773" s="117"/>
      <c r="V773" s="129"/>
      <c r="W773" s="114"/>
    </row>
    <row r="774" spans="2:23">
      <c r="B774" s="114">
        <v>20</v>
      </c>
      <c r="C774" s="74">
        <f t="shared" si="418"/>
        <v>19.75</v>
      </c>
      <c r="D774" s="74">
        <f t="shared" si="419"/>
        <v>19.5</v>
      </c>
      <c r="E774" s="74">
        <f t="shared" si="420"/>
        <v>19.25</v>
      </c>
      <c r="F774" s="114">
        <v>19</v>
      </c>
      <c r="G774" s="74">
        <f t="shared" si="421"/>
        <v>18.75</v>
      </c>
      <c r="H774" s="74">
        <f t="shared" si="422"/>
        <v>18.5</v>
      </c>
      <c r="I774" s="74">
        <f t="shared" si="423"/>
        <v>18.25</v>
      </c>
      <c r="J774" s="114">
        <f t="shared" si="424"/>
        <v>18</v>
      </c>
      <c r="K774" s="74">
        <f t="shared" ref="K774:K786" si="444">SUM(0.5*(L774-J774),J774)</f>
        <v>17.8125</v>
      </c>
      <c r="L774" s="114">
        <f t="shared" si="431"/>
        <v>17.625</v>
      </c>
      <c r="M774" s="115">
        <f t="shared" ref="M774:M786" si="445">SUM(0.166*(R774-L774),L774)</f>
        <v>17.521249999999998</v>
      </c>
      <c r="N774" s="115">
        <f t="shared" ref="N774:N786" si="446">SUM(0.333*(R774-L774),L774)</f>
        <v>17.416875000000001</v>
      </c>
      <c r="O774" s="74">
        <f t="shared" ref="O774:O786" si="447">SUM(0.5*(R774-L774),L774)</f>
        <v>17.3125</v>
      </c>
      <c r="P774" s="74">
        <f t="shared" ref="P774:P786" si="448">SUM(0.666*(R774-L774),L774)</f>
        <v>17.208749999999998</v>
      </c>
      <c r="Q774" s="74">
        <f t="shared" ref="Q774:Q786" si="449">SUM(0.832*(R774-L774),L774)</f>
        <v>17.105</v>
      </c>
      <c r="R774" s="114">
        <v>17</v>
      </c>
      <c r="S774" s="129"/>
      <c r="T774" s="117">
        <f>SUM((BP20+BQ19+BQ18+BR17+BR16+BS15+BS14+BT13+BT12+BU11+BU10+BU9+BU8+BU7+BV6+BV5+BV4)*0.132,17)</f>
        <v>17.387538461538462</v>
      </c>
      <c r="U774" s="117"/>
      <c r="V774" s="129"/>
      <c r="W774" s="114"/>
    </row>
    <row r="775" spans="2:23">
      <c r="B775" s="114">
        <v>21</v>
      </c>
      <c r="C775" s="74">
        <f t="shared" si="418"/>
        <v>20.5</v>
      </c>
      <c r="D775" s="74">
        <f t="shared" si="419"/>
        <v>20</v>
      </c>
      <c r="E775" s="74">
        <f t="shared" si="420"/>
        <v>19.5</v>
      </c>
      <c r="F775" s="114">
        <v>19</v>
      </c>
      <c r="G775" s="74">
        <f t="shared" si="421"/>
        <v>18.5</v>
      </c>
      <c r="H775" s="74">
        <f t="shared" si="422"/>
        <v>18</v>
      </c>
      <c r="I775" s="74">
        <f t="shared" si="423"/>
        <v>17.5</v>
      </c>
      <c r="J775" s="114">
        <f t="shared" si="424"/>
        <v>17</v>
      </c>
      <c r="K775" s="74">
        <f t="shared" si="444"/>
        <v>16.625</v>
      </c>
      <c r="L775" s="114">
        <f t="shared" si="431"/>
        <v>16.25</v>
      </c>
      <c r="M775" s="115">
        <f t="shared" si="445"/>
        <v>16.374500000000001</v>
      </c>
      <c r="N775" s="115">
        <f t="shared" si="446"/>
        <v>16.499749999999999</v>
      </c>
      <c r="O775" s="74">
        <f t="shared" si="447"/>
        <v>16.625</v>
      </c>
      <c r="P775" s="74">
        <f t="shared" si="448"/>
        <v>16.749500000000001</v>
      </c>
      <c r="Q775" s="74">
        <f t="shared" si="449"/>
        <v>16.873999999999999</v>
      </c>
      <c r="R775" s="114">
        <v>17</v>
      </c>
      <c r="S775" s="129"/>
      <c r="T775" s="117">
        <f>SUM((BN20+BO19+BP18+BQ17+BR16+BS15+BT14+BU13+BV12+BW11+BX10+BX9+BW8+BW7+BV6+BV5+BV4)*0.132,17)</f>
        <v>16.991538461538461</v>
      </c>
      <c r="U775" s="117"/>
      <c r="V775" s="129"/>
      <c r="W775" s="114"/>
    </row>
    <row r="776" spans="2:23">
      <c r="B776" s="114">
        <v>22</v>
      </c>
      <c r="C776" s="74">
        <f t="shared" si="418"/>
        <v>21.25</v>
      </c>
      <c r="D776" s="74">
        <f t="shared" si="419"/>
        <v>20.5</v>
      </c>
      <c r="E776" s="74">
        <f t="shared" si="420"/>
        <v>19.75</v>
      </c>
      <c r="F776" s="114">
        <v>19</v>
      </c>
      <c r="G776" s="74">
        <f t="shared" si="421"/>
        <v>18.25</v>
      </c>
      <c r="H776" s="74">
        <f t="shared" si="422"/>
        <v>17.5</v>
      </c>
      <c r="I776" s="74">
        <f t="shared" si="423"/>
        <v>16.75</v>
      </c>
      <c r="J776" s="114">
        <f t="shared" si="424"/>
        <v>16</v>
      </c>
      <c r="K776" s="74">
        <f t="shared" si="444"/>
        <v>15.4375</v>
      </c>
      <c r="L776" s="114">
        <f t="shared" si="431"/>
        <v>14.875</v>
      </c>
      <c r="M776" s="115">
        <f t="shared" si="445"/>
        <v>15.22775</v>
      </c>
      <c r="N776" s="115">
        <f t="shared" si="446"/>
        <v>15.582625</v>
      </c>
      <c r="O776" s="74">
        <f t="shared" si="447"/>
        <v>15.9375</v>
      </c>
      <c r="P776" s="74">
        <f t="shared" si="448"/>
        <v>16.29025</v>
      </c>
      <c r="Q776" s="74">
        <f t="shared" si="449"/>
        <v>16.643000000000001</v>
      </c>
      <c r="R776" s="114">
        <v>17</v>
      </c>
      <c r="S776" s="129"/>
      <c r="T776" s="117">
        <f>SUM((BL20+BO18+BR16+BU14+BX12+BY11+BZ10+BY9+BX8+BW7+BW6+BV5+BV4)*0.132,(BM19+BN19+BP17+BQ17+BS15+BT15+BV13+BW13)*0.132/2,17)</f>
        <v>17.25553846153846</v>
      </c>
      <c r="U776" s="117"/>
      <c r="V776" s="129"/>
      <c r="W776" s="114"/>
    </row>
    <row r="777" spans="2:23">
      <c r="B777" s="114">
        <v>23</v>
      </c>
      <c r="C777" s="74">
        <f t="shared" si="418"/>
        <v>22</v>
      </c>
      <c r="D777" s="74">
        <f t="shared" si="419"/>
        <v>21</v>
      </c>
      <c r="E777" s="74">
        <f t="shared" si="420"/>
        <v>20</v>
      </c>
      <c r="F777" s="114">
        <v>19</v>
      </c>
      <c r="G777" s="74">
        <f t="shared" si="421"/>
        <v>18</v>
      </c>
      <c r="H777" s="74">
        <f t="shared" si="422"/>
        <v>17</v>
      </c>
      <c r="I777" s="74">
        <f t="shared" si="423"/>
        <v>16</v>
      </c>
      <c r="J777" s="114">
        <f t="shared" si="424"/>
        <v>15</v>
      </c>
      <c r="K777" s="74">
        <f t="shared" si="444"/>
        <v>14.25</v>
      </c>
      <c r="L777" s="114">
        <f t="shared" si="431"/>
        <v>13.5</v>
      </c>
      <c r="M777" s="115">
        <f t="shared" si="445"/>
        <v>14.081</v>
      </c>
      <c r="N777" s="115">
        <f t="shared" si="446"/>
        <v>14.6655</v>
      </c>
      <c r="O777" s="74">
        <f t="shared" si="447"/>
        <v>15.25</v>
      </c>
      <c r="P777" s="74">
        <f t="shared" si="448"/>
        <v>15.831</v>
      </c>
      <c r="Q777" s="74">
        <f t="shared" si="449"/>
        <v>16.411999999999999</v>
      </c>
      <c r="R777" s="114">
        <v>17</v>
      </c>
      <c r="S777" s="129"/>
      <c r="T777" s="117">
        <f>SUM((BK19+BL19+BM18+BN18+BO17+BP17+BQ16+BR16+BS15+BT15+BU14+BV14+BW13+BX13+BY12+BZ12+CA11+CB11+CB9+CA9)*0.132/2,(BJ20+CC10+BZ8+BY7+BX6+BW5+BV4)*0.132,17)</f>
        <v>17.05753846153846</v>
      </c>
      <c r="U777" s="117"/>
      <c r="V777" s="129"/>
      <c r="W777" s="114"/>
    </row>
    <row r="778" spans="2:23">
      <c r="B778" s="114">
        <v>24</v>
      </c>
      <c r="C778" s="74">
        <f t="shared" si="418"/>
        <v>22.75</v>
      </c>
      <c r="D778" s="74">
        <f t="shared" si="419"/>
        <v>21.5</v>
      </c>
      <c r="E778" s="74">
        <f t="shared" si="420"/>
        <v>20.25</v>
      </c>
      <c r="F778" s="114">
        <v>19</v>
      </c>
      <c r="G778" s="74">
        <f t="shared" si="421"/>
        <v>17.75</v>
      </c>
      <c r="H778" s="74">
        <f t="shared" si="422"/>
        <v>16.5</v>
      </c>
      <c r="I778" s="74">
        <f t="shared" si="423"/>
        <v>15.25</v>
      </c>
      <c r="J778" s="114">
        <f t="shared" si="424"/>
        <v>14</v>
      </c>
      <c r="K778" s="74">
        <f t="shared" si="444"/>
        <v>13.0625</v>
      </c>
      <c r="L778" s="114">
        <f t="shared" si="431"/>
        <v>12.125</v>
      </c>
      <c r="M778" s="115">
        <f t="shared" si="445"/>
        <v>12.93425</v>
      </c>
      <c r="N778" s="115">
        <f t="shared" si="446"/>
        <v>13.748374999999999</v>
      </c>
      <c r="O778" s="74">
        <f t="shared" si="447"/>
        <v>14.5625</v>
      </c>
      <c r="P778" s="74">
        <f t="shared" si="448"/>
        <v>15.37175</v>
      </c>
      <c r="Q778" s="74">
        <f t="shared" si="449"/>
        <v>16.181000000000001</v>
      </c>
      <c r="R778" s="114">
        <v>17</v>
      </c>
      <c r="S778" s="129"/>
      <c r="T778" s="117">
        <f>SUM((BH20+BI20+BJ19+BK19+BO17+BP17+BQ16+BR16)*0.132/2,(BL18+BM18+BN18+BS15+BT15+BU15+BX13+BY13+BZ13)*0.132/3,(BV14+BW14+CA12+CB12+CC11+CD11+CE10+CF10+CE9+CD9+CC8+CB8+CA7+BZ7+BY6+BX6)*0.132/2,(BW5+BV4)*0.132,17)</f>
        <v>17.387538461538462</v>
      </c>
      <c r="U778" s="117"/>
      <c r="V778" s="129"/>
      <c r="W778" s="114"/>
    </row>
    <row r="779" spans="2:23">
      <c r="B779" s="114">
        <v>25</v>
      </c>
      <c r="C779" s="74">
        <f t="shared" si="418"/>
        <v>23.5</v>
      </c>
      <c r="D779" s="74">
        <f t="shared" si="419"/>
        <v>22</v>
      </c>
      <c r="E779" s="74">
        <f t="shared" si="420"/>
        <v>20.5</v>
      </c>
      <c r="F779" s="114">
        <v>19</v>
      </c>
      <c r="G779" s="74">
        <f t="shared" si="421"/>
        <v>17.5</v>
      </c>
      <c r="H779" s="74">
        <f t="shared" si="422"/>
        <v>16</v>
      </c>
      <c r="I779" s="74">
        <f t="shared" si="423"/>
        <v>14.5</v>
      </c>
      <c r="J779" s="114">
        <f t="shared" si="424"/>
        <v>13</v>
      </c>
      <c r="K779" s="74">
        <f t="shared" si="444"/>
        <v>11.875</v>
      </c>
      <c r="L779" s="114">
        <f t="shared" si="431"/>
        <v>10.75</v>
      </c>
      <c r="M779" s="115">
        <f t="shared" si="445"/>
        <v>11.7875</v>
      </c>
      <c r="N779" s="115">
        <f t="shared" si="446"/>
        <v>12.831250000000001</v>
      </c>
      <c r="O779" s="74">
        <f t="shared" si="447"/>
        <v>13.875</v>
      </c>
      <c r="P779" s="74">
        <f t="shared" si="448"/>
        <v>14.912500000000001</v>
      </c>
      <c r="Q779" s="74">
        <f t="shared" si="449"/>
        <v>15.95</v>
      </c>
      <c r="R779" s="114">
        <v>17</v>
      </c>
      <c r="S779" s="129"/>
      <c r="T779" s="117">
        <f>SUM((BF20+BG20+BK18+BL18)*0.132/2,(BH19+BI19+BJ19+BM17+BN17+BO17+BP16+BQ16+BR16+BS15+BT15+BU15+BV14+BW14+BX14+BY13+BZ13+CA13+CB12+CC12+CD12+CE11+CF11+CG11)*0.132/3,(CH10+CI10)*0.132/2,(CH9+CG9+CF9)*0.132/3,(CE8+CD8+CC7+CB7+CA6+BZ6+BY5+BX5+BW4+BV4)*0.132/2,17)</f>
        <v>17.365538461538463</v>
      </c>
      <c r="U779" s="117"/>
      <c r="V779" s="129"/>
      <c r="W779" s="114"/>
    </row>
    <row r="780" spans="2:23">
      <c r="B780" s="114">
        <v>26</v>
      </c>
      <c r="C780" s="74">
        <f t="shared" si="418"/>
        <v>24.25</v>
      </c>
      <c r="D780" s="74">
        <f t="shared" si="419"/>
        <v>22.5</v>
      </c>
      <c r="E780" s="74">
        <f t="shared" si="420"/>
        <v>20.75</v>
      </c>
      <c r="F780" s="114">
        <v>19</v>
      </c>
      <c r="G780" s="74">
        <f t="shared" si="421"/>
        <v>17.25</v>
      </c>
      <c r="H780" s="74">
        <f t="shared" si="422"/>
        <v>15.5</v>
      </c>
      <c r="I780" s="74">
        <f t="shared" si="423"/>
        <v>13.75</v>
      </c>
      <c r="J780" s="114">
        <f t="shared" si="424"/>
        <v>12</v>
      </c>
      <c r="K780" s="74">
        <f t="shared" si="444"/>
        <v>10.6875</v>
      </c>
      <c r="L780" s="114">
        <f t="shared" si="431"/>
        <v>9.375</v>
      </c>
      <c r="M780" s="115">
        <f t="shared" si="445"/>
        <v>10.640750000000001</v>
      </c>
      <c r="N780" s="115">
        <f t="shared" si="446"/>
        <v>11.914125</v>
      </c>
      <c r="O780" s="74">
        <f t="shared" si="447"/>
        <v>13.1875</v>
      </c>
      <c r="P780" s="74">
        <f t="shared" si="448"/>
        <v>14.453250000000001</v>
      </c>
      <c r="Q780" s="74">
        <f t="shared" si="449"/>
        <v>15.718999999999999</v>
      </c>
      <c r="R780" s="114">
        <v>17</v>
      </c>
      <c r="S780" s="129"/>
      <c r="T780" s="117">
        <f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17.46453846153846</v>
      </c>
      <c r="U780" s="117"/>
      <c r="V780" s="129"/>
      <c r="W780" s="114"/>
    </row>
    <row r="781" spans="2:23">
      <c r="B781" s="114">
        <v>27</v>
      </c>
      <c r="C781" s="74">
        <f t="shared" si="418"/>
        <v>25</v>
      </c>
      <c r="D781" s="74">
        <f t="shared" si="419"/>
        <v>23</v>
      </c>
      <c r="E781" s="74">
        <f t="shared" si="420"/>
        <v>21</v>
      </c>
      <c r="F781" s="114">
        <v>19</v>
      </c>
      <c r="G781" s="74">
        <f t="shared" si="421"/>
        <v>17</v>
      </c>
      <c r="H781" s="74">
        <f t="shared" si="422"/>
        <v>15</v>
      </c>
      <c r="I781" s="74">
        <f t="shared" si="423"/>
        <v>13</v>
      </c>
      <c r="J781" s="114">
        <f t="shared" si="424"/>
        <v>11</v>
      </c>
      <c r="K781" s="74">
        <f t="shared" si="444"/>
        <v>9.5</v>
      </c>
      <c r="L781" s="114">
        <f t="shared" si="431"/>
        <v>8</v>
      </c>
      <c r="M781" s="115">
        <f t="shared" si="445"/>
        <v>9.4939999999999998</v>
      </c>
      <c r="N781" s="115">
        <f t="shared" si="446"/>
        <v>10.997</v>
      </c>
      <c r="O781" s="74">
        <f t="shared" si="447"/>
        <v>12.5</v>
      </c>
      <c r="P781" s="74">
        <f t="shared" si="448"/>
        <v>13.994</v>
      </c>
      <c r="Q781" s="74">
        <f t="shared" si="449"/>
        <v>15.488</v>
      </c>
      <c r="R781" s="114">
        <v>17</v>
      </c>
      <c r="S781" s="129"/>
      <c r="T781" s="117">
        <f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17.222538461538463</v>
      </c>
      <c r="U781" s="117"/>
      <c r="V781" s="129"/>
      <c r="W781" s="114"/>
    </row>
    <row r="782" spans="2:23">
      <c r="B782" s="114">
        <v>28</v>
      </c>
      <c r="C782" s="74">
        <f t="shared" si="418"/>
        <v>25.75</v>
      </c>
      <c r="D782" s="74">
        <f t="shared" si="419"/>
        <v>23.5</v>
      </c>
      <c r="E782" s="74">
        <f t="shared" si="420"/>
        <v>21.25</v>
      </c>
      <c r="F782" s="114">
        <v>19</v>
      </c>
      <c r="G782" s="74">
        <f t="shared" si="421"/>
        <v>16.75</v>
      </c>
      <c r="H782" s="74">
        <f t="shared" si="422"/>
        <v>14.5</v>
      </c>
      <c r="I782" s="74">
        <f t="shared" si="423"/>
        <v>12.25</v>
      </c>
      <c r="J782" s="114">
        <f t="shared" si="424"/>
        <v>10</v>
      </c>
      <c r="K782" s="74">
        <f t="shared" si="444"/>
        <v>8.3125</v>
      </c>
      <c r="L782" s="114">
        <f t="shared" si="431"/>
        <v>6.625</v>
      </c>
      <c r="M782" s="115">
        <f t="shared" si="445"/>
        <v>8.3472500000000007</v>
      </c>
      <c r="N782" s="115">
        <f t="shared" si="446"/>
        <v>10.079875000000001</v>
      </c>
      <c r="O782" s="74">
        <f t="shared" si="447"/>
        <v>11.8125</v>
      </c>
      <c r="P782" s="74">
        <f t="shared" si="448"/>
        <v>13.534750000000001</v>
      </c>
      <c r="Q782" s="74">
        <f t="shared" si="449"/>
        <v>15.257</v>
      </c>
      <c r="R782" s="114">
        <v>17</v>
      </c>
      <c r="S782" s="129"/>
      <c r="T782" s="117">
        <f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17.121338461538461</v>
      </c>
      <c r="U782" s="117"/>
      <c r="V782" s="129"/>
      <c r="W782" s="114"/>
    </row>
    <row r="783" spans="2:23">
      <c r="B783" s="114">
        <v>29</v>
      </c>
      <c r="C783" s="74">
        <f t="shared" si="418"/>
        <v>26.5</v>
      </c>
      <c r="D783" s="74">
        <f t="shared" si="419"/>
        <v>24</v>
      </c>
      <c r="E783" s="74">
        <f t="shared" si="420"/>
        <v>21.5</v>
      </c>
      <c r="F783" s="114">
        <v>19</v>
      </c>
      <c r="G783" s="74">
        <f t="shared" si="421"/>
        <v>16.5</v>
      </c>
      <c r="H783" s="74">
        <f t="shared" si="422"/>
        <v>14</v>
      </c>
      <c r="I783" s="74">
        <f t="shared" si="423"/>
        <v>11.5</v>
      </c>
      <c r="J783" s="114">
        <f t="shared" si="424"/>
        <v>9</v>
      </c>
      <c r="K783" s="74">
        <f t="shared" si="444"/>
        <v>7.125</v>
      </c>
      <c r="L783" s="114">
        <f t="shared" si="431"/>
        <v>5.25</v>
      </c>
      <c r="M783" s="115">
        <f t="shared" si="445"/>
        <v>7.2004999999999999</v>
      </c>
      <c r="N783" s="115">
        <f t="shared" si="446"/>
        <v>9.1627500000000008</v>
      </c>
      <c r="O783" s="74">
        <f t="shared" si="447"/>
        <v>11.125</v>
      </c>
      <c r="P783" s="74">
        <f t="shared" si="448"/>
        <v>13.075500000000002</v>
      </c>
      <c r="Q783" s="74">
        <f t="shared" si="449"/>
        <v>15.026</v>
      </c>
      <c r="R783" s="114">
        <v>17</v>
      </c>
      <c r="S783" s="129"/>
      <c r="T783" s="117">
        <f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16.998138461538463</v>
      </c>
      <c r="U783" s="117"/>
      <c r="V783" s="129"/>
      <c r="W783" s="114"/>
    </row>
    <row r="784" spans="2:23">
      <c r="B784" s="114">
        <v>30</v>
      </c>
      <c r="C784" s="74">
        <f t="shared" si="418"/>
        <v>27.25</v>
      </c>
      <c r="D784" s="74">
        <f t="shared" si="419"/>
        <v>24.5</v>
      </c>
      <c r="E784" s="74">
        <f t="shared" si="420"/>
        <v>21.75</v>
      </c>
      <c r="F784" s="114">
        <v>19</v>
      </c>
      <c r="G784" s="74">
        <f t="shared" si="421"/>
        <v>16.25</v>
      </c>
      <c r="H784" s="74">
        <f t="shared" si="422"/>
        <v>13.5</v>
      </c>
      <c r="I784" s="74">
        <f t="shared" si="423"/>
        <v>10.75</v>
      </c>
      <c r="J784" s="114">
        <f t="shared" si="424"/>
        <v>8</v>
      </c>
      <c r="K784" s="74">
        <f t="shared" si="444"/>
        <v>5.9375</v>
      </c>
      <c r="L784" s="114">
        <f t="shared" si="431"/>
        <v>3.875</v>
      </c>
      <c r="M784" s="115">
        <f t="shared" si="445"/>
        <v>6.05375</v>
      </c>
      <c r="N784" s="115">
        <f t="shared" si="446"/>
        <v>8.2456250000000004</v>
      </c>
      <c r="O784" s="74">
        <f t="shared" si="447"/>
        <v>10.4375</v>
      </c>
      <c r="P784" s="74">
        <f t="shared" si="448"/>
        <v>12.616250000000001</v>
      </c>
      <c r="Q784" s="74">
        <f t="shared" si="449"/>
        <v>14.795</v>
      </c>
      <c r="R784" s="114">
        <v>17</v>
      </c>
      <c r="S784" s="129"/>
      <c r="T784" s="117">
        <f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17.08173846153846</v>
      </c>
      <c r="U784" s="117"/>
      <c r="V784" s="129"/>
      <c r="W784" s="114"/>
    </row>
    <row r="785" spans="2:23">
      <c r="B785" s="114">
        <v>31</v>
      </c>
      <c r="C785" s="74">
        <f t="shared" si="418"/>
        <v>28</v>
      </c>
      <c r="D785" s="74">
        <f t="shared" si="419"/>
        <v>25</v>
      </c>
      <c r="E785" s="74">
        <f t="shared" si="420"/>
        <v>22</v>
      </c>
      <c r="F785" s="114">
        <v>19</v>
      </c>
      <c r="G785" s="74">
        <f t="shared" si="421"/>
        <v>16</v>
      </c>
      <c r="H785" s="74">
        <f t="shared" si="422"/>
        <v>13</v>
      </c>
      <c r="I785" s="74">
        <f t="shared" si="423"/>
        <v>10</v>
      </c>
      <c r="J785" s="114">
        <f t="shared" si="424"/>
        <v>7</v>
      </c>
      <c r="K785" s="74">
        <f t="shared" si="444"/>
        <v>4.75</v>
      </c>
      <c r="L785" s="114">
        <f t="shared" si="431"/>
        <v>2.5</v>
      </c>
      <c r="M785" s="115">
        <f t="shared" si="445"/>
        <v>4.907</v>
      </c>
      <c r="N785" s="115">
        <f t="shared" si="446"/>
        <v>7.3285</v>
      </c>
      <c r="O785" s="74">
        <f t="shared" si="447"/>
        <v>9.75</v>
      </c>
      <c r="P785" s="74">
        <f t="shared" si="448"/>
        <v>12.157</v>
      </c>
      <c r="Q785" s="74">
        <f t="shared" si="449"/>
        <v>14.564</v>
      </c>
      <c r="R785" s="114">
        <v>17</v>
      </c>
      <c r="S785" s="129"/>
      <c r="T785" s="117">
        <f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17.059738461538462</v>
      </c>
      <c r="U785" s="117"/>
      <c r="V785" s="129"/>
      <c r="W785" s="114"/>
    </row>
    <row r="786" spans="2:23">
      <c r="B786" s="114">
        <v>32</v>
      </c>
      <c r="C786" s="74">
        <f t="shared" si="418"/>
        <v>28.75</v>
      </c>
      <c r="D786" s="74">
        <f t="shared" si="419"/>
        <v>25.5</v>
      </c>
      <c r="E786" s="74">
        <f t="shared" si="420"/>
        <v>22.25</v>
      </c>
      <c r="F786" s="114">
        <v>19</v>
      </c>
      <c r="G786" s="74">
        <f t="shared" si="421"/>
        <v>15.75</v>
      </c>
      <c r="H786" s="74">
        <f t="shared" si="422"/>
        <v>12.5</v>
      </c>
      <c r="I786" s="74">
        <f t="shared" si="423"/>
        <v>9.25</v>
      </c>
      <c r="J786" s="114">
        <f t="shared" si="424"/>
        <v>6</v>
      </c>
      <c r="K786" s="74">
        <f t="shared" si="444"/>
        <v>3.5625</v>
      </c>
      <c r="L786" s="114">
        <f t="shared" si="431"/>
        <v>1.125</v>
      </c>
      <c r="M786" s="115">
        <f t="shared" si="445"/>
        <v>3.7602500000000001</v>
      </c>
      <c r="N786" s="115">
        <f t="shared" si="446"/>
        <v>6.4113750000000005</v>
      </c>
      <c r="O786" s="74">
        <f t="shared" si="447"/>
        <v>9.0625</v>
      </c>
      <c r="P786" s="74">
        <f t="shared" si="448"/>
        <v>11.697750000000001</v>
      </c>
      <c r="Q786" s="74">
        <f t="shared" si="449"/>
        <v>14.333</v>
      </c>
      <c r="R786" s="114">
        <v>17</v>
      </c>
      <c r="S786" s="129"/>
      <c r="T786" s="126">
        <f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16.980852747252747</v>
      </c>
      <c r="U786" s="126"/>
      <c r="V786" s="129"/>
      <c r="W786" s="114"/>
    </row>
    <row r="787" spans="2:23">
      <c r="B787" s="114"/>
      <c r="C787" s="74"/>
      <c r="D787" s="74"/>
      <c r="E787" s="74"/>
      <c r="F787" s="114"/>
      <c r="G787" s="74"/>
      <c r="H787" s="74"/>
      <c r="I787" s="74"/>
      <c r="J787" s="114"/>
      <c r="K787" s="74"/>
      <c r="L787" s="114"/>
      <c r="M787" s="115"/>
      <c r="N787" s="115"/>
      <c r="O787" s="74"/>
      <c r="P787" s="74"/>
      <c r="Q787" s="74"/>
      <c r="R787" s="114"/>
      <c r="S787" s="129"/>
      <c r="T787" s="117"/>
      <c r="U787" s="117"/>
      <c r="V787" s="129"/>
      <c r="W787" s="114"/>
    </row>
    <row r="788" spans="2:23">
      <c r="B788" s="114">
        <v>21</v>
      </c>
      <c r="C788" s="74">
        <f t="shared" si="418"/>
        <v>20.75</v>
      </c>
      <c r="D788" s="74">
        <f t="shared" si="419"/>
        <v>20.5</v>
      </c>
      <c r="E788" s="74">
        <f t="shared" si="420"/>
        <v>20.25</v>
      </c>
      <c r="F788" s="114">
        <v>20</v>
      </c>
      <c r="G788" s="74">
        <f t="shared" si="421"/>
        <v>19.75</v>
      </c>
      <c r="H788" s="74">
        <f t="shared" si="422"/>
        <v>19.5</v>
      </c>
      <c r="I788" s="74">
        <f t="shared" si="423"/>
        <v>19.25</v>
      </c>
      <c r="J788" s="114">
        <f t="shared" si="424"/>
        <v>19</v>
      </c>
      <c r="K788" s="74">
        <f t="shared" ref="K788:K800" si="450">SUM(0.5*(L788-J788),J788)</f>
        <v>18.75</v>
      </c>
      <c r="L788" s="114">
        <f>SUM(J788,J788,-H788)</f>
        <v>18.5</v>
      </c>
      <c r="M788" s="115">
        <f t="shared" ref="M788:M800" si="451">SUM(0.166*(R788-L788),L788)</f>
        <v>18.251000000000001</v>
      </c>
      <c r="N788" s="115">
        <f t="shared" ref="N788:N800" si="452">SUM(0.333*(R788-L788),L788)</f>
        <v>18.000499999999999</v>
      </c>
      <c r="O788" s="74">
        <f t="shared" ref="O788:O800" si="453">SUM(0.5*(R788-L788),L788)</f>
        <v>17.75</v>
      </c>
      <c r="P788" s="74">
        <f t="shared" ref="P788:P800" si="454">SUM(0.666*(R788-L788),L788)</f>
        <v>17.501000000000001</v>
      </c>
      <c r="Q788" s="74">
        <f t="shared" ref="Q788:Q800" si="455">SUM(0.832*(R788-L788),L788)</f>
        <v>17.251999999999999</v>
      </c>
      <c r="R788" s="114">
        <v>17</v>
      </c>
      <c r="S788" s="129"/>
      <c r="T788" s="117">
        <f>SUM((BN20+BO19+BO18+BP17+BP16+BQ15+BQ14+BR13+BR12+BS11+BS10+BT9+BT8+BU7+BU6+BV5+BV4)*0.132,17)</f>
        <v>17.25553846153846</v>
      </c>
      <c r="U788" s="117"/>
      <c r="V788" s="129"/>
      <c r="W788" s="114"/>
    </row>
    <row r="789" spans="2:23">
      <c r="B789" s="114">
        <v>22</v>
      </c>
      <c r="C789" s="74">
        <f t="shared" si="418"/>
        <v>21.5</v>
      </c>
      <c r="D789" s="74">
        <f t="shared" si="419"/>
        <v>21</v>
      </c>
      <c r="E789" s="74">
        <f t="shared" si="420"/>
        <v>20.5</v>
      </c>
      <c r="F789" s="114">
        <v>20</v>
      </c>
      <c r="G789" s="74">
        <f t="shared" si="421"/>
        <v>19.5</v>
      </c>
      <c r="H789" s="74">
        <f t="shared" si="422"/>
        <v>19</v>
      </c>
      <c r="I789" s="74">
        <f t="shared" si="423"/>
        <v>18.5</v>
      </c>
      <c r="J789" s="114">
        <f t="shared" si="424"/>
        <v>18</v>
      </c>
      <c r="K789" s="74">
        <f t="shared" si="450"/>
        <v>17.625</v>
      </c>
      <c r="L789" s="114">
        <f t="shared" si="431"/>
        <v>17.25</v>
      </c>
      <c r="M789" s="115">
        <f t="shared" si="451"/>
        <v>17.208500000000001</v>
      </c>
      <c r="N789" s="115">
        <f t="shared" si="452"/>
        <v>17.16675</v>
      </c>
      <c r="O789" s="74">
        <f t="shared" si="453"/>
        <v>17.125</v>
      </c>
      <c r="P789" s="74">
        <f t="shared" si="454"/>
        <v>17.083500000000001</v>
      </c>
      <c r="Q789" s="74">
        <f t="shared" si="455"/>
        <v>17.042000000000002</v>
      </c>
      <c r="R789" s="114">
        <v>17</v>
      </c>
      <c r="S789" s="129"/>
      <c r="T789" s="117">
        <f>SUM((BL20+BM19+BN18+BO17+BP16+BQ15+BR14+BS13+BT12+BU11+BV10+BV9+BV8+BV7+BV6+BV5+BV4)*0.132,17)</f>
        <v>17.25553846153846</v>
      </c>
      <c r="U789" s="117"/>
      <c r="V789" s="129"/>
      <c r="W789" s="114"/>
    </row>
    <row r="790" spans="2:23">
      <c r="B790" s="114">
        <v>23</v>
      </c>
      <c r="C790" s="74">
        <f t="shared" si="418"/>
        <v>22.25</v>
      </c>
      <c r="D790" s="74">
        <f t="shared" si="419"/>
        <v>21.5</v>
      </c>
      <c r="E790" s="74">
        <f t="shared" si="420"/>
        <v>20.75</v>
      </c>
      <c r="F790" s="114">
        <v>20</v>
      </c>
      <c r="G790" s="74">
        <f t="shared" si="421"/>
        <v>19.25</v>
      </c>
      <c r="H790" s="74">
        <f t="shared" si="422"/>
        <v>18.5</v>
      </c>
      <c r="I790" s="74">
        <f t="shared" si="423"/>
        <v>17.75</v>
      </c>
      <c r="J790" s="114">
        <f t="shared" si="424"/>
        <v>17</v>
      </c>
      <c r="K790" s="74">
        <f t="shared" si="450"/>
        <v>16.4375</v>
      </c>
      <c r="L790" s="114">
        <f t="shared" si="431"/>
        <v>15.875</v>
      </c>
      <c r="M790" s="115">
        <f t="shared" si="451"/>
        <v>16.06175</v>
      </c>
      <c r="N790" s="115">
        <f t="shared" si="452"/>
        <v>16.249625000000002</v>
      </c>
      <c r="O790" s="74">
        <f t="shared" si="453"/>
        <v>16.4375</v>
      </c>
      <c r="P790" s="74">
        <f t="shared" si="454"/>
        <v>16.62425</v>
      </c>
      <c r="Q790" s="74">
        <f t="shared" si="455"/>
        <v>16.811</v>
      </c>
      <c r="R790" s="114">
        <v>17</v>
      </c>
      <c r="S790" s="129"/>
      <c r="T790" s="117">
        <f>SUM((BJ20+BM18+BP16+BS14+BV12+BW11+BX10+BX9+BW8+BW7+BV6+BV5+BV4)*0.132,(BK19+BL19+BN17+BO17+BQ15+BR15+BT13+BU13)*0.132/2,17)</f>
        <v>16.859538461538463</v>
      </c>
      <c r="U790" s="117"/>
      <c r="V790" s="129"/>
      <c r="W790" s="114"/>
    </row>
    <row r="791" spans="2:23">
      <c r="B791" s="114">
        <v>24</v>
      </c>
      <c r="C791" s="74">
        <f t="shared" si="418"/>
        <v>23</v>
      </c>
      <c r="D791" s="74">
        <f t="shared" si="419"/>
        <v>22</v>
      </c>
      <c r="E791" s="74">
        <f t="shared" si="420"/>
        <v>21</v>
      </c>
      <c r="F791" s="114">
        <v>20</v>
      </c>
      <c r="G791" s="74">
        <f t="shared" si="421"/>
        <v>19</v>
      </c>
      <c r="H791" s="74">
        <f t="shared" si="422"/>
        <v>18</v>
      </c>
      <c r="I791" s="74">
        <f t="shared" si="423"/>
        <v>17</v>
      </c>
      <c r="J791" s="114">
        <f t="shared" si="424"/>
        <v>16</v>
      </c>
      <c r="K791" s="74">
        <f t="shared" si="450"/>
        <v>15.25</v>
      </c>
      <c r="L791" s="114">
        <f t="shared" si="431"/>
        <v>14.5</v>
      </c>
      <c r="M791" s="115">
        <f t="shared" si="451"/>
        <v>14.914999999999999</v>
      </c>
      <c r="N791" s="115">
        <f t="shared" si="452"/>
        <v>15.3325</v>
      </c>
      <c r="O791" s="74">
        <f t="shared" si="453"/>
        <v>15.75</v>
      </c>
      <c r="P791" s="74">
        <f t="shared" si="454"/>
        <v>16.164999999999999</v>
      </c>
      <c r="Q791" s="74">
        <f t="shared" si="455"/>
        <v>16.579999999999998</v>
      </c>
      <c r="R791" s="114">
        <v>17</v>
      </c>
      <c r="S791" s="129"/>
      <c r="T791" s="117">
        <f>SUM((BI19+BJ19+BK18+BL18+BM17+BN17+BO16+BP16+BQ15+BR15+BS14+BT14+BU13+BV13+BW12+BX12+BY11+BZ11)*0.132/2,(BH20+CA10+BZ9+BY8+BX7+BW6+BV5+BV4)*0.132,17)</f>
        <v>17.321538461538463</v>
      </c>
      <c r="U791" s="117"/>
      <c r="V791" s="129"/>
      <c r="W791" s="114"/>
    </row>
    <row r="792" spans="2:23">
      <c r="B792" s="114">
        <v>25</v>
      </c>
      <c r="C792" s="74">
        <f t="shared" si="418"/>
        <v>23.75</v>
      </c>
      <c r="D792" s="74">
        <f t="shared" si="419"/>
        <v>22.5</v>
      </c>
      <c r="E792" s="74">
        <f t="shared" si="420"/>
        <v>21.25</v>
      </c>
      <c r="F792" s="114">
        <v>20</v>
      </c>
      <c r="G792" s="74">
        <f t="shared" si="421"/>
        <v>18.75</v>
      </c>
      <c r="H792" s="74">
        <f t="shared" si="422"/>
        <v>17.5</v>
      </c>
      <c r="I792" s="74">
        <f t="shared" si="423"/>
        <v>16.25</v>
      </c>
      <c r="J792" s="114">
        <f t="shared" si="424"/>
        <v>15</v>
      </c>
      <c r="K792" s="74">
        <f t="shared" si="450"/>
        <v>14.0625</v>
      </c>
      <c r="L792" s="114">
        <f t="shared" si="431"/>
        <v>13.125</v>
      </c>
      <c r="M792" s="115">
        <f t="shared" si="451"/>
        <v>13.76825</v>
      </c>
      <c r="N792" s="115">
        <f t="shared" si="452"/>
        <v>14.415375000000001</v>
      </c>
      <c r="O792" s="74">
        <f t="shared" si="453"/>
        <v>15.0625</v>
      </c>
      <c r="P792" s="74">
        <f t="shared" si="454"/>
        <v>15.70575</v>
      </c>
      <c r="Q792" s="74">
        <f t="shared" si="455"/>
        <v>16.349</v>
      </c>
      <c r="R792" s="114">
        <v>17</v>
      </c>
      <c r="S792" s="129"/>
      <c r="T792" s="117">
        <f>SUM((BF20+BG20+BH19+BI19+BM17+BN17+BO16+BP16+BT14+BU14+BY12+BZ12+CA11+CB11+CC10+CD10+CC9+CB9+CA8+BZ8)*0.132/2,(BJ18+BK18+BL18+BQ15+BR15+BS15+BV13+BW13+BX13)*0.132/3,(BY7+BX6+BW5+BV4)*0.132,17)</f>
        <v>17.123538461538462</v>
      </c>
      <c r="U792" s="117"/>
      <c r="V792" s="129"/>
      <c r="W792" s="114"/>
    </row>
    <row r="793" spans="2:23">
      <c r="B793" s="114">
        <v>26</v>
      </c>
      <c r="C793" s="74">
        <f t="shared" si="418"/>
        <v>24.5</v>
      </c>
      <c r="D793" s="74">
        <f t="shared" si="419"/>
        <v>23</v>
      </c>
      <c r="E793" s="74">
        <f t="shared" si="420"/>
        <v>21.5</v>
      </c>
      <c r="F793" s="114">
        <v>20</v>
      </c>
      <c r="G793" s="74">
        <f t="shared" si="421"/>
        <v>18.5</v>
      </c>
      <c r="H793" s="74">
        <f t="shared" si="422"/>
        <v>17</v>
      </c>
      <c r="I793" s="74">
        <f t="shared" si="423"/>
        <v>15.5</v>
      </c>
      <c r="J793" s="114">
        <f t="shared" si="424"/>
        <v>14</v>
      </c>
      <c r="K793" s="74">
        <f t="shared" si="450"/>
        <v>12.875</v>
      </c>
      <c r="L793" s="114">
        <f t="shared" si="431"/>
        <v>11.75</v>
      </c>
      <c r="M793" s="115">
        <f t="shared" si="451"/>
        <v>12.621499999999999</v>
      </c>
      <c r="N793" s="115">
        <f t="shared" si="452"/>
        <v>13.498250000000001</v>
      </c>
      <c r="O793" s="74">
        <f t="shared" si="453"/>
        <v>14.375</v>
      </c>
      <c r="P793" s="74">
        <f t="shared" si="454"/>
        <v>15.246500000000001</v>
      </c>
      <c r="Q793" s="74">
        <f t="shared" si="455"/>
        <v>16.117999999999999</v>
      </c>
      <c r="R793" s="114">
        <v>17</v>
      </c>
      <c r="S793" s="129"/>
      <c r="T793" s="117">
        <f>SUM((BD20+BE20+BI18+BJ18)*0.132/2,(BF19+BG19+BH19+BK17+BL17+BM17+BN16+BO16+BP16+BQ15+BR15+BS15+BT14+BU14+BV14+BW13+BX13+BY13+BZ12+CA12+CB12+CC11+CD11+CE11)*0.132/3,(+CF10+CG10+CF9+CE9+CD8+CC8+CB7+CA7+BZ6+BY6+BX5+BW5)*0.132/2,BV4*0.132,17)</f>
        <v>17.145538461538461</v>
      </c>
      <c r="U793" s="117"/>
      <c r="V793" s="129"/>
      <c r="W793" s="114"/>
    </row>
    <row r="794" spans="2:23">
      <c r="B794" s="114">
        <v>27</v>
      </c>
      <c r="C794" s="74">
        <f t="shared" si="418"/>
        <v>25.25</v>
      </c>
      <c r="D794" s="74">
        <f t="shared" si="419"/>
        <v>23.5</v>
      </c>
      <c r="E794" s="74">
        <f t="shared" si="420"/>
        <v>21.75</v>
      </c>
      <c r="F794" s="114">
        <v>20</v>
      </c>
      <c r="G794" s="74">
        <f t="shared" si="421"/>
        <v>18.25</v>
      </c>
      <c r="H794" s="74">
        <f t="shared" si="422"/>
        <v>16.5</v>
      </c>
      <c r="I794" s="74">
        <f t="shared" si="423"/>
        <v>14.75</v>
      </c>
      <c r="J794" s="114">
        <f t="shared" si="424"/>
        <v>13</v>
      </c>
      <c r="K794" s="74">
        <f t="shared" si="450"/>
        <v>11.6875</v>
      </c>
      <c r="L794" s="114">
        <f t="shared" si="431"/>
        <v>10.375</v>
      </c>
      <c r="M794" s="115">
        <f t="shared" si="451"/>
        <v>11.47475</v>
      </c>
      <c r="N794" s="115">
        <f t="shared" si="452"/>
        <v>12.581125</v>
      </c>
      <c r="O794" s="74">
        <f t="shared" si="453"/>
        <v>13.6875</v>
      </c>
      <c r="P794" s="74">
        <f t="shared" si="454"/>
        <v>14.78725</v>
      </c>
      <c r="Q794" s="74">
        <f t="shared" si="455"/>
        <v>15.887</v>
      </c>
      <c r="R794" s="114">
        <v>17</v>
      </c>
      <c r="S794" s="129"/>
      <c r="T794" s="117">
        <f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17.167538461538463</v>
      </c>
      <c r="U794" s="117"/>
      <c r="V794" s="129"/>
      <c r="W794" s="114"/>
    </row>
    <row r="795" spans="2:23">
      <c r="B795" s="114">
        <v>28</v>
      </c>
      <c r="C795" s="74">
        <f t="shared" si="418"/>
        <v>26</v>
      </c>
      <c r="D795" s="74">
        <f t="shared" si="419"/>
        <v>24</v>
      </c>
      <c r="E795" s="74">
        <f t="shared" si="420"/>
        <v>22</v>
      </c>
      <c r="F795" s="114">
        <v>20</v>
      </c>
      <c r="G795" s="74">
        <f t="shared" si="421"/>
        <v>18</v>
      </c>
      <c r="H795" s="74">
        <f t="shared" si="422"/>
        <v>16</v>
      </c>
      <c r="I795" s="74">
        <f t="shared" si="423"/>
        <v>14</v>
      </c>
      <c r="J795" s="114">
        <f t="shared" si="424"/>
        <v>12</v>
      </c>
      <c r="K795" s="74">
        <f t="shared" si="450"/>
        <v>10.5</v>
      </c>
      <c r="L795" s="114">
        <f t="shared" si="431"/>
        <v>9</v>
      </c>
      <c r="M795" s="115">
        <f t="shared" si="451"/>
        <v>10.327999999999999</v>
      </c>
      <c r="N795" s="115">
        <f t="shared" si="452"/>
        <v>11.664</v>
      </c>
      <c r="O795" s="74">
        <f t="shared" si="453"/>
        <v>13</v>
      </c>
      <c r="P795" s="74">
        <f t="shared" si="454"/>
        <v>14.327999999999999</v>
      </c>
      <c r="Q795" s="74">
        <f t="shared" si="455"/>
        <v>15.655999999999999</v>
      </c>
      <c r="R795" s="114">
        <v>17</v>
      </c>
      <c r="S795" s="129"/>
      <c r="T795" s="117">
        <f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17.189538461538461</v>
      </c>
      <c r="U795" s="117"/>
      <c r="V795" s="129"/>
      <c r="W795" s="114"/>
    </row>
    <row r="796" spans="2:23">
      <c r="B796" s="114">
        <v>29</v>
      </c>
      <c r="C796" s="74">
        <f t="shared" si="418"/>
        <v>26.75</v>
      </c>
      <c r="D796" s="74">
        <f t="shared" si="419"/>
        <v>24.5</v>
      </c>
      <c r="E796" s="74">
        <f t="shared" si="420"/>
        <v>22.25</v>
      </c>
      <c r="F796" s="114">
        <v>20</v>
      </c>
      <c r="G796" s="74">
        <f t="shared" si="421"/>
        <v>17.75</v>
      </c>
      <c r="H796" s="74">
        <f t="shared" si="422"/>
        <v>15.5</v>
      </c>
      <c r="I796" s="74">
        <f t="shared" si="423"/>
        <v>13.25</v>
      </c>
      <c r="J796" s="114">
        <f t="shared" si="424"/>
        <v>11</v>
      </c>
      <c r="K796" s="74">
        <f t="shared" si="450"/>
        <v>9.3125</v>
      </c>
      <c r="L796" s="114">
        <f t="shared" si="431"/>
        <v>7.625</v>
      </c>
      <c r="M796" s="115">
        <f t="shared" si="451"/>
        <v>9.1812500000000004</v>
      </c>
      <c r="N796" s="115">
        <f t="shared" si="452"/>
        <v>10.746874999999999</v>
      </c>
      <c r="O796" s="74">
        <f t="shared" si="453"/>
        <v>12.3125</v>
      </c>
      <c r="P796" s="74">
        <f t="shared" si="454"/>
        <v>13.86875</v>
      </c>
      <c r="Q796" s="74">
        <f t="shared" si="455"/>
        <v>15.425000000000001</v>
      </c>
      <c r="R796" s="114">
        <v>17</v>
      </c>
      <c r="S796" s="129"/>
      <c r="T796" s="117">
        <f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17.200538461538461</v>
      </c>
      <c r="U796" s="117"/>
      <c r="V796" s="129"/>
      <c r="W796" s="114"/>
    </row>
    <row r="797" spans="2:23">
      <c r="B797" s="114">
        <v>30</v>
      </c>
      <c r="C797" s="74">
        <f t="shared" si="418"/>
        <v>27.5</v>
      </c>
      <c r="D797" s="74">
        <f t="shared" si="419"/>
        <v>25</v>
      </c>
      <c r="E797" s="74">
        <f t="shared" si="420"/>
        <v>22.5</v>
      </c>
      <c r="F797" s="114">
        <v>20</v>
      </c>
      <c r="G797" s="74">
        <f t="shared" si="421"/>
        <v>17.5</v>
      </c>
      <c r="H797" s="74">
        <f t="shared" si="422"/>
        <v>15</v>
      </c>
      <c r="I797" s="74">
        <f t="shared" si="423"/>
        <v>12.5</v>
      </c>
      <c r="J797" s="114">
        <f t="shared" si="424"/>
        <v>10</v>
      </c>
      <c r="K797" s="74">
        <f t="shared" si="450"/>
        <v>8.125</v>
      </c>
      <c r="L797" s="114">
        <f t="shared" si="431"/>
        <v>6.25</v>
      </c>
      <c r="M797" s="115">
        <f t="shared" si="451"/>
        <v>8.0344999999999995</v>
      </c>
      <c r="N797" s="115">
        <f t="shared" si="452"/>
        <v>9.8297500000000007</v>
      </c>
      <c r="O797" s="74">
        <f t="shared" si="453"/>
        <v>11.625</v>
      </c>
      <c r="P797" s="74">
        <f t="shared" si="454"/>
        <v>13.409500000000001</v>
      </c>
      <c r="Q797" s="74">
        <f t="shared" si="455"/>
        <v>15.193999999999999</v>
      </c>
      <c r="R797" s="114">
        <v>17</v>
      </c>
      <c r="S797" s="129"/>
      <c r="T797" s="117">
        <f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17.075138461538462</v>
      </c>
      <c r="U797" s="117"/>
      <c r="V797" s="129"/>
      <c r="W797" s="114"/>
    </row>
    <row r="798" spans="2:23">
      <c r="B798" s="114">
        <v>31</v>
      </c>
      <c r="C798" s="74">
        <f t="shared" si="418"/>
        <v>28.25</v>
      </c>
      <c r="D798" s="74">
        <f t="shared" si="419"/>
        <v>25.5</v>
      </c>
      <c r="E798" s="74">
        <f t="shared" si="420"/>
        <v>22.75</v>
      </c>
      <c r="F798" s="114">
        <v>20</v>
      </c>
      <c r="G798" s="74">
        <f t="shared" si="421"/>
        <v>17.25</v>
      </c>
      <c r="H798" s="74">
        <f t="shared" si="422"/>
        <v>14.5</v>
      </c>
      <c r="I798" s="74">
        <f t="shared" si="423"/>
        <v>11.75</v>
      </c>
      <c r="J798" s="114">
        <f t="shared" si="424"/>
        <v>9</v>
      </c>
      <c r="K798" s="74">
        <f t="shared" si="450"/>
        <v>6.9375</v>
      </c>
      <c r="L798" s="114">
        <f t="shared" si="431"/>
        <v>4.875</v>
      </c>
      <c r="M798" s="115">
        <f t="shared" si="451"/>
        <v>6.8877500000000005</v>
      </c>
      <c r="N798" s="115">
        <f t="shared" si="452"/>
        <v>8.9126250000000002</v>
      </c>
      <c r="O798" s="74">
        <f t="shared" si="453"/>
        <v>10.9375</v>
      </c>
      <c r="P798" s="74">
        <f t="shared" si="454"/>
        <v>12.95025</v>
      </c>
      <c r="Q798" s="74">
        <f t="shared" si="455"/>
        <v>14.962999999999999</v>
      </c>
      <c r="R798" s="114">
        <v>17</v>
      </c>
      <c r="S798" s="129"/>
      <c r="T798" s="117">
        <f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17.009138461538463</v>
      </c>
      <c r="U798" s="117"/>
      <c r="V798" s="129"/>
      <c r="W798" s="114"/>
    </row>
    <row r="799" spans="2:23">
      <c r="B799" s="114">
        <v>32</v>
      </c>
      <c r="C799" s="74">
        <f t="shared" si="418"/>
        <v>29</v>
      </c>
      <c r="D799" s="74">
        <f t="shared" si="419"/>
        <v>26</v>
      </c>
      <c r="E799" s="74">
        <f t="shared" si="420"/>
        <v>23</v>
      </c>
      <c r="F799" s="114">
        <v>20</v>
      </c>
      <c r="G799" s="74">
        <f t="shared" si="421"/>
        <v>17</v>
      </c>
      <c r="H799" s="74">
        <f t="shared" si="422"/>
        <v>14</v>
      </c>
      <c r="I799" s="74">
        <f t="shared" si="423"/>
        <v>11</v>
      </c>
      <c r="J799" s="114">
        <f t="shared" si="424"/>
        <v>8</v>
      </c>
      <c r="K799" s="74">
        <f t="shared" si="450"/>
        <v>5.75</v>
      </c>
      <c r="L799" s="114">
        <f t="shared" si="431"/>
        <v>3.5</v>
      </c>
      <c r="M799" s="115">
        <f t="shared" si="451"/>
        <v>5.7409999999999997</v>
      </c>
      <c r="N799" s="115">
        <f t="shared" si="452"/>
        <v>7.9954999999999998</v>
      </c>
      <c r="O799" s="74">
        <f t="shared" si="453"/>
        <v>10.25</v>
      </c>
      <c r="P799" s="74">
        <f t="shared" si="454"/>
        <v>12.491</v>
      </c>
      <c r="Q799" s="74">
        <f t="shared" si="455"/>
        <v>14.731999999999999</v>
      </c>
      <c r="R799" s="114">
        <v>17</v>
      </c>
      <c r="S799" s="129"/>
      <c r="T799" s="117">
        <f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16.980538461538462</v>
      </c>
      <c r="U799" s="117"/>
      <c r="V799" s="129"/>
      <c r="W799" s="114"/>
    </row>
    <row r="800" spans="2:23">
      <c r="B800" s="114">
        <v>33</v>
      </c>
      <c r="C800" s="74">
        <f t="shared" si="418"/>
        <v>29.75</v>
      </c>
      <c r="D800" s="74">
        <f t="shared" si="419"/>
        <v>26.5</v>
      </c>
      <c r="E800" s="74">
        <f t="shared" si="420"/>
        <v>23.25</v>
      </c>
      <c r="F800" s="114">
        <v>20</v>
      </c>
      <c r="G800" s="74">
        <f t="shared" si="421"/>
        <v>16.75</v>
      </c>
      <c r="H800" s="74">
        <f t="shared" si="422"/>
        <v>13.5</v>
      </c>
      <c r="I800" s="74">
        <f t="shared" si="423"/>
        <v>10.25</v>
      </c>
      <c r="J800" s="114">
        <f t="shared" si="424"/>
        <v>7</v>
      </c>
      <c r="K800" s="74">
        <f t="shared" si="450"/>
        <v>4.5625</v>
      </c>
      <c r="L800" s="114">
        <f t="shared" si="431"/>
        <v>2.125</v>
      </c>
      <c r="M800" s="115">
        <f t="shared" si="451"/>
        <v>4.5942500000000006</v>
      </c>
      <c r="N800" s="115">
        <f t="shared" si="452"/>
        <v>7.0783750000000003</v>
      </c>
      <c r="O800" s="74">
        <f t="shared" si="453"/>
        <v>9.5625</v>
      </c>
      <c r="P800" s="74">
        <f t="shared" si="454"/>
        <v>12.031750000000001</v>
      </c>
      <c r="Q800" s="74">
        <f t="shared" si="455"/>
        <v>14.500999999999999</v>
      </c>
      <c r="R800" s="114">
        <v>17</v>
      </c>
      <c r="S800" s="129"/>
      <c r="T800" s="117">
        <f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16.991538461538461</v>
      </c>
      <c r="U800" s="117"/>
      <c r="V800" s="129"/>
      <c r="W800" s="114"/>
    </row>
    <row r="801" spans="2:23">
      <c r="B801" s="114"/>
      <c r="C801" s="74"/>
      <c r="D801" s="74"/>
      <c r="E801" s="74"/>
      <c r="F801" s="114"/>
      <c r="G801" s="74"/>
      <c r="H801" s="74"/>
      <c r="I801" s="74"/>
      <c r="J801" s="114"/>
      <c r="K801" s="74"/>
      <c r="L801" s="114"/>
      <c r="M801" s="115"/>
      <c r="N801" s="115"/>
      <c r="O801" s="74"/>
      <c r="P801" s="74"/>
      <c r="Q801" s="74"/>
      <c r="R801" s="114"/>
      <c r="S801" s="129"/>
      <c r="T801" s="117"/>
      <c r="U801" s="117"/>
      <c r="V801" s="129"/>
      <c r="W801" s="114"/>
    </row>
    <row r="802" spans="2:23">
      <c r="B802" s="114">
        <v>23</v>
      </c>
      <c r="C802" s="74">
        <f t="shared" si="418"/>
        <v>22.5</v>
      </c>
      <c r="D802" s="74">
        <f t="shared" si="419"/>
        <v>22</v>
      </c>
      <c r="E802" s="74">
        <f t="shared" si="420"/>
        <v>21.5</v>
      </c>
      <c r="F802" s="114">
        <v>21</v>
      </c>
      <c r="G802" s="74">
        <f t="shared" si="421"/>
        <v>20.5</v>
      </c>
      <c r="H802" s="74">
        <f t="shared" si="422"/>
        <v>20</v>
      </c>
      <c r="I802" s="74">
        <f t="shared" si="423"/>
        <v>19.5</v>
      </c>
      <c r="J802" s="114">
        <f t="shared" si="424"/>
        <v>19</v>
      </c>
      <c r="K802" s="74">
        <f t="shared" ref="K802:K814" si="456">SUM(0.5*(L802-J802),J802)</f>
        <v>18.625</v>
      </c>
      <c r="L802" s="114">
        <f t="shared" ref="L802:L865" si="457">SUM(J802,J802,-H802,0.25*ABS(J802-H802))</f>
        <v>18.25</v>
      </c>
      <c r="M802" s="115">
        <f t="shared" ref="M802:M814" si="458">SUM(0.166*(R802-L802),L802)</f>
        <v>18.0425</v>
      </c>
      <c r="N802" s="115">
        <f t="shared" ref="N802:N814" si="459">SUM(0.333*(R802-L802),L802)</f>
        <v>17.833749999999998</v>
      </c>
      <c r="O802" s="74">
        <f t="shared" ref="O802:O814" si="460">SUM(0.5*(R802-L802),L802)</f>
        <v>17.625</v>
      </c>
      <c r="P802" s="74">
        <f t="shared" ref="P802:P814" si="461">SUM(0.666*(R802-L802),L802)</f>
        <v>17.4175</v>
      </c>
      <c r="Q802" s="74">
        <f t="shared" ref="Q802:Q814" si="462">SUM(0.832*(R802-L802),L802)</f>
        <v>17.21</v>
      </c>
      <c r="R802" s="114">
        <v>17</v>
      </c>
      <c r="S802" s="129"/>
      <c r="T802" s="117">
        <f>SUM((BJ20+BK19+BL18+BM17+BN16+BO15+BP14+BQ13+BR12+BS11+BT10+BT9+BU8+BU7+BV6+BV5+BV4)*0.132,17)</f>
        <v>16.859538461538463</v>
      </c>
      <c r="U802" s="117"/>
      <c r="V802" s="129"/>
      <c r="W802" s="114"/>
    </row>
    <row r="803" spans="2:23">
      <c r="B803" s="114">
        <v>24</v>
      </c>
      <c r="C803" s="74">
        <f t="shared" si="418"/>
        <v>23.25</v>
      </c>
      <c r="D803" s="74">
        <f t="shared" si="419"/>
        <v>22.5</v>
      </c>
      <c r="E803" s="74">
        <f t="shared" si="420"/>
        <v>21.75</v>
      </c>
      <c r="F803" s="114">
        <v>21</v>
      </c>
      <c r="G803" s="74">
        <f t="shared" si="421"/>
        <v>20.25</v>
      </c>
      <c r="H803" s="74">
        <f t="shared" si="422"/>
        <v>19.5</v>
      </c>
      <c r="I803" s="74">
        <f t="shared" si="423"/>
        <v>18.75</v>
      </c>
      <c r="J803" s="114">
        <f t="shared" si="424"/>
        <v>18</v>
      </c>
      <c r="K803" s="74">
        <f t="shared" si="456"/>
        <v>17.4375</v>
      </c>
      <c r="L803" s="114">
        <f t="shared" si="457"/>
        <v>16.875</v>
      </c>
      <c r="M803" s="115">
        <f t="shared" si="458"/>
        <v>16.89575</v>
      </c>
      <c r="N803" s="115">
        <f t="shared" si="459"/>
        <v>16.916625</v>
      </c>
      <c r="O803" s="74">
        <f t="shared" si="460"/>
        <v>16.9375</v>
      </c>
      <c r="P803" s="74">
        <f t="shared" si="461"/>
        <v>16.95825</v>
      </c>
      <c r="Q803" s="74">
        <f t="shared" si="462"/>
        <v>16.978999999999999</v>
      </c>
      <c r="R803" s="114">
        <v>17</v>
      </c>
      <c r="S803" s="129"/>
      <c r="T803" s="117">
        <f>SUM((BH20+BK18+BN16+BQ14+BT12+BU11+BV10+BV9+BV8+BV7+BV6+BV5+BV4)*0.132,(BI19+BJ19+BL17+BM17+BO15+BP15+BR13+BS13)*0.132/2,17)</f>
        <v>16.727538461538462</v>
      </c>
      <c r="U803" s="117"/>
      <c r="V803" s="129"/>
      <c r="W803" s="114"/>
    </row>
    <row r="804" spans="2:23">
      <c r="B804" s="114">
        <v>25</v>
      </c>
      <c r="C804" s="74">
        <f t="shared" si="418"/>
        <v>24</v>
      </c>
      <c r="D804" s="74">
        <f t="shared" si="419"/>
        <v>23</v>
      </c>
      <c r="E804" s="74">
        <f t="shared" si="420"/>
        <v>22</v>
      </c>
      <c r="F804" s="114">
        <v>21</v>
      </c>
      <c r="G804" s="74">
        <f t="shared" si="421"/>
        <v>20</v>
      </c>
      <c r="H804" s="74">
        <f t="shared" si="422"/>
        <v>19</v>
      </c>
      <c r="I804" s="74">
        <f t="shared" si="423"/>
        <v>18</v>
      </c>
      <c r="J804" s="114">
        <f t="shared" si="424"/>
        <v>17</v>
      </c>
      <c r="K804" s="74">
        <f t="shared" si="456"/>
        <v>16.25</v>
      </c>
      <c r="L804" s="114">
        <f t="shared" si="457"/>
        <v>15.5</v>
      </c>
      <c r="M804" s="115">
        <f t="shared" si="458"/>
        <v>15.749000000000001</v>
      </c>
      <c r="N804" s="115">
        <f t="shared" si="459"/>
        <v>15.999499999999999</v>
      </c>
      <c r="O804" s="74">
        <f t="shared" si="460"/>
        <v>16.25</v>
      </c>
      <c r="P804" s="74">
        <f t="shared" si="461"/>
        <v>16.498999999999999</v>
      </c>
      <c r="Q804" s="74">
        <f t="shared" si="462"/>
        <v>16.748000000000001</v>
      </c>
      <c r="R804" s="114">
        <v>17</v>
      </c>
      <c r="S804" s="129"/>
      <c r="T804" s="117">
        <f>SUM((BG19+BH19+BI18+BJ18+BK17+BL17+BM16+BN16+BO15+BP15+BQ14+BR14+BS13+BT13+BU12+BV12+BW11+BX11)*0.132/2,(BF20+BY10+BX9+BX8+BW7+BW6+BV5+BV4)*0.132,17)</f>
        <v>16.793538461538461</v>
      </c>
      <c r="U804" s="117"/>
      <c r="V804" s="129"/>
      <c r="W804" s="114"/>
    </row>
    <row r="805" spans="2:23">
      <c r="B805" s="114">
        <v>26</v>
      </c>
      <c r="C805" s="74">
        <f t="shared" si="418"/>
        <v>24.75</v>
      </c>
      <c r="D805" s="74">
        <f t="shared" si="419"/>
        <v>23.5</v>
      </c>
      <c r="E805" s="74">
        <f t="shared" si="420"/>
        <v>22.25</v>
      </c>
      <c r="F805" s="114">
        <v>21</v>
      </c>
      <c r="G805" s="74">
        <f t="shared" si="421"/>
        <v>19.75</v>
      </c>
      <c r="H805" s="74">
        <f t="shared" si="422"/>
        <v>18.5</v>
      </c>
      <c r="I805" s="74">
        <f t="shared" si="423"/>
        <v>17.25</v>
      </c>
      <c r="J805" s="114">
        <f t="shared" si="424"/>
        <v>16</v>
      </c>
      <c r="K805" s="74">
        <f t="shared" si="456"/>
        <v>15.0625</v>
      </c>
      <c r="L805" s="114">
        <f t="shared" si="457"/>
        <v>14.125</v>
      </c>
      <c r="M805" s="115">
        <f t="shared" si="458"/>
        <v>14.60225</v>
      </c>
      <c r="N805" s="115">
        <f t="shared" si="459"/>
        <v>15.082375000000001</v>
      </c>
      <c r="O805" s="74">
        <f t="shared" si="460"/>
        <v>15.5625</v>
      </c>
      <c r="P805" s="74">
        <f t="shared" si="461"/>
        <v>16.039750000000002</v>
      </c>
      <c r="Q805" s="74">
        <f t="shared" si="462"/>
        <v>16.516999999999999</v>
      </c>
      <c r="R805" s="114">
        <v>17</v>
      </c>
      <c r="S805" s="129"/>
      <c r="T805" s="117">
        <f>SUM((BD20+BE20+BF19+BG19++BK17+BL17+BM16+BN16+BR14+BS14+BW12+BX12+BY11+BZ11+CA10+CB10)*0.132/2,(BH18+BI18+BJ18+BO15+BP15+BQ15+BT13+BU13+BV13)*0.132/3,(CA9+BZ8+BY7+BX6+BW5+BV4)*0.132,17)</f>
        <v>16.925538461538462</v>
      </c>
      <c r="U805" s="117"/>
      <c r="V805" s="129"/>
      <c r="W805" s="114"/>
    </row>
    <row r="806" spans="2:23">
      <c r="B806" s="114">
        <v>27</v>
      </c>
      <c r="C806" s="74">
        <f t="shared" si="418"/>
        <v>25.5</v>
      </c>
      <c r="D806" s="74">
        <f t="shared" si="419"/>
        <v>24</v>
      </c>
      <c r="E806" s="74">
        <f t="shared" si="420"/>
        <v>22.5</v>
      </c>
      <c r="F806" s="114">
        <v>21</v>
      </c>
      <c r="G806" s="74">
        <f t="shared" si="421"/>
        <v>19.5</v>
      </c>
      <c r="H806" s="74">
        <f t="shared" si="422"/>
        <v>18</v>
      </c>
      <c r="I806" s="74">
        <f t="shared" si="423"/>
        <v>16.5</v>
      </c>
      <c r="J806" s="114">
        <f t="shared" si="424"/>
        <v>15</v>
      </c>
      <c r="K806" s="74">
        <f t="shared" si="456"/>
        <v>13.875</v>
      </c>
      <c r="L806" s="114">
        <f t="shared" si="457"/>
        <v>12.75</v>
      </c>
      <c r="M806" s="115">
        <f t="shared" si="458"/>
        <v>13.455500000000001</v>
      </c>
      <c r="N806" s="115">
        <f t="shared" si="459"/>
        <v>14.16525</v>
      </c>
      <c r="O806" s="74">
        <f t="shared" si="460"/>
        <v>14.875</v>
      </c>
      <c r="P806" s="74">
        <f t="shared" si="461"/>
        <v>15.580500000000001</v>
      </c>
      <c r="Q806" s="74">
        <f t="shared" si="462"/>
        <v>16.286000000000001</v>
      </c>
      <c r="R806" s="114">
        <v>17</v>
      </c>
      <c r="S806" s="129"/>
      <c r="T806" s="117">
        <f>SUM((BB20+BC20+BG18+BH18)*0.132/2,(BD19+BE19+BF19+BI17+BJ17+BK17+BL16+BM16+BN16+BO15+BP15+BQ15+BR14+BS14+BT14+BU13+BV13+BW13+BX12+BY12+BZ12+CA11+CB11+CC11)*0.132/3,(CD10+CE10+CD9+CC9+CB8+CA8+BZ7+BY7)*0.132/2,(BX6+BW5+BV4)*0.132,17)</f>
        <v>17.123538461538462</v>
      </c>
      <c r="U806" s="117"/>
      <c r="V806" s="129"/>
      <c r="W806" s="114"/>
    </row>
    <row r="807" spans="2:23">
      <c r="B807" s="114">
        <v>28</v>
      </c>
      <c r="C807" s="74">
        <f t="shared" si="418"/>
        <v>26.25</v>
      </c>
      <c r="D807" s="74">
        <f t="shared" si="419"/>
        <v>24.5</v>
      </c>
      <c r="E807" s="74">
        <f t="shared" si="420"/>
        <v>22.75</v>
      </c>
      <c r="F807" s="114">
        <v>21</v>
      </c>
      <c r="G807" s="74">
        <f t="shared" si="421"/>
        <v>19.25</v>
      </c>
      <c r="H807" s="74">
        <f t="shared" si="422"/>
        <v>17.5</v>
      </c>
      <c r="I807" s="74">
        <f t="shared" si="423"/>
        <v>15.75</v>
      </c>
      <c r="J807" s="114">
        <f t="shared" si="424"/>
        <v>14</v>
      </c>
      <c r="K807" s="74">
        <f t="shared" si="456"/>
        <v>12.6875</v>
      </c>
      <c r="L807" s="114">
        <f t="shared" si="457"/>
        <v>11.375</v>
      </c>
      <c r="M807" s="115">
        <f t="shared" si="458"/>
        <v>12.30875</v>
      </c>
      <c r="N807" s="115">
        <f t="shared" si="459"/>
        <v>13.248125</v>
      </c>
      <c r="O807" s="74">
        <f t="shared" si="460"/>
        <v>14.1875</v>
      </c>
      <c r="P807" s="74">
        <f t="shared" si="461"/>
        <v>15.12125</v>
      </c>
      <c r="Q807" s="74">
        <f t="shared" si="462"/>
        <v>16.055</v>
      </c>
      <c r="R807" s="114">
        <v>17</v>
      </c>
      <c r="S807" s="129"/>
      <c r="T807" s="117">
        <f>SUM((AZ20+BA20+BB20+BC19+BD19+BE19+BF18+BG18+BH18+BI17+BJ17+BK17+BL16+BM16+BN16+BS14+BT14+BU14+BZ12+CA12+CB12+CC11+CD11+CE11)*0.132/3,(BO15+BP15+BQ15+BR15+BV13+BW13+BX13+BY13)*0.132/4,(CF10+CG10+CF9+CE9+CD8+CC8+CB7+CA7+BZ6+BY6+BX5+BW5)*0.132/2,BV4*0.132,17)</f>
        <v>17.266538461538463</v>
      </c>
      <c r="U807" s="117"/>
      <c r="V807" s="129"/>
      <c r="W807" s="114"/>
    </row>
    <row r="808" spans="2:23">
      <c r="B808" s="114">
        <v>29</v>
      </c>
      <c r="C808" s="74">
        <f t="shared" si="418"/>
        <v>27</v>
      </c>
      <c r="D808" s="74">
        <f t="shared" si="419"/>
        <v>25</v>
      </c>
      <c r="E808" s="74">
        <f t="shared" si="420"/>
        <v>23</v>
      </c>
      <c r="F808" s="114">
        <v>21</v>
      </c>
      <c r="G808" s="74">
        <f t="shared" si="421"/>
        <v>19</v>
      </c>
      <c r="H808" s="74">
        <f t="shared" si="422"/>
        <v>17</v>
      </c>
      <c r="I808" s="74">
        <f t="shared" si="423"/>
        <v>15</v>
      </c>
      <c r="J808" s="114">
        <f t="shared" si="424"/>
        <v>13</v>
      </c>
      <c r="K808" s="74">
        <f t="shared" si="456"/>
        <v>11.5</v>
      </c>
      <c r="L808" s="114">
        <f t="shared" si="457"/>
        <v>10</v>
      </c>
      <c r="M808" s="115">
        <f t="shared" si="458"/>
        <v>11.162000000000001</v>
      </c>
      <c r="N808" s="115">
        <f t="shared" si="459"/>
        <v>12.331</v>
      </c>
      <c r="O808" s="74">
        <f t="shared" si="460"/>
        <v>13.5</v>
      </c>
      <c r="P808" s="74">
        <f t="shared" si="461"/>
        <v>14.661999999999999</v>
      </c>
      <c r="Q808" s="74">
        <f t="shared" si="462"/>
        <v>15.824</v>
      </c>
      <c r="R808" s="114">
        <v>17</v>
      </c>
      <c r="S808" s="129"/>
      <c r="T808" s="117">
        <f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17.266538461538463</v>
      </c>
      <c r="U808" s="117"/>
      <c r="V808" s="129"/>
      <c r="W808" s="114"/>
    </row>
    <row r="809" spans="2:23">
      <c r="B809" s="114">
        <v>30</v>
      </c>
      <c r="C809" s="74">
        <f t="shared" si="418"/>
        <v>27.75</v>
      </c>
      <c r="D809" s="74">
        <f t="shared" si="419"/>
        <v>25.5</v>
      </c>
      <c r="E809" s="74">
        <f t="shared" si="420"/>
        <v>23.25</v>
      </c>
      <c r="F809" s="114">
        <v>21</v>
      </c>
      <c r="G809" s="74">
        <f t="shared" si="421"/>
        <v>18.75</v>
      </c>
      <c r="H809" s="74">
        <f t="shared" si="422"/>
        <v>16.5</v>
      </c>
      <c r="I809" s="74">
        <f t="shared" si="423"/>
        <v>14.25</v>
      </c>
      <c r="J809" s="114">
        <f t="shared" si="424"/>
        <v>12</v>
      </c>
      <c r="K809" s="74">
        <f t="shared" si="456"/>
        <v>10.3125</v>
      </c>
      <c r="L809" s="114">
        <f t="shared" si="457"/>
        <v>8.625</v>
      </c>
      <c r="M809" s="115">
        <f t="shared" si="458"/>
        <v>10.01525</v>
      </c>
      <c r="N809" s="115">
        <f t="shared" si="459"/>
        <v>11.413875000000001</v>
      </c>
      <c r="O809" s="74">
        <f t="shared" si="460"/>
        <v>12.8125</v>
      </c>
      <c r="P809" s="74">
        <f t="shared" si="461"/>
        <v>14.20275</v>
      </c>
      <c r="Q809" s="74">
        <f t="shared" si="462"/>
        <v>15.593</v>
      </c>
      <c r="R809" s="114">
        <v>17</v>
      </c>
      <c r="S809" s="129"/>
      <c r="T809" s="117">
        <f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17.231338461538463</v>
      </c>
      <c r="U809" s="117"/>
      <c r="V809" s="129"/>
      <c r="W809" s="114"/>
    </row>
    <row r="810" spans="2:23">
      <c r="B810" s="114">
        <v>31</v>
      </c>
      <c r="C810" s="74">
        <f t="shared" si="418"/>
        <v>28.5</v>
      </c>
      <c r="D810" s="74">
        <f t="shared" si="419"/>
        <v>26</v>
      </c>
      <c r="E810" s="74">
        <f t="shared" si="420"/>
        <v>23.5</v>
      </c>
      <c r="F810" s="114">
        <v>21</v>
      </c>
      <c r="G810" s="74">
        <f t="shared" si="421"/>
        <v>18.5</v>
      </c>
      <c r="H810" s="74">
        <f t="shared" si="422"/>
        <v>16</v>
      </c>
      <c r="I810" s="74">
        <f t="shared" si="423"/>
        <v>13.5</v>
      </c>
      <c r="J810" s="114">
        <f t="shared" si="424"/>
        <v>11</v>
      </c>
      <c r="K810" s="74">
        <f t="shared" si="456"/>
        <v>9.125</v>
      </c>
      <c r="L810" s="114">
        <f t="shared" si="457"/>
        <v>7.25</v>
      </c>
      <c r="M810" s="115">
        <f t="shared" si="458"/>
        <v>8.8685000000000009</v>
      </c>
      <c r="N810" s="115">
        <f t="shared" si="459"/>
        <v>10.49675</v>
      </c>
      <c r="O810" s="74">
        <f t="shared" si="460"/>
        <v>12.125</v>
      </c>
      <c r="P810" s="74">
        <f t="shared" si="461"/>
        <v>13.743500000000001</v>
      </c>
      <c r="Q810" s="74">
        <f t="shared" si="462"/>
        <v>15.362</v>
      </c>
      <c r="R810" s="114">
        <v>17</v>
      </c>
      <c r="S810" s="129"/>
      <c r="T810" s="117">
        <f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17.134538461538462</v>
      </c>
      <c r="U810" s="117"/>
      <c r="V810" s="129"/>
      <c r="W810" s="114"/>
    </row>
    <row r="811" spans="2:23">
      <c r="B811" s="114">
        <v>32</v>
      </c>
      <c r="C811" s="74">
        <f t="shared" si="418"/>
        <v>29.25</v>
      </c>
      <c r="D811" s="74">
        <f t="shared" si="419"/>
        <v>26.5</v>
      </c>
      <c r="E811" s="74">
        <f t="shared" si="420"/>
        <v>23.75</v>
      </c>
      <c r="F811" s="114">
        <v>21</v>
      </c>
      <c r="G811" s="74">
        <f t="shared" si="421"/>
        <v>18.25</v>
      </c>
      <c r="H811" s="74">
        <f t="shared" si="422"/>
        <v>15.5</v>
      </c>
      <c r="I811" s="74">
        <f t="shared" si="423"/>
        <v>12.75</v>
      </c>
      <c r="J811" s="114">
        <f t="shared" si="424"/>
        <v>10</v>
      </c>
      <c r="K811" s="74">
        <f t="shared" si="456"/>
        <v>7.9375</v>
      </c>
      <c r="L811" s="114">
        <f t="shared" si="457"/>
        <v>5.875</v>
      </c>
      <c r="M811" s="115">
        <f t="shared" si="458"/>
        <v>7.7217500000000001</v>
      </c>
      <c r="N811" s="115">
        <f t="shared" si="459"/>
        <v>9.5796250000000001</v>
      </c>
      <c r="O811" s="74">
        <f t="shared" si="460"/>
        <v>11.4375</v>
      </c>
      <c r="P811" s="74">
        <f t="shared" si="461"/>
        <v>13.28425</v>
      </c>
      <c r="Q811" s="74">
        <f t="shared" si="462"/>
        <v>15.131</v>
      </c>
      <c r="R811" s="114">
        <v>17</v>
      </c>
      <c r="S811" s="129"/>
      <c r="T811" s="117">
        <f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17.009138461538463</v>
      </c>
      <c r="U811" s="117"/>
      <c r="V811" s="129"/>
      <c r="W811" s="114"/>
    </row>
    <row r="812" spans="2:23">
      <c r="B812" s="114">
        <v>33</v>
      </c>
      <c r="C812" s="74">
        <f t="shared" si="418"/>
        <v>30</v>
      </c>
      <c r="D812" s="74">
        <f t="shared" si="419"/>
        <v>27</v>
      </c>
      <c r="E812" s="74">
        <f t="shared" si="420"/>
        <v>24</v>
      </c>
      <c r="F812" s="114">
        <v>21</v>
      </c>
      <c r="G812" s="74">
        <f t="shared" si="421"/>
        <v>18</v>
      </c>
      <c r="H812" s="74">
        <f t="shared" si="422"/>
        <v>15</v>
      </c>
      <c r="I812" s="74">
        <f t="shared" si="423"/>
        <v>12</v>
      </c>
      <c r="J812" s="114">
        <f t="shared" si="424"/>
        <v>9</v>
      </c>
      <c r="K812" s="74">
        <f t="shared" si="456"/>
        <v>6.75</v>
      </c>
      <c r="L812" s="114">
        <f t="shared" si="457"/>
        <v>4.5</v>
      </c>
      <c r="M812" s="115">
        <f t="shared" si="458"/>
        <v>6.5750000000000002</v>
      </c>
      <c r="N812" s="115">
        <f t="shared" si="459"/>
        <v>8.6625000000000014</v>
      </c>
      <c r="O812" s="74">
        <f t="shared" si="460"/>
        <v>10.75</v>
      </c>
      <c r="P812" s="74">
        <f t="shared" si="461"/>
        <v>12.825000000000001</v>
      </c>
      <c r="Q812" s="74">
        <f t="shared" si="462"/>
        <v>14.9</v>
      </c>
      <c r="R812" s="114">
        <v>17</v>
      </c>
      <c r="S812" s="129"/>
      <c r="T812" s="117">
        <f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16.905738461538462</v>
      </c>
      <c r="U812" s="117"/>
      <c r="V812" s="129"/>
      <c r="W812" s="114"/>
    </row>
    <row r="813" spans="2:23">
      <c r="B813" s="114">
        <v>34</v>
      </c>
      <c r="C813" s="74">
        <f t="shared" si="418"/>
        <v>30.75</v>
      </c>
      <c r="D813" s="74">
        <f t="shared" si="419"/>
        <v>27.5</v>
      </c>
      <c r="E813" s="74">
        <f t="shared" si="420"/>
        <v>24.25</v>
      </c>
      <c r="F813" s="114">
        <v>21</v>
      </c>
      <c r="G813" s="74">
        <f t="shared" si="421"/>
        <v>17.75</v>
      </c>
      <c r="H813" s="74">
        <f t="shared" si="422"/>
        <v>14.5</v>
      </c>
      <c r="I813" s="74">
        <f t="shared" si="423"/>
        <v>11.25</v>
      </c>
      <c r="J813" s="114">
        <f t="shared" si="424"/>
        <v>8</v>
      </c>
      <c r="K813" s="74">
        <f t="shared" si="456"/>
        <v>5.5625</v>
      </c>
      <c r="L813" s="114">
        <f t="shared" si="457"/>
        <v>3.125</v>
      </c>
      <c r="M813" s="115">
        <f t="shared" si="458"/>
        <v>5.4282500000000002</v>
      </c>
      <c r="N813" s="115">
        <f t="shared" si="459"/>
        <v>7.7453750000000001</v>
      </c>
      <c r="O813" s="74">
        <f t="shared" si="460"/>
        <v>10.0625</v>
      </c>
      <c r="P813" s="74">
        <f t="shared" si="461"/>
        <v>12.36575</v>
      </c>
      <c r="Q813" s="74">
        <f t="shared" si="462"/>
        <v>14.668999999999999</v>
      </c>
      <c r="R813" s="114">
        <v>17</v>
      </c>
      <c r="S813" s="129"/>
      <c r="T813" s="117">
        <f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16.850424175824177</v>
      </c>
      <c r="U813" s="117"/>
      <c r="V813" s="129"/>
      <c r="W813" s="114"/>
    </row>
    <row r="814" spans="2:23">
      <c r="B814" s="114">
        <v>35</v>
      </c>
      <c r="C814" s="74">
        <f t="shared" si="418"/>
        <v>31.5</v>
      </c>
      <c r="D814" s="74">
        <f t="shared" si="419"/>
        <v>28</v>
      </c>
      <c r="E814" s="74">
        <f t="shared" si="420"/>
        <v>24.5</v>
      </c>
      <c r="F814" s="114">
        <v>21</v>
      </c>
      <c r="G814" s="74">
        <f t="shared" si="421"/>
        <v>17.5</v>
      </c>
      <c r="H814" s="74">
        <f t="shared" si="422"/>
        <v>14</v>
      </c>
      <c r="I814" s="74">
        <f t="shared" si="423"/>
        <v>10.5</v>
      </c>
      <c r="J814" s="114">
        <f t="shared" si="424"/>
        <v>7</v>
      </c>
      <c r="K814" s="74">
        <f t="shared" si="456"/>
        <v>4.375</v>
      </c>
      <c r="L814" s="114">
        <f t="shared" si="457"/>
        <v>1.75</v>
      </c>
      <c r="M814" s="115">
        <f t="shared" si="458"/>
        <v>4.2815000000000003</v>
      </c>
      <c r="N814" s="115">
        <f t="shared" si="459"/>
        <v>6.8282500000000006</v>
      </c>
      <c r="O814" s="74">
        <f t="shared" si="460"/>
        <v>9.375</v>
      </c>
      <c r="P814" s="74">
        <f t="shared" si="461"/>
        <v>11.906500000000001</v>
      </c>
      <c r="Q814" s="74">
        <f t="shared" si="462"/>
        <v>14.437999999999999</v>
      </c>
      <c r="R814" s="114">
        <v>17</v>
      </c>
      <c r="S814" s="129"/>
      <c r="T814" s="126">
        <f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16.573538461538462</v>
      </c>
      <c r="U814" s="126"/>
      <c r="V814" s="129"/>
      <c r="W814" s="114"/>
    </row>
    <row r="815" spans="2:23">
      <c r="B815" s="114"/>
      <c r="C815" s="74"/>
      <c r="D815" s="74"/>
      <c r="E815" s="74"/>
      <c r="F815" s="114"/>
      <c r="G815" s="74"/>
      <c r="H815" s="74"/>
      <c r="I815" s="74"/>
      <c r="J815" s="114"/>
      <c r="K815" s="74"/>
      <c r="L815" s="114"/>
      <c r="M815" s="115"/>
      <c r="N815" s="115"/>
      <c r="O815" s="74"/>
      <c r="P815" s="74"/>
      <c r="Q815" s="74"/>
      <c r="R815" s="114"/>
      <c r="S815" s="129"/>
      <c r="T815" s="117"/>
      <c r="U815" s="117"/>
      <c r="V815" s="129"/>
      <c r="W815" s="114"/>
    </row>
    <row r="816" spans="2:23">
      <c r="B816" s="114">
        <v>24</v>
      </c>
      <c r="C816" s="74">
        <f t="shared" si="418"/>
        <v>23.5</v>
      </c>
      <c r="D816" s="74">
        <f t="shared" si="419"/>
        <v>23</v>
      </c>
      <c r="E816" s="74">
        <f t="shared" si="420"/>
        <v>22.5</v>
      </c>
      <c r="F816" s="114">
        <v>22</v>
      </c>
      <c r="G816" s="74">
        <f t="shared" si="421"/>
        <v>21.5</v>
      </c>
      <c r="H816" s="74">
        <f t="shared" si="422"/>
        <v>21</v>
      </c>
      <c r="I816" s="74">
        <f t="shared" si="423"/>
        <v>20.5</v>
      </c>
      <c r="J816" s="114">
        <f t="shared" si="424"/>
        <v>20</v>
      </c>
      <c r="K816" s="74">
        <f t="shared" ref="K816:K829" si="463">SUM(0.5*(L816-J816),J816)</f>
        <v>19.625</v>
      </c>
      <c r="L816" s="114">
        <f t="shared" si="457"/>
        <v>19.25</v>
      </c>
      <c r="M816" s="115">
        <f t="shared" ref="M816:M829" si="464">SUM(0.166*(R816-L816),L816)</f>
        <v>18.8765</v>
      </c>
      <c r="N816" s="115">
        <f t="shared" ref="N816:N829" si="465">SUM(0.333*(R816-L816),L816)</f>
        <v>18.50075</v>
      </c>
      <c r="O816" s="74">
        <f t="shared" ref="O816:O829" si="466">SUM(0.5*(R816-L816),L816)</f>
        <v>18.125</v>
      </c>
      <c r="P816" s="74">
        <f t="shared" ref="P816:P829" si="467">SUM(0.666*(R816-L816),L816)</f>
        <v>17.7515</v>
      </c>
      <c r="Q816" s="74">
        <f t="shared" ref="Q816:Q829" si="468">SUM(0.832*(R816-L816),L816)</f>
        <v>17.378</v>
      </c>
      <c r="R816" s="114">
        <v>17</v>
      </c>
      <c r="S816" s="129"/>
      <c r="T816" s="117">
        <f>SUM((BH20+BI19+BJ18+BK17+BL16+BM15+BN14+BO13+BP12+BQ11+BR10+BS9+BS8+BT7+BT6+BU5+BV4)*0.132,17)</f>
        <v>16.859538461538463</v>
      </c>
      <c r="U816" s="117"/>
      <c r="V816" s="129"/>
      <c r="W816" s="114"/>
    </row>
    <row r="817" spans="2:23">
      <c r="B817" s="114">
        <v>25</v>
      </c>
      <c r="C817" s="74">
        <f t="shared" si="418"/>
        <v>24.25</v>
      </c>
      <c r="D817" s="74">
        <f t="shared" si="419"/>
        <v>23.5</v>
      </c>
      <c r="E817" s="74">
        <f t="shared" si="420"/>
        <v>22.75</v>
      </c>
      <c r="F817" s="114">
        <v>22</v>
      </c>
      <c r="G817" s="74">
        <f t="shared" si="421"/>
        <v>21.25</v>
      </c>
      <c r="H817" s="74">
        <f t="shared" si="422"/>
        <v>20.5</v>
      </c>
      <c r="I817" s="74">
        <f t="shared" si="423"/>
        <v>19.75</v>
      </c>
      <c r="J817" s="114">
        <f t="shared" si="424"/>
        <v>19</v>
      </c>
      <c r="K817" s="74">
        <f t="shared" si="463"/>
        <v>18.4375</v>
      </c>
      <c r="L817" s="114">
        <f t="shared" si="457"/>
        <v>17.875</v>
      </c>
      <c r="M817" s="115">
        <f t="shared" si="464"/>
        <v>17.729749999999999</v>
      </c>
      <c r="N817" s="115">
        <f t="shared" si="465"/>
        <v>17.583625000000001</v>
      </c>
      <c r="O817" s="74">
        <f t="shared" si="466"/>
        <v>17.4375</v>
      </c>
      <c r="P817" s="74">
        <f t="shared" si="467"/>
        <v>17.292249999999999</v>
      </c>
      <c r="Q817" s="74">
        <f t="shared" si="468"/>
        <v>17.146999999999998</v>
      </c>
      <c r="R817" s="114">
        <v>17</v>
      </c>
      <c r="S817" s="129"/>
      <c r="T817" s="117">
        <f>SUM((BF20+BI18+BL16+BO14+BR12+BS11+BT10+BT9+BT8+BU7+BU6+BV5+BV4)*0.132,(BG19+BH19+BJ17+BK17+BM15+BN15+BP13+BQ13)*0.132/2,17)</f>
        <v>16.793538461538461</v>
      </c>
      <c r="U817" s="117"/>
      <c r="V817" s="129"/>
      <c r="W817" s="114"/>
    </row>
    <row r="818" spans="2:23">
      <c r="B818" s="114">
        <v>26</v>
      </c>
      <c r="C818" s="74">
        <f t="shared" si="418"/>
        <v>25</v>
      </c>
      <c r="D818" s="74">
        <f t="shared" si="419"/>
        <v>24</v>
      </c>
      <c r="E818" s="74">
        <f t="shared" si="420"/>
        <v>23</v>
      </c>
      <c r="F818" s="114">
        <v>22</v>
      </c>
      <c r="G818" s="74">
        <f t="shared" si="421"/>
        <v>21</v>
      </c>
      <c r="H818" s="74">
        <f t="shared" si="422"/>
        <v>20</v>
      </c>
      <c r="I818" s="74">
        <f t="shared" si="423"/>
        <v>19</v>
      </c>
      <c r="J818" s="114">
        <f t="shared" si="424"/>
        <v>18</v>
      </c>
      <c r="K818" s="74">
        <f t="shared" si="463"/>
        <v>17.25</v>
      </c>
      <c r="L818" s="114">
        <f t="shared" si="457"/>
        <v>16.5</v>
      </c>
      <c r="M818" s="115">
        <f t="shared" si="464"/>
        <v>16.582999999999998</v>
      </c>
      <c r="N818" s="115">
        <f t="shared" si="465"/>
        <v>16.666499999999999</v>
      </c>
      <c r="O818" s="74">
        <f t="shared" si="466"/>
        <v>16.75</v>
      </c>
      <c r="P818" s="74">
        <f t="shared" si="467"/>
        <v>16.832999999999998</v>
      </c>
      <c r="Q818" s="74">
        <f t="shared" si="468"/>
        <v>16.916</v>
      </c>
      <c r="R818" s="114">
        <v>17</v>
      </c>
      <c r="S818" s="129"/>
      <c r="T818" s="117">
        <f>SUM((BE19+BF19+BG18+BH18+BI17+BJ17+BK16+BL16+BM15+BN15+BO14+BP14+BQ13+BR13+BS12+BT12+BU11+BV11)*0.132/2,(BD20+BW10+BW9+BW8+BW7+BV6+BV5+BV4)*0.132,17)</f>
        <v>16.529538461538461</v>
      </c>
      <c r="U818" s="117"/>
      <c r="V818" s="129"/>
      <c r="W818" s="114"/>
    </row>
    <row r="819" spans="2:23">
      <c r="B819" s="114">
        <v>27</v>
      </c>
      <c r="C819" s="74">
        <f t="shared" si="418"/>
        <v>25.75</v>
      </c>
      <c r="D819" s="74">
        <f t="shared" si="419"/>
        <v>24.5</v>
      </c>
      <c r="E819" s="74">
        <f t="shared" si="420"/>
        <v>23.25</v>
      </c>
      <c r="F819" s="114">
        <v>22</v>
      </c>
      <c r="G819" s="74">
        <f t="shared" si="421"/>
        <v>20.75</v>
      </c>
      <c r="H819" s="74">
        <f t="shared" si="422"/>
        <v>19.5</v>
      </c>
      <c r="I819" s="74">
        <f t="shared" si="423"/>
        <v>18.25</v>
      </c>
      <c r="J819" s="114">
        <f t="shared" si="424"/>
        <v>17</v>
      </c>
      <c r="K819" s="74">
        <f t="shared" si="463"/>
        <v>16.0625</v>
      </c>
      <c r="L819" s="114">
        <f t="shared" si="457"/>
        <v>15.125</v>
      </c>
      <c r="M819" s="115">
        <f t="shared" si="464"/>
        <v>15.436249999999999</v>
      </c>
      <c r="N819" s="115">
        <f t="shared" si="465"/>
        <v>15.749375000000001</v>
      </c>
      <c r="O819" s="74">
        <f t="shared" si="466"/>
        <v>16.0625</v>
      </c>
      <c r="P819" s="74">
        <f t="shared" si="467"/>
        <v>16.373750000000001</v>
      </c>
      <c r="Q819" s="74">
        <f t="shared" si="468"/>
        <v>16.684999999999999</v>
      </c>
      <c r="R819" s="114">
        <v>17</v>
      </c>
      <c r="S819" s="129"/>
      <c r="T819" s="117">
        <f>SUM((BB20+BC20+BD19+BE19+BI17+BJ17+BK16+BL16)*0.132/2,(BF18+BG18+BH18+BM15+BN15+BO15+BR13+BS13+BT13)*0.132/3,(BP14+BQ14+BU12+BV12+BW11+BX11+BY10+BZ10)*0.132/2,(BY9+BX8+BW7+BW6+BV5+BV4)*0.132,17)</f>
        <v>16.617538461538462</v>
      </c>
      <c r="U819" s="117"/>
      <c r="V819" s="129"/>
      <c r="W819" s="114"/>
    </row>
    <row r="820" spans="2:23">
      <c r="B820" s="114">
        <v>28</v>
      </c>
      <c r="C820" s="74">
        <f t="shared" si="418"/>
        <v>26.5</v>
      </c>
      <c r="D820" s="74">
        <f t="shared" si="419"/>
        <v>25</v>
      </c>
      <c r="E820" s="74">
        <f t="shared" si="420"/>
        <v>23.5</v>
      </c>
      <c r="F820" s="114">
        <v>22</v>
      </c>
      <c r="G820" s="74">
        <f t="shared" si="421"/>
        <v>20.5</v>
      </c>
      <c r="H820" s="74">
        <f t="shared" si="422"/>
        <v>19</v>
      </c>
      <c r="I820" s="74">
        <f t="shared" si="423"/>
        <v>17.5</v>
      </c>
      <c r="J820" s="114">
        <f t="shared" si="424"/>
        <v>16</v>
      </c>
      <c r="K820" s="74">
        <f t="shared" si="463"/>
        <v>14.875</v>
      </c>
      <c r="L820" s="114">
        <f t="shared" si="457"/>
        <v>13.75</v>
      </c>
      <c r="M820" s="115">
        <f t="shared" si="464"/>
        <v>14.2895</v>
      </c>
      <c r="N820" s="115">
        <f t="shared" si="465"/>
        <v>14.83225</v>
      </c>
      <c r="O820" s="74">
        <f t="shared" si="466"/>
        <v>15.375</v>
      </c>
      <c r="P820" s="74">
        <f t="shared" si="467"/>
        <v>15.9145</v>
      </c>
      <c r="Q820" s="74">
        <f t="shared" si="468"/>
        <v>16.454000000000001</v>
      </c>
      <c r="R820" s="114">
        <v>17</v>
      </c>
      <c r="S820" s="129"/>
      <c r="T820" s="117">
        <f>SUM((AZ20+BA20+BE18+BF18)*0.132/2,(BB19+BC19+BD19+BG17+BH17+BI17+BJ16+BK16+BL16+BM15+BN15+BO15+BP14+BQ14+BR14+BS13+BT13+BU13+BV12+BW12+BX12+BY11+BZ11+CA11)*0.132/3,(CB10+CC10+CB9+CA9)*0.132/2,(BZ8+BY7+BX6+BW5+BV4)*0.132,17)</f>
        <v>17.057538461538464</v>
      </c>
      <c r="U820" s="117"/>
      <c r="V820" s="129"/>
      <c r="W820" s="114"/>
    </row>
    <row r="821" spans="2:23">
      <c r="B821" s="114">
        <v>29</v>
      </c>
      <c r="C821" s="74">
        <f t="shared" si="418"/>
        <v>27.25</v>
      </c>
      <c r="D821" s="74">
        <f t="shared" si="419"/>
        <v>25.5</v>
      </c>
      <c r="E821" s="74">
        <f t="shared" si="420"/>
        <v>23.75</v>
      </c>
      <c r="F821" s="114">
        <v>22</v>
      </c>
      <c r="G821" s="74">
        <f t="shared" si="421"/>
        <v>20.25</v>
      </c>
      <c r="H821" s="74">
        <f t="shared" si="422"/>
        <v>18.5</v>
      </c>
      <c r="I821" s="74">
        <f t="shared" si="423"/>
        <v>16.75</v>
      </c>
      <c r="J821" s="114">
        <f t="shared" si="424"/>
        <v>15</v>
      </c>
      <c r="K821" s="74">
        <f t="shared" si="463"/>
        <v>13.6875</v>
      </c>
      <c r="L821" s="114">
        <f t="shared" si="457"/>
        <v>12.375</v>
      </c>
      <c r="M821" s="115">
        <f t="shared" si="464"/>
        <v>13.142749999999999</v>
      </c>
      <c r="N821" s="115">
        <f t="shared" si="465"/>
        <v>13.915125</v>
      </c>
      <c r="O821" s="74">
        <f t="shared" si="466"/>
        <v>14.6875</v>
      </c>
      <c r="P821" s="74">
        <f t="shared" si="467"/>
        <v>15.455249999999999</v>
      </c>
      <c r="Q821" s="74">
        <f t="shared" si="468"/>
        <v>16.222999999999999</v>
      </c>
      <c r="R821" s="114">
        <v>17</v>
      </c>
      <c r="S821" s="129"/>
      <c r="T821" s="117">
        <f>SUM((AX20+AY20+AZ20+BA19+BB19+BC19+BD18+BE18+BF18+BG17+BH17+BI17+BJ16+BK16+BL16+BQ14+BR14+BS14+BX12+BY12+BZ12+CA11+CB11+CC11)*0.132/3,(BM15+BN15+BO15+BP15+BT13+BU13+BV13+BW13)*0.132/4,(CD10+CE10+CD9+CC9+CB8+CA8+BZ7+BY7)*0.132/2,(BX6+BW5+BV4)*0.132,17)</f>
        <v>17.145538461538461</v>
      </c>
      <c r="U821" s="117"/>
      <c r="V821" s="129"/>
      <c r="W821" s="114"/>
    </row>
    <row r="822" spans="2:23">
      <c r="B822" s="114">
        <v>30</v>
      </c>
      <c r="C822" s="74">
        <f t="shared" si="418"/>
        <v>28</v>
      </c>
      <c r="D822" s="74">
        <f t="shared" si="419"/>
        <v>26</v>
      </c>
      <c r="E822" s="74">
        <f t="shared" si="420"/>
        <v>24</v>
      </c>
      <c r="F822" s="114">
        <v>22</v>
      </c>
      <c r="G822" s="74">
        <f t="shared" si="421"/>
        <v>20</v>
      </c>
      <c r="H822" s="74">
        <f t="shared" si="422"/>
        <v>18</v>
      </c>
      <c r="I822" s="74">
        <f t="shared" si="423"/>
        <v>16</v>
      </c>
      <c r="J822" s="114">
        <f t="shared" si="424"/>
        <v>14</v>
      </c>
      <c r="K822" s="74">
        <f t="shared" si="463"/>
        <v>12.5</v>
      </c>
      <c r="L822" s="114">
        <f t="shared" si="457"/>
        <v>11</v>
      </c>
      <c r="M822" s="115">
        <f t="shared" si="464"/>
        <v>11.996</v>
      </c>
      <c r="N822" s="115">
        <f t="shared" si="465"/>
        <v>12.998000000000001</v>
      </c>
      <c r="O822" s="74">
        <f t="shared" si="466"/>
        <v>14</v>
      </c>
      <c r="P822" s="74">
        <f t="shared" si="467"/>
        <v>14.996</v>
      </c>
      <c r="Q822" s="74">
        <f t="shared" si="468"/>
        <v>15.992000000000001</v>
      </c>
      <c r="R822" s="114">
        <v>17</v>
      </c>
      <c r="S822" s="129"/>
      <c r="T822" s="117">
        <f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17.211538461538463</v>
      </c>
      <c r="U822" s="117"/>
      <c r="V822" s="129"/>
      <c r="W822" s="114"/>
    </row>
    <row r="823" spans="2:23">
      <c r="B823" s="114">
        <v>31</v>
      </c>
      <c r="C823" s="74">
        <f t="shared" si="418"/>
        <v>28.75</v>
      </c>
      <c r="D823" s="74">
        <f t="shared" si="419"/>
        <v>26.5</v>
      </c>
      <c r="E823" s="74">
        <f t="shared" si="420"/>
        <v>24.25</v>
      </c>
      <c r="F823" s="114">
        <v>22</v>
      </c>
      <c r="G823" s="74">
        <f t="shared" si="421"/>
        <v>19.75</v>
      </c>
      <c r="H823" s="74">
        <f t="shared" si="422"/>
        <v>17.5</v>
      </c>
      <c r="I823" s="74">
        <f t="shared" si="423"/>
        <v>15.25</v>
      </c>
      <c r="J823" s="114">
        <f t="shared" si="424"/>
        <v>13</v>
      </c>
      <c r="K823" s="74">
        <f t="shared" si="463"/>
        <v>11.3125</v>
      </c>
      <c r="L823" s="114">
        <f t="shared" si="457"/>
        <v>9.625</v>
      </c>
      <c r="M823" s="115">
        <f t="shared" si="464"/>
        <v>10.84925</v>
      </c>
      <c r="N823" s="115">
        <f t="shared" si="465"/>
        <v>12.080875000000001</v>
      </c>
      <c r="O823" s="74">
        <f t="shared" si="466"/>
        <v>13.3125</v>
      </c>
      <c r="P823" s="74">
        <f t="shared" si="467"/>
        <v>14.536750000000001</v>
      </c>
      <c r="Q823" s="74">
        <f t="shared" si="468"/>
        <v>15.760999999999999</v>
      </c>
      <c r="R823" s="114">
        <v>17</v>
      </c>
      <c r="S823" s="129"/>
      <c r="T823" s="117">
        <f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17.288538461538462</v>
      </c>
      <c r="U823" s="117"/>
      <c r="V823" s="129"/>
      <c r="W823" s="114"/>
    </row>
    <row r="824" spans="2:23">
      <c r="B824" s="114">
        <v>32</v>
      </c>
      <c r="C824" s="74">
        <f t="shared" si="418"/>
        <v>29.5</v>
      </c>
      <c r="D824" s="74">
        <f t="shared" si="419"/>
        <v>27</v>
      </c>
      <c r="E824" s="74">
        <f t="shared" si="420"/>
        <v>24.5</v>
      </c>
      <c r="F824" s="114">
        <v>22</v>
      </c>
      <c r="G824" s="74">
        <f t="shared" si="421"/>
        <v>19.5</v>
      </c>
      <c r="H824" s="74">
        <f t="shared" si="422"/>
        <v>17</v>
      </c>
      <c r="I824" s="74">
        <f t="shared" si="423"/>
        <v>14.5</v>
      </c>
      <c r="J824" s="114">
        <f t="shared" si="424"/>
        <v>12</v>
      </c>
      <c r="K824" s="74">
        <f t="shared" si="463"/>
        <v>10.125</v>
      </c>
      <c r="L824" s="114">
        <f t="shared" si="457"/>
        <v>8.25</v>
      </c>
      <c r="M824" s="115">
        <f t="shared" si="464"/>
        <v>9.7025000000000006</v>
      </c>
      <c r="N824" s="115">
        <f t="shared" si="465"/>
        <v>11.16375</v>
      </c>
      <c r="O824" s="74">
        <f t="shared" si="466"/>
        <v>12.625</v>
      </c>
      <c r="P824" s="74">
        <f t="shared" si="467"/>
        <v>14.077500000000001</v>
      </c>
      <c r="Q824" s="74">
        <f t="shared" si="468"/>
        <v>15.53</v>
      </c>
      <c r="R824" s="114">
        <v>17</v>
      </c>
      <c r="S824" s="129"/>
      <c r="T824" s="117">
        <f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17.013538461538463</v>
      </c>
      <c r="U824" s="117"/>
      <c r="V824" s="129"/>
      <c r="W824" s="114"/>
    </row>
    <row r="825" spans="2:23">
      <c r="B825" s="114">
        <v>33</v>
      </c>
      <c r="C825" s="74">
        <f t="shared" si="418"/>
        <v>30.25</v>
      </c>
      <c r="D825" s="74">
        <f t="shared" si="419"/>
        <v>27.5</v>
      </c>
      <c r="E825" s="74">
        <f t="shared" si="420"/>
        <v>24.75</v>
      </c>
      <c r="F825" s="114">
        <v>22</v>
      </c>
      <c r="G825" s="74">
        <f t="shared" si="421"/>
        <v>19.25</v>
      </c>
      <c r="H825" s="74">
        <f t="shared" si="422"/>
        <v>16.5</v>
      </c>
      <c r="I825" s="74">
        <f t="shared" si="423"/>
        <v>13.75</v>
      </c>
      <c r="J825" s="114">
        <f t="shared" si="424"/>
        <v>11</v>
      </c>
      <c r="K825" s="74">
        <f t="shared" si="463"/>
        <v>8.9375</v>
      </c>
      <c r="L825" s="114">
        <f t="shared" si="457"/>
        <v>6.875</v>
      </c>
      <c r="M825" s="115">
        <f t="shared" si="464"/>
        <v>8.5557499999999997</v>
      </c>
      <c r="N825" s="115">
        <f t="shared" si="465"/>
        <v>10.246625</v>
      </c>
      <c r="O825" s="74">
        <f t="shared" si="466"/>
        <v>11.9375</v>
      </c>
      <c r="P825" s="74">
        <f t="shared" si="467"/>
        <v>13.61825</v>
      </c>
      <c r="Q825" s="74">
        <f t="shared" si="468"/>
        <v>15.298999999999999</v>
      </c>
      <c r="R825" s="114">
        <v>17</v>
      </c>
      <c r="S825" s="129"/>
      <c r="T825" s="117">
        <f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16.965138461538462</v>
      </c>
      <c r="U825" s="117"/>
      <c r="V825" s="129"/>
      <c r="W825" s="114"/>
    </row>
    <row r="826" spans="2:23">
      <c r="B826" s="114">
        <v>34</v>
      </c>
      <c r="C826" s="74">
        <f t="shared" si="418"/>
        <v>31</v>
      </c>
      <c r="D826" s="74">
        <f t="shared" si="419"/>
        <v>28</v>
      </c>
      <c r="E826" s="74">
        <f t="shared" si="420"/>
        <v>25</v>
      </c>
      <c r="F826" s="114">
        <v>22</v>
      </c>
      <c r="G826" s="74">
        <f t="shared" si="421"/>
        <v>19</v>
      </c>
      <c r="H826" s="74">
        <f t="shared" si="422"/>
        <v>16</v>
      </c>
      <c r="I826" s="74">
        <f t="shared" si="423"/>
        <v>13</v>
      </c>
      <c r="J826" s="114">
        <f t="shared" si="424"/>
        <v>10</v>
      </c>
      <c r="K826" s="74">
        <f t="shared" si="463"/>
        <v>7.75</v>
      </c>
      <c r="L826" s="114">
        <f t="shared" si="457"/>
        <v>5.5</v>
      </c>
      <c r="M826" s="115">
        <f t="shared" si="464"/>
        <v>7.4089999999999998</v>
      </c>
      <c r="N826" s="115">
        <f t="shared" si="465"/>
        <v>9.3294999999999995</v>
      </c>
      <c r="O826" s="74">
        <f t="shared" si="466"/>
        <v>11.25</v>
      </c>
      <c r="P826" s="74">
        <f t="shared" si="467"/>
        <v>13.159000000000001</v>
      </c>
      <c r="Q826" s="74">
        <f t="shared" si="468"/>
        <v>15.068</v>
      </c>
      <c r="R826" s="114">
        <v>17</v>
      </c>
      <c r="S826" s="129"/>
      <c r="T826" s="117">
        <f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16.687938461538462</v>
      </c>
      <c r="U826" s="117"/>
      <c r="V826" s="129"/>
      <c r="W826" s="114"/>
    </row>
    <row r="827" spans="2:23">
      <c r="B827" s="114">
        <v>35</v>
      </c>
      <c r="C827" s="74">
        <f t="shared" ref="C827:C891" si="469">SUM(0.25*(F827-B827),B827)</f>
        <v>31.75</v>
      </c>
      <c r="D827" s="74">
        <f t="shared" ref="D827:D891" si="470">SUM(0.5*(F827-B827)+B827)</f>
        <v>28.5</v>
      </c>
      <c r="E827" s="74">
        <f t="shared" ref="E827:E891" si="471">SUM(0.75*(F827-B827),B827)</f>
        <v>25.25</v>
      </c>
      <c r="F827" s="114">
        <v>22</v>
      </c>
      <c r="G827" s="74">
        <f t="shared" ref="G827:G891" si="472">SUM(0.25*(J827-F827),F827)</f>
        <v>18.75</v>
      </c>
      <c r="H827" s="74">
        <f t="shared" ref="H827:H891" si="473">SUM(0.5*(J827-F827),F827)</f>
        <v>15.5</v>
      </c>
      <c r="I827" s="74">
        <f t="shared" ref="I827:I891" si="474">SUM(0.75*(J827-F827),F827)</f>
        <v>12.25</v>
      </c>
      <c r="J827" s="114">
        <f t="shared" ref="J827:J891" si="475">SUM(F827,-B827,F827)</f>
        <v>9</v>
      </c>
      <c r="K827" s="74">
        <f t="shared" si="463"/>
        <v>6.5625</v>
      </c>
      <c r="L827" s="114">
        <f t="shared" si="457"/>
        <v>4.125</v>
      </c>
      <c r="M827" s="115">
        <f t="shared" si="464"/>
        <v>6.2622499999999999</v>
      </c>
      <c r="N827" s="115">
        <f t="shared" si="465"/>
        <v>8.4123750000000008</v>
      </c>
      <c r="O827" s="74">
        <f t="shared" si="466"/>
        <v>10.5625</v>
      </c>
      <c r="P827" s="74">
        <f t="shared" si="467"/>
        <v>12.69975</v>
      </c>
      <c r="Q827" s="74">
        <f t="shared" si="468"/>
        <v>14.837</v>
      </c>
      <c r="R827" s="114">
        <v>17</v>
      </c>
      <c r="S827" s="129"/>
      <c r="T827" s="117">
        <f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16.580138461538461</v>
      </c>
      <c r="U827" s="117"/>
      <c r="V827" s="129"/>
      <c r="W827" s="114"/>
    </row>
    <row r="828" spans="2:23">
      <c r="B828" s="114">
        <v>36</v>
      </c>
      <c r="C828" s="74">
        <f t="shared" si="469"/>
        <v>32.5</v>
      </c>
      <c r="D828" s="74">
        <f t="shared" si="470"/>
        <v>29</v>
      </c>
      <c r="E828" s="74">
        <f t="shared" si="471"/>
        <v>25.5</v>
      </c>
      <c r="F828" s="114">
        <v>22</v>
      </c>
      <c r="G828" s="74">
        <f t="shared" si="472"/>
        <v>18.5</v>
      </c>
      <c r="H828" s="74">
        <f t="shared" si="473"/>
        <v>15</v>
      </c>
      <c r="I828" s="74">
        <f t="shared" si="474"/>
        <v>11.5</v>
      </c>
      <c r="J828" s="114">
        <f t="shared" si="475"/>
        <v>8</v>
      </c>
      <c r="K828" s="74">
        <f t="shared" si="463"/>
        <v>5.375</v>
      </c>
      <c r="L828" s="114">
        <f t="shared" si="457"/>
        <v>2.75</v>
      </c>
      <c r="M828" s="115">
        <f t="shared" si="464"/>
        <v>5.1154999999999999</v>
      </c>
      <c r="N828" s="115">
        <f t="shared" si="465"/>
        <v>7.4952500000000004</v>
      </c>
      <c r="O828" s="74">
        <f t="shared" si="466"/>
        <v>9.875</v>
      </c>
      <c r="P828" s="74">
        <f t="shared" si="467"/>
        <v>12.240500000000001</v>
      </c>
      <c r="Q828" s="74">
        <f t="shared" si="468"/>
        <v>14.606</v>
      </c>
      <c r="R828" s="114">
        <v>17</v>
      </c>
      <c r="S828" s="129"/>
      <c r="T828" s="117">
        <f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16.369252747252748</v>
      </c>
      <c r="U828" s="117"/>
      <c r="V828" s="129"/>
      <c r="W828" s="114"/>
    </row>
    <row r="829" spans="2:23">
      <c r="B829" s="114">
        <v>37</v>
      </c>
      <c r="C829" s="74">
        <f t="shared" si="469"/>
        <v>33.25</v>
      </c>
      <c r="D829" s="74">
        <f t="shared" si="470"/>
        <v>29.5</v>
      </c>
      <c r="E829" s="74">
        <f t="shared" si="471"/>
        <v>25.75</v>
      </c>
      <c r="F829" s="114">
        <v>22</v>
      </c>
      <c r="G829" s="74">
        <f t="shared" si="472"/>
        <v>18.25</v>
      </c>
      <c r="H829" s="74">
        <f t="shared" si="473"/>
        <v>14.5</v>
      </c>
      <c r="I829" s="74">
        <f t="shared" si="474"/>
        <v>10.75</v>
      </c>
      <c r="J829" s="114">
        <f t="shared" si="475"/>
        <v>7</v>
      </c>
      <c r="K829" s="74">
        <f t="shared" si="463"/>
        <v>4.1875</v>
      </c>
      <c r="L829" s="114">
        <f t="shared" si="457"/>
        <v>1.375</v>
      </c>
      <c r="M829" s="115">
        <f t="shared" si="464"/>
        <v>3.96875</v>
      </c>
      <c r="N829" s="115">
        <f t="shared" si="465"/>
        <v>6.578125</v>
      </c>
      <c r="O829" s="74">
        <f t="shared" si="466"/>
        <v>9.1875</v>
      </c>
      <c r="P829" s="74">
        <f t="shared" si="467"/>
        <v>11.78125</v>
      </c>
      <c r="Q829" s="74">
        <f t="shared" si="468"/>
        <v>14.375</v>
      </c>
      <c r="R829" s="114">
        <v>17</v>
      </c>
      <c r="S829" s="129"/>
      <c r="T829" s="126">
        <f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16.280309890109891</v>
      </c>
      <c r="U829" s="126"/>
      <c r="V829" s="129"/>
      <c r="W829" s="114"/>
    </row>
    <row r="830" spans="2:23">
      <c r="B830" s="114"/>
      <c r="C830" s="74"/>
      <c r="D830" s="74"/>
      <c r="E830" s="74"/>
      <c r="F830" s="114"/>
      <c r="G830" s="74"/>
      <c r="H830" s="74"/>
      <c r="I830" s="74"/>
      <c r="J830" s="114"/>
      <c r="K830" s="74"/>
      <c r="L830" s="114"/>
      <c r="M830" s="115"/>
      <c r="N830" s="115"/>
      <c r="O830" s="74"/>
      <c r="P830" s="74"/>
      <c r="Q830" s="74"/>
      <c r="R830" s="114"/>
      <c r="S830" s="129"/>
      <c r="T830" s="117"/>
      <c r="U830" s="117"/>
      <c r="V830" s="129"/>
      <c r="W830" s="114"/>
    </row>
    <row r="831" spans="2:23">
      <c r="B831" s="114">
        <v>25</v>
      </c>
      <c r="C831" s="74">
        <f t="shared" si="469"/>
        <v>24.5</v>
      </c>
      <c r="D831" s="74">
        <f t="shared" si="470"/>
        <v>24</v>
      </c>
      <c r="E831" s="74">
        <f t="shared" si="471"/>
        <v>23.5</v>
      </c>
      <c r="F831" s="114">
        <v>23</v>
      </c>
      <c r="G831" s="74">
        <f t="shared" si="472"/>
        <v>22.5</v>
      </c>
      <c r="H831" s="74">
        <f t="shared" si="473"/>
        <v>22</v>
      </c>
      <c r="I831" s="74">
        <f t="shared" si="474"/>
        <v>21.5</v>
      </c>
      <c r="J831" s="114">
        <f t="shared" si="475"/>
        <v>21</v>
      </c>
      <c r="K831" s="74">
        <f t="shared" ref="K831:K845" si="476">SUM(0.5*(L831-J831),J831)</f>
        <v>20.5</v>
      </c>
      <c r="L831" s="114">
        <f>SUM(J831,J831,-H831)</f>
        <v>20</v>
      </c>
      <c r="M831" s="115">
        <f t="shared" ref="M831:M845" si="477">SUM(0.166*(R831-L831),L831)</f>
        <v>19.501999999999999</v>
      </c>
      <c r="N831" s="115">
        <f t="shared" ref="N831:N845" si="478">SUM(0.333*(R831-L831),L831)</f>
        <v>19.001000000000001</v>
      </c>
      <c r="O831" s="74">
        <f t="shared" ref="O831:O845" si="479">SUM(0.5*(R831-L831),L831)</f>
        <v>18.5</v>
      </c>
      <c r="P831" s="74">
        <f t="shared" ref="P831:P845" si="480">SUM(0.666*(R831-L831),L831)</f>
        <v>18.001999999999999</v>
      </c>
      <c r="Q831" s="74">
        <f t="shared" ref="Q831:Q845" si="481">SUM(0.832*(R831-L831),L831)</f>
        <v>17.504000000000001</v>
      </c>
      <c r="R831" s="114">
        <v>17</v>
      </c>
      <c r="S831" s="129"/>
      <c r="T831" s="117">
        <f>SUM((BF20+BG19+BH18+BI17+BJ16+BK15+BL14+BM13+BN12+BO11+BP10+BQ9+BR8+BS7+BT6+BU5+BV4)*0.132,17)</f>
        <v>16.727538461538462</v>
      </c>
      <c r="U831" s="117"/>
      <c r="V831" s="129"/>
      <c r="W831" s="114"/>
    </row>
    <row r="832" spans="2:23">
      <c r="B832" s="114">
        <v>26</v>
      </c>
      <c r="C832" s="74">
        <f t="shared" si="469"/>
        <v>25.25</v>
      </c>
      <c r="D832" s="74">
        <f t="shared" si="470"/>
        <v>24.5</v>
      </c>
      <c r="E832" s="74">
        <f t="shared" si="471"/>
        <v>23.75</v>
      </c>
      <c r="F832" s="114">
        <v>23</v>
      </c>
      <c r="G832" s="74">
        <f t="shared" si="472"/>
        <v>22.25</v>
      </c>
      <c r="H832" s="74">
        <f t="shared" si="473"/>
        <v>21.5</v>
      </c>
      <c r="I832" s="74">
        <f t="shared" si="474"/>
        <v>20.75</v>
      </c>
      <c r="J832" s="114">
        <f t="shared" si="475"/>
        <v>20</v>
      </c>
      <c r="K832" s="74">
        <f t="shared" si="476"/>
        <v>19.4375</v>
      </c>
      <c r="L832" s="114">
        <f t="shared" si="457"/>
        <v>18.875</v>
      </c>
      <c r="M832" s="115">
        <f t="shared" si="477"/>
        <v>18.563749999999999</v>
      </c>
      <c r="N832" s="115">
        <f t="shared" si="478"/>
        <v>18.250624999999999</v>
      </c>
      <c r="O832" s="74">
        <f t="shared" si="479"/>
        <v>17.9375</v>
      </c>
      <c r="P832" s="74">
        <f t="shared" si="480"/>
        <v>17.626249999999999</v>
      </c>
      <c r="Q832" s="74">
        <f t="shared" si="481"/>
        <v>17.315000000000001</v>
      </c>
      <c r="R832" s="114">
        <v>17</v>
      </c>
      <c r="S832" s="129"/>
      <c r="T832" s="117">
        <f>SUM((BD20+BG18+BJ16+BM14+BP12+BQ11+BR10+BS9+BS8+BT7+BT6+BU5+BV4)*0.132,(BE19+BF19+BH17+BI17+BK15+BL15+BN13+BO13)*0.132/2,17)</f>
        <v>16.595538461538464</v>
      </c>
      <c r="U832" s="117"/>
      <c r="V832" s="129"/>
      <c r="W832" s="114"/>
    </row>
    <row r="833" spans="2:23">
      <c r="B833" s="114">
        <v>27</v>
      </c>
      <c r="C833" s="74">
        <f t="shared" si="469"/>
        <v>26</v>
      </c>
      <c r="D833" s="74">
        <f t="shared" si="470"/>
        <v>25</v>
      </c>
      <c r="E833" s="74">
        <f t="shared" si="471"/>
        <v>24</v>
      </c>
      <c r="F833" s="114">
        <v>23</v>
      </c>
      <c r="G833" s="74">
        <f t="shared" si="472"/>
        <v>22</v>
      </c>
      <c r="H833" s="74">
        <f t="shared" si="473"/>
        <v>21</v>
      </c>
      <c r="I833" s="74">
        <f t="shared" si="474"/>
        <v>20</v>
      </c>
      <c r="J833" s="114">
        <f t="shared" si="475"/>
        <v>19</v>
      </c>
      <c r="K833" s="74">
        <f t="shared" si="476"/>
        <v>18.25</v>
      </c>
      <c r="L833" s="114">
        <f t="shared" si="457"/>
        <v>17.5</v>
      </c>
      <c r="M833" s="115">
        <f t="shared" si="477"/>
        <v>17.417000000000002</v>
      </c>
      <c r="N833" s="115">
        <f t="shared" si="478"/>
        <v>17.333500000000001</v>
      </c>
      <c r="O833" s="74">
        <f t="shared" si="479"/>
        <v>17.25</v>
      </c>
      <c r="P833" s="74">
        <f t="shared" si="480"/>
        <v>17.167000000000002</v>
      </c>
      <c r="Q833" s="74">
        <f t="shared" si="481"/>
        <v>17.084</v>
      </c>
      <c r="R833" s="114">
        <v>17</v>
      </c>
      <c r="S833" s="129"/>
      <c r="T833" s="117">
        <f>SUM((BC19+BD19+BE18+BF18+BG17+BH17+BI16+BJ16+BK15+BL15+BM14+BN14+BO13+BP13+BQ12+BR12+BS11+BT11)*0.132/2,(BB20+BU10+BU9+BU8+BU7+BV6+BV5+BV4)*0.132,17)</f>
        <v>16.925538461538462</v>
      </c>
      <c r="U833" s="117"/>
      <c r="V833" s="129"/>
      <c r="W833" s="114"/>
    </row>
    <row r="834" spans="2:23">
      <c r="B834" s="114">
        <v>28</v>
      </c>
      <c r="C834" s="74">
        <f t="shared" si="469"/>
        <v>26.75</v>
      </c>
      <c r="D834" s="74">
        <f t="shared" si="470"/>
        <v>25.5</v>
      </c>
      <c r="E834" s="74">
        <f t="shared" si="471"/>
        <v>24.25</v>
      </c>
      <c r="F834" s="114">
        <v>23</v>
      </c>
      <c r="G834" s="74">
        <f t="shared" si="472"/>
        <v>21.75</v>
      </c>
      <c r="H834" s="74">
        <f t="shared" si="473"/>
        <v>20.5</v>
      </c>
      <c r="I834" s="74">
        <f t="shared" si="474"/>
        <v>19.25</v>
      </c>
      <c r="J834" s="114">
        <f t="shared" si="475"/>
        <v>18</v>
      </c>
      <c r="K834" s="74">
        <f t="shared" si="476"/>
        <v>17.0625</v>
      </c>
      <c r="L834" s="114">
        <f t="shared" si="457"/>
        <v>16.125</v>
      </c>
      <c r="M834" s="115">
        <f t="shared" si="477"/>
        <v>16.270250000000001</v>
      </c>
      <c r="N834" s="115">
        <f t="shared" si="478"/>
        <v>16.416374999999999</v>
      </c>
      <c r="O834" s="74">
        <f t="shared" si="479"/>
        <v>16.5625</v>
      </c>
      <c r="P834" s="74">
        <f t="shared" si="480"/>
        <v>16.707750000000001</v>
      </c>
      <c r="Q834" s="74">
        <f t="shared" si="481"/>
        <v>16.853000000000002</v>
      </c>
      <c r="R834" s="114">
        <v>17</v>
      </c>
      <c r="S834" s="129"/>
      <c r="T834" s="117">
        <f>SUM((AZ20+BA20+BB19+BC19+BG17+BH17+BI16+BJ16+BN14+BO14+BS12+BT12+BU11+BV11+BW10+BX10)*0.132/2,(BD18+BE18+BF18+BK15+BL15+BM15+BP13+BQ13+BR13)*0.132/3,(BW9+BW8+BW7+BV6+BV5+BV4)*0.132,17)</f>
        <v>16.463538461538462</v>
      </c>
      <c r="U834" s="117"/>
      <c r="V834" s="129"/>
      <c r="W834" s="114"/>
    </row>
    <row r="835" spans="2:23">
      <c r="B835" s="114">
        <v>29</v>
      </c>
      <c r="C835" s="74">
        <f t="shared" si="469"/>
        <v>27.5</v>
      </c>
      <c r="D835" s="74">
        <f t="shared" si="470"/>
        <v>26</v>
      </c>
      <c r="E835" s="74">
        <f t="shared" si="471"/>
        <v>24.5</v>
      </c>
      <c r="F835" s="114">
        <v>23</v>
      </c>
      <c r="G835" s="74">
        <f t="shared" si="472"/>
        <v>21.5</v>
      </c>
      <c r="H835" s="74">
        <f t="shared" si="473"/>
        <v>20</v>
      </c>
      <c r="I835" s="74">
        <f t="shared" si="474"/>
        <v>18.5</v>
      </c>
      <c r="J835" s="114">
        <f t="shared" si="475"/>
        <v>17</v>
      </c>
      <c r="K835" s="74">
        <f t="shared" si="476"/>
        <v>15.875</v>
      </c>
      <c r="L835" s="114">
        <f t="shared" si="457"/>
        <v>14.75</v>
      </c>
      <c r="M835" s="115">
        <f t="shared" si="477"/>
        <v>15.1235</v>
      </c>
      <c r="N835" s="115">
        <f t="shared" si="478"/>
        <v>15.49925</v>
      </c>
      <c r="O835" s="74">
        <f t="shared" si="479"/>
        <v>15.875</v>
      </c>
      <c r="P835" s="74">
        <f t="shared" si="480"/>
        <v>16.2485</v>
      </c>
      <c r="Q835" s="74">
        <f t="shared" si="481"/>
        <v>16.622</v>
      </c>
      <c r="R835" s="114">
        <v>17</v>
      </c>
      <c r="S835" s="129"/>
      <c r="T835" s="117">
        <f>SUM((AX20+AY20+BC18+BD18)*0.132/2,(AZ19+BA19+BB19+BE17+BF17+BG17+BH16+BI16+BJ16+BK15+BL15+BM15+BN14+BO14+BP14+BQ13+BR13+BS13+BT12+BU12+BV12+BW11+BX11+BY11)*0.132/3,(BZ10+CA10)*0.132/2,(BZ9+BY8+BX7+BW6+BV5+BV4)*0.132,17)</f>
        <v>16.991538461538461</v>
      </c>
      <c r="U835" s="117"/>
      <c r="V835" s="129"/>
      <c r="W835" s="114"/>
    </row>
    <row r="836" spans="2:23">
      <c r="B836" s="114">
        <v>30</v>
      </c>
      <c r="C836" s="74">
        <f t="shared" si="469"/>
        <v>28.25</v>
      </c>
      <c r="D836" s="74">
        <f t="shared" si="470"/>
        <v>26.5</v>
      </c>
      <c r="E836" s="74">
        <f t="shared" si="471"/>
        <v>24.75</v>
      </c>
      <c r="F836" s="114">
        <v>23</v>
      </c>
      <c r="G836" s="74">
        <f t="shared" si="472"/>
        <v>21.25</v>
      </c>
      <c r="H836" s="74">
        <f t="shared" si="473"/>
        <v>19.5</v>
      </c>
      <c r="I836" s="74">
        <f t="shared" si="474"/>
        <v>17.75</v>
      </c>
      <c r="J836" s="114">
        <f t="shared" si="475"/>
        <v>16</v>
      </c>
      <c r="K836" s="74">
        <f t="shared" si="476"/>
        <v>14.6875</v>
      </c>
      <c r="L836" s="114">
        <f t="shared" si="457"/>
        <v>13.375</v>
      </c>
      <c r="M836" s="115">
        <f t="shared" si="477"/>
        <v>13.976749999999999</v>
      </c>
      <c r="N836" s="115">
        <f t="shared" si="478"/>
        <v>14.582125</v>
      </c>
      <c r="O836" s="74">
        <f t="shared" si="479"/>
        <v>15.1875</v>
      </c>
      <c r="P836" s="74">
        <f t="shared" si="480"/>
        <v>15.789249999999999</v>
      </c>
      <c r="Q836" s="74">
        <f t="shared" si="481"/>
        <v>16.390999999999998</v>
      </c>
      <c r="R836" s="114">
        <v>17</v>
      </c>
      <c r="S836" s="129"/>
      <c r="T836" s="117">
        <f>SUM((AV20+AW20+AX20+AY19+AZ19+BA19+BB18+BC18+BD18+BE17+BF17+BG17+BH16+BI16+BJ16+BO14+BP14+BQ14+BV12+BW12+BX12+BY11+BZ11+CA11)*0.132/3,(BK15+BL15+BM15+BN15+BR13+BS13+BT13+BU13)*0.132/4,(CB10+CC10+CB9+CA9)*0.132/2,(BZ8+BY7+BX6+BW5+BV4)*0.132,17)</f>
        <v>16.870538461538462</v>
      </c>
      <c r="U836" s="117"/>
      <c r="V836" s="129"/>
      <c r="W836" s="114"/>
    </row>
    <row r="837" spans="2:23">
      <c r="B837" s="114">
        <v>31</v>
      </c>
      <c r="C837" s="74">
        <f t="shared" si="469"/>
        <v>29</v>
      </c>
      <c r="D837" s="74">
        <f t="shared" si="470"/>
        <v>27</v>
      </c>
      <c r="E837" s="74">
        <f t="shared" si="471"/>
        <v>25</v>
      </c>
      <c r="F837" s="114">
        <v>23</v>
      </c>
      <c r="G837" s="74">
        <f t="shared" si="472"/>
        <v>21</v>
      </c>
      <c r="H837" s="74">
        <f t="shared" si="473"/>
        <v>19</v>
      </c>
      <c r="I837" s="74">
        <f t="shared" si="474"/>
        <v>17</v>
      </c>
      <c r="J837" s="114">
        <f t="shared" si="475"/>
        <v>15</v>
      </c>
      <c r="K837" s="74">
        <f t="shared" si="476"/>
        <v>13.5</v>
      </c>
      <c r="L837" s="114">
        <f t="shared" si="457"/>
        <v>12</v>
      </c>
      <c r="M837" s="115">
        <f t="shared" si="477"/>
        <v>12.83</v>
      </c>
      <c r="N837" s="115">
        <f t="shared" si="478"/>
        <v>13.664999999999999</v>
      </c>
      <c r="O837" s="74">
        <f t="shared" si="479"/>
        <v>14.5</v>
      </c>
      <c r="P837" s="74">
        <f t="shared" si="480"/>
        <v>15.33</v>
      </c>
      <c r="Q837" s="74">
        <f t="shared" si="481"/>
        <v>16.16</v>
      </c>
      <c r="R837" s="114">
        <v>17</v>
      </c>
      <c r="S837" s="129"/>
      <c r="T837" s="117">
        <f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17.068538461538463</v>
      </c>
      <c r="U837" s="117"/>
      <c r="V837" s="129"/>
      <c r="W837" s="114"/>
    </row>
    <row r="838" spans="2:23">
      <c r="B838" s="114">
        <v>32</v>
      </c>
      <c r="C838" s="74">
        <f t="shared" si="469"/>
        <v>29.75</v>
      </c>
      <c r="D838" s="74">
        <f t="shared" si="470"/>
        <v>27.5</v>
      </c>
      <c r="E838" s="74">
        <f t="shared" si="471"/>
        <v>25.25</v>
      </c>
      <c r="F838" s="114">
        <v>23</v>
      </c>
      <c r="G838" s="74">
        <f t="shared" si="472"/>
        <v>20.75</v>
      </c>
      <c r="H838" s="74">
        <f t="shared" si="473"/>
        <v>18.5</v>
      </c>
      <c r="I838" s="74">
        <f t="shared" si="474"/>
        <v>16.25</v>
      </c>
      <c r="J838" s="114">
        <f t="shared" si="475"/>
        <v>14</v>
      </c>
      <c r="K838" s="74">
        <f t="shared" si="476"/>
        <v>12.3125</v>
      </c>
      <c r="L838" s="114">
        <f t="shared" si="457"/>
        <v>10.625</v>
      </c>
      <c r="M838" s="115">
        <f t="shared" si="477"/>
        <v>11.683250000000001</v>
      </c>
      <c r="N838" s="115">
        <f t="shared" si="478"/>
        <v>12.747875000000001</v>
      </c>
      <c r="O838" s="74">
        <f t="shared" si="479"/>
        <v>13.8125</v>
      </c>
      <c r="P838" s="74">
        <f t="shared" si="480"/>
        <v>14.870750000000001</v>
      </c>
      <c r="Q838" s="74">
        <f t="shared" si="481"/>
        <v>15.928999999999998</v>
      </c>
      <c r="R838" s="114">
        <v>17</v>
      </c>
      <c r="S838" s="129"/>
      <c r="T838" s="117">
        <f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16.934338461538463</v>
      </c>
      <c r="U838" s="117"/>
      <c r="V838" s="129"/>
      <c r="W838" s="114"/>
    </row>
    <row r="839" spans="2:23">
      <c r="B839" s="114">
        <v>33</v>
      </c>
      <c r="C839" s="74">
        <f t="shared" si="469"/>
        <v>30.5</v>
      </c>
      <c r="D839" s="74">
        <f t="shared" si="470"/>
        <v>28</v>
      </c>
      <c r="E839" s="74">
        <f t="shared" si="471"/>
        <v>25.5</v>
      </c>
      <c r="F839" s="114">
        <v>23</v>
      </c>
      <c r="G839" s="74">
        <f t="shared" si="472"/>
        <v>20.5</v>
      </c>
      <c r="H839" s="74">
        <f t="shared" si="473"/>
        <v>18</v>
      </c>
      <c r="I839" s="74">
        <f t="shared" si="474"/>
        <v>15.5</v>
      </c>
      <c r="J839" s="114">
        <f t="shared" si="475"/>
        <v>13</v>
      </c>
      <c r="K839" s="74">
        <f t="shared" si="476"/>
        <v>11.125</v>
      </c>
      <c r="L839" s="114">
        <f t="shared" si="457"/>
        <v>9.25</v>
      </c>
      <c r="M839" s="115">
        <f t="shared" si="477"/>
        <v>10.5365</v>
      </c>
      <c r="N839" s="115">
        <f t="shared" si="478"/>
        <v>11.83075</v>
      </c>
      <c r="O839" s="74">
        <f t="shared" si="479"/>
        <v>13.125</v>
      </c>
      <c r="P839" s="74">
        <f t="shared" si="480"/>
        <v>14.4115</v>
      </c>
      <c r="Q839" s="74">
        <f t="shared" si="481"/>
        <v>15.698</v>
      </c>
      <c r="R839" s="114">
        <v>17</v>
      </c>
      <c r="S839" s="129"/>
      <c r="T839" s="117">
        <f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17.028938461538463</v>
      </c>
      <c r="U839" s="117"/>
      <c r="V839" s="129"/>
      <c r="W839" s="114"/>
    </row>
    <row r="840" spans="2:23">
      <c r="B840" s="114">
        <v>34</v>
      </c>
      <c r="C840" s="74">
        <f t="shared" si="469"/>
        <v>31.25</v>
      </c>
      <c r="D840" s="74">
        <f t="shared" si="470"/>
        <v>28.5</v>
      </c>
      <c r="E840" s="74">
        <f t="shared" si="471"/>
        <v>25.75</v>
      </c>
      <c r="F840" s="114">
        <v>23</v>
      </c>
      <c r="G840" s="74">
        <f t="shared" si="472"/>
        <v>20.25</v>
      </c>
      <c r="H840" s="74">
        <f t="shared" si="473"/>
        <v>17.5</v>
      </c>
      <c r="I840" s="74">
        <f t="shared" si="474"/>
        <v>14.75</v>
      </c>
      <c r="J840" s="114">
        <f t="shared" si="475"/>
        <v>12</v>
      </c>
      <c r="K840" s="74">
        <f t="shared" si="476"/>
        <v>9.9375</v>
      </c>
      <c r="L840" s="114">
        <f t="shared" si="457"/>
        <v>7.875</v>
      </c>
      <c r="M840" s="115">
        <f t="shared" si="477"/>
        <v>9.3897499999999994</v>
      </c>
      <c r="N840" s="115">
        <f t="shared" si="478"/>
        <v>10.913625</v>
      </c>
      <c r="O840" s="74">
        <f t="shared" si="479"/>
        <v>12.4375</v>
      </c>
      <c r="P840" s="74">
        <f t="shared" si="480"/>
        <v>13.952249999999999</v>
      </c>
      <c r="Q840" s="74">
        <f t="shared" si="481"/>
        <v>15.466999999999999</v>
      </c>
      <c r="R840" s="114">
        <v>17</v>
      </c>
      <c r="S840" s="129"/>
      <c r="T840" s="117">
        <f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16.745138461538463</v>
      </c>
      <c r="U840" s="117"/>
      <c r="V840" s="129"/>
      <c r="W840" s="114"/>
    </row>
    <row r="841" spans="2:23">
      <c r="B841" s="114">
        <v>35</v>
      </c>
      <c r="C841" s="74">
        <f t="shared" si="469"/>
        <v>32</v>
      </c>
      <c r="D841" s="74">
        <f t="shared" si="470"/>
        <v>29</v>
      </c>
      <c r="E841" s="74">
        <f t="shared" si="471"/>
        <v>26</v>
      </c>
      <c r="F841" s="114">
        <v>23</v>
      </c>
      <c r="G841" s="74">
        <f t="shared" si="472"/>
        <v>20</v>
      </c>
      <c r="H841" s="74">
        <f t="shared" si="473"/>
        <v>17</v>
      </c>
      <c r="I841" s="74">
        <f t="shared" si="474"/>
        <v>14</v>
      </c>
      <c r="J841" s="114">
        <f t="shared" si="475"/>
        <v>11</v>
      </c>
      <c r="K841" s="74">
        <f t="shared" si="476"/>
        <v>8.75</v>
      </c>
      <c r="L841" s="114">
        <f t="shared" si="457"/>
        <v>6.5</v>
      </c>
      <c r="M841" s="115">
        <f t="shared" si="477"/>
        <v>8.2430000000000003</v>
      </c>
      <c r="N841" s="115">
        <f t="shared" si="478"/>
        <v>9.9965000000000011</v>
      </c>
      <c r="O841" s="74">
        <f t="shared" si="479"/>
        <v>11.75</v>
      </c>
      <c r="P841" s="74">
        <f t="shared" si="480"/>
        <v>13.493</v>
      </c>
      <c r="Q841" s="74">
        <f t="shared" si="481"/>
        <v>15.235999999999999</v>
      </c>
      <c r="R841" s="114">
        <v>17</v>
      </c>
      <c r="S841" s="129"/>
      <c r="T841" s="117">
        <f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16.591138461538463</v>
      </c>
      <c r="U841" s="117"/>
      <c r="V841" s="129"/>
      <c r="W841" s="114"/>
    </row>
    <row r="842" spans="2:23">
      <c r="B842" s="114">
        <v>36</v>
      </c>
      <c r="C842" s="74">
        <f t="shared" si="469"/>
        <v>32.75</v>
      </c>
      <c r="D842" s="74">
        <f t="shared" si="470"/>
        <v>29.5</v>
      </c>
      <c r="E842" s="74">
        <f t="shared" si="471"/>
        <v>26.25</v>
      </c>
      <c r="F842" s="114">
        <v>23</v>
      </c>
      <c r="G842" s="74">
        <f t="shared" si="472"/>
        <v>19.75</v>
      </c>
      <c r="H842" s="74">
        <f t="shared" si="473"/>
        <v>16.5</v>
      </c>
      <c r="I842" s="74">
        <f t="shared" si="474"/>
        <v>13.25</v>
      </c>
      <c r="J842" s="114">
        <f t="shared" si="475"/>
        <v>10</v>
      </c>
      <c r="K842" s="74">
        <f t="shared" si="476"/>
        <v>7.5625</v>
      </c>
      <c r="L842" s="114">
        <f t="shared" si="457"/>
        <v>5.125</v>
      </c>
      <c r="M842" s="115">
        <f t="shared" si="477"/>
        <v>7.0962500000000004</v>
      </c>
      <c r="N842" s="115">
        <f t="shared" si="478"/>
        <v>9.0793750000000006</v>
      </c>
      <c r="O842" s="74">
        <f t="shared" si="479"/>
        <v>11.0625</v>
      </c>
      <c r="P842" s="74">
        <f t="shared" si="480"/>
        <v>13.033750000000001</v>
      </c>
      <c r="Q842" s="74">
        <f t="shared" si="481"/>
        <v>15.004999999999999</v>
      </c>
      <c r="R842" s="114">
        <v>17</v>
      </c>
      <c r="S842" s="129"/>
      <c r="T842" s="117">
        <f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16.346624175824175</v>
      </c>
      <c r="U842" s="117"/>
      <c r="V842" s="129"/>
      <c r="W842" s="114"/>
    </row>
    <row r="843" spans="2:23">
      <c r="B843" s="114">
        <v>37</v>
      </c>
      <c r="C843" s="74">
        <f t="shared" si="469"/>
        <v>33.5</v>
      </c>
      <c r="D843" s="74">
        <f t="shared" si="470"/>
        <v>30</v>
      </c>
      <c r="E843" s="74">
        <f t="shared" si="471"/>
        <v>26.5</v>
      </c>
      <c r="F843" s="114">
        <v>23</v>
      </c>
      <c r="G843" s="74">
        <f t="shared" si="472"/>
        <v>19.5</v>
      </c>
      <c r="H843" s="74">
        <f t="shared" si="473"/>
        <v>16</v>
      </c>
      <c r="I843" s="74">
        <f t="shared" si="474"/>
        <v>12.5</v>
      </c>
      <c r="J843" s="114">
        <f t="shared" si="475"/>
        <v>9</v>
      </c>
      <c r="K843" s="74">
        <f t="shared" si="476"/>
        <v>6.375</v>
      </c>
      <c r="L843" s="114">
        <f t="shared" si="457"/>
        <v>3.75</v>
      </c>
      <c r="M843" s="115">
        <f t="shared" si="477"/>
        <v>5.9495000000000005</v>
      </c>
      <c r="N843" s="115">
        <f t="shared" si="478"/>
        <v>8.1622500000000002</v>
      </c>
      <c r="O843" s="74">
        <f t="shared" si="479"/>
        <v>10.375</v>
      </c>
      <c r="P843" s="74">
        <f t="shared" si="480"/>
        <v>12.5745</v>
      </c>
      <c r="Q843" s="74">
        <f t="shared" si="481"/>
        <v>14.773999999999999</v>
      </c>
      <c r="R843" s="114">
        <v>17</v>
      </c>
      <c r="S843" s="129"/>
      <c r="T843" s="117">
        <f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16.136995604395604</v>
      </c>
      <c r="U843" s="117"/>
      <c r="V843" s="129"/>
      <c r="W843" s="114"/>
    </row>
    <row r="844" spans="2:23">
      <c r="B844" s="114">
        <v>38</v>
      </c>
      <c r="C844" s="74">
        <f t="shared" si="469"/>
        <v>34.25</v>
      </c>
      <c r="D844" s="74">
        <f t="shared" si="470"/>
        <v>30.5</v>
      </c>
      <c r="E844" s="74">
        <f t="shared" si="471"/>
        <v>26.75</v>
      </c>
      <c r="F844" s="114">
        <v>23</v>
      </c>
      <c r="G844" s="74">
        <f t="shared" si="472"/>
        <v>19.25</v>
      </c>
      <c r="H844" s="74">
        <f t="shared" si="473"/>
        <v>15.5</v>
      </c>
      <c r="I844" s="74">
        <f t="shared" si="474"/>
        <v>11.75</v>
      </c>
      <c r="J844" s="114">
        <f t="shared" si="475"/>
        <v>8</v>
      </c>
      <c r="K844" s="74">
        <f t="shared" si="476"/>
        <v>5.1875</v>
      </c>
      <c r="L844" s="114">
        <f t="shared" si="457"/>
        <v>2.375</v>
      </c>
      <c r="M844" s="115">
        <f t="shared" si="477"/>
        <v>4.8027499999999996</v>
      </c>
      <c r="N844" s="115">
        <f t="shared" si="478"/>
        <v>7.2451250000000007</v>
      </c>
      <c r="O844" s="74">
        <f t="shared" si="479"/>
        <v>9.6875</v>
      </c>
      <c r="P844" s="74">
        <f t="shared" si="480"/>
        <v>12.115250000000001</v>
      </c>
      <c r="Q844" s="74">
        <f t="shared" si="481"/>
        <v>14.542999999999999</v>
      </c>
      <c r="R844" s="114">
        <v>17</v>
      </c>
      <c r="S844" s="129"/>
      <c r="T844" s="117">
        <f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16.065181318681319</v>
      </c>
      <c r="U844" s="117"/>
      <c r="V844" s="129"/>
      <c r="W844" s="114"/>
    </row>
    <row r="845" spans="2:23">
      <c r="B845" s="114">
        <v>39</v>
      </c>
      <c r="C845" s="74">
        <f t="shared" si="469"/>
        <v>35</v>
      </c>
      <c r="D845" s="74">
        <f t="shared" si="470"/>
        <v>31</v>
      </c>
      <c r="E845" s="74">
        <f t="shared" si="471"/>
        <v>27</v>
      </c>
      <c r="F845" s="114">
        <v>23</v>
      </c>
      <c r="G845" s="74">
        <f t="shared" si="472"/>
        <v>19</v>
      </c>
      <c r="H845" s="74">
        <f t="shared" si="473"/>
        <v>15</v>
      </c>
      <c r="I845" s="74">
        <f t="shared" si="474"/>
        <v>11</v>
      </c>
      <c r="J845" s="114">
        <f t="shared" si="475"/>
        <v>7</v>
      </c>
      <c r="K845" s="74">
        <f t="shared" si="476"/>
        <v>4</v>
      </c>
      <c r="L845" s="114">
        <f t="shared" si="457"/>
        <v>1</v>
      </c>
      <c r="M845" s="115">
        <f t="shared" si="477"/>
        <v>3.6560000000000001</v>
      </c>
      <c r="N845" s="115">
        <f t="shared" si="478"/>
        <v>6.3280000000000003</v>
      </c>
      <c r="O845" s="74">
        <f t="shared" si="479"/>
        <v>9</v>
      </c>
      <c r="P845" s="74">
        <f t="shared" si="480"/>
        <v>11.656000000000001</v>
      </c>
      <c r="Q845" s="74">
        <f t="shared" si="481"/>
        <v>14.311999999999999</v>
      </c>
      <c r="R845" s="114">
        <v>17</v>
      </c>
      <c r="S845" s="129"/>
      <c r="T845" s="126">
        <f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15.93978131868132</v>
      </c>
      <c r="U845" s="126"/>
      <c r="V845" s="129"/>
      <c r="W845" s="114"/>
    </row>
    <row r="846" spans="2:23">
      <c r="B846" s="114"/>
      <c r="C846" s="74"/>
      <c r="D846" s="74"/>
      <c r="E846" s="74"/>
      <c r="F846" s="114"/>
      <c r="G846" s="74"/>
      <c r="H846" s="74"/>
      <c r="I846" s="74"/>
      <c r="J846" s="114"/>
      <c r="K846" s="74"/>
      <c r="L846" s="114"/>
      <c r="M846" s="115"/>
      <c r="N846" s="115"/>
      <c r="O846" s="74"/>
      <c r="P846" s="74"/>
      <c r="Q846" s="74"/>
      <c r="R846" s="114"/>
      <c r="S846" s="129"/>
      <c r="T846" s="117"/>
      <c r="U846" s="117"/>
      <c r="V846" s="129"/>
      <c r="W846" s="114"/>
    </row>
    <row r="847" spans="2:23">
      <c r="B847" s="114">
        <v>27</v>
      </c>
      <c r="C847" s="74">
        <f t="shared" si="469"/>
        <v>26.25</v>
      </c>
      <c r="D847" s="74">
        <f t="shared" si="470"/>
        <v>25.5</v>
      </c>
      <c r="E847" s="74">
        <f t="shared" si="471"/>
        <v>24.75</v>
      </c>
      <c r="F847" s="114">
        <v>24</v>
      </c>
      <c r="G847" s="74">
        <f t="shared" si="472"/>
        <v>23.25</v>
      </c>
      <c r="H847" s="74">
        <f t="shared" si="473"/>
        <v>22.5</v>
      </c>
      <c r="I847" s="74">
        <f t="shared" si="474"/>
        <v>21.75</v>
      </c>
      <c r="J847" s="114">
        <f t="shared" si="475"/>
        <v>21</v>
      </c>
      <c r="K847" s="74">
        <f t="shared" ref="K847:K859" si="482">SUM(0.5*(L847-J847),J847)</f>
        <v>20.4375</v>
      </c>
      <c r="L847" s="114">
        <f t="shared" si="457"/>
        <v>19.875</v>
      </c>
      <c r="M847" s="115">
        <f t="shared" ref="M847:M859" si="483">SUM(0.166*(R847-L847),L847)</f>
        <v>19.397749999999998</v>
      </c>
      <c r="N847" s="115">
        <f t="shared" ref="N847:N859" si="484">SUM(0.333*(R847-L847),L847)</f>
        <v>18.917625000000001</v>
      </c>
      <c r="O847" s="74">
        <f t="shared" ref="O847:O859" si="485">SUM(0.5*(R847-L847),L847)</f>
        <v>18.4375</v>
      </c>
      <c r="P847" s="74">
        <f t="shared" ref="P847:P859" si="486">SUM(0.666*(R847-L847),L847)</f>
        <v>17.960249999999998</v>
      </c>
      <c r="Q847" s="74">
        <f t="shared" ref="Q847:Q859" si="487">SUM(0.832*(R847-L847),L847)</f>
        <v>17.483000000000001</v>
      </c>
      <c r="R847" s="114">
        <v>17</v>
      </c>
      <c r="S847" s="129"/>
      <c r="T847" s="117">
        <f>SUM((BB20+BE18+BH16+BK14+BN12+BO11+BP10+BQ9+BR8+BS7+BT6+BU5+BV4)*0.132,(BC19+BD19+BF17+BG17+BI15+BJ15+BL13+BM13)*0.132/2,17)</f>
        <v>16.595538461538464</v>
      </c>
      <c r="U847" s="117"/>
      <c r="V847" s="129"/>
      <c r="W847" s="114"/>
    </row>
    <row r="848" spans="2:23">
      <c r="B848" s="114">
        <v>28</v>
      </c>
      <c r="C848" s="74">
        <f t="shared" si="469"/>
        <v>27</v>
      </c>
      <c r="D848" s="74">
        <f t="shared" si="470"/>
        <v>26</v>
      </c>
      <c r="E848" s="74">
        <f t="shared" si="471"/>
        <v>25</v>
      </c>
      <c r="F848" s="114">
        <v>24</v>
      </c>
      <c r="G848" s="74">
        <f t="shared" si="472"/>
        <v>23</v>
      </c>
      <c r="H848" s="74">
        <f t="shared" si="473"/>
        <v>22</v>
      </c>
      <c r="I848" s="74">
        <f t="shared" si="474"/>
        <v>21</v>
      </c>
      <c r="J848" s="114">
        <f t="shared" si="475"/>
        <v>20</v>
      </c>
      <c r="K848" s="74">
        <f t="shared" si="482"/>
        <v>19.25</v>
      </c>
      <c r="L848" s="114">
        <f t="shared" si="457"/>
        <v>18.5</v>
      </c>
      <c r="M848" s="115">
        <f t="shared" si="483"/>
        <v>18.251000000000001</v>
      </c>
      <c r="N848" s="115">
        <f t="shared" si="484"/>
        <v>18.000499999999999</v>
      </c>
      <c r="O848" s="74">
        <f t="shared" si="485"/>
        <v>17.75</v>
      </c>
      <c r="P848" s="74">
        <f t="shared" si="486"/>
        <v>17.501000000000001</v>
      </c>
      <c r="Q848" s="74">
        <f t="shared" si="487"/>
        <v>17.251999999999999</v>
      </c>
      <c r="R848" s="114">
        <v>17</v>
      </c>
      <c r="S848" s="129"/>
      <c r="T848" s="117">
        <f>SUM((BA19+BB19+BC18+BD18+BE17+BF17+BG16+BH16+BI15+BJ15+BK14+BL14+BM13+BN13+BO12+BP12+BQ11+BR11)*0.132/2,(AZ20+BS10+BT9+BT8+BU7+BU6+BV5+BV4)*0.132,17)</f>
        <v>16.661538461538463</v>
      </c>
      <c r="U848" s="117"/>
      <c r="V848" s="129"/>
      <c r="W848" s="114"/>
    </row>
    <row r="849" spans="2:23">
      <c r="B849" s="114">
        <v>29</v>
      </c>
      <c r="C849" s="74">
        <f t="shared" si="469"/>
        <v>27.75</v>
      </c>
      <c r="D849" s="74">
        <f t="shared" si="470"/>
        <v>26.5</v>
      </c>
      <c r="E849" s="74">
        <f t="shared" si="471"/>
        <v>25.25</v>
      </c>
      <c r="F849" s="114">
        <v>24</v>
      </c>
      <c r="G849" s="74">
        <f t="shared" si="472"/>
        <v>22.75</v>
      </c>
      <c r="H849" s="74">
        <f t="shared" si="473"/>
        <v>21.5</v>
      </c>
      <c r="I849" s="74">
        <f t="shared" si="474"/>
        <v>20.25</v>
      </c>
      <c r="J849" s="114">
        <f t="shared" si="475"/>
        <v>19</v>
      </c>
      <c r="K849" s="74">
        <f t="shared" si="482"/>
        <v>18.0625</v>
      </c>
      <c r="L849" s="114">
        <f t="shared" si="457"/>
        <v>17.125</v>
      </c>
      <c r="M849" s="115">
        <f t="shared" si="483"/>
        <v>17.10425</v>
      </c>
      <c r="N849" s="115">
        <f t="shared" si="484"/>
        <v>17.083375</v>
      </c>
      <c r="O849" s="74">
        <f t="shared" si="485"/>
        <v>17.0625</v>
      </c>
      <c r="P849" s="74">
        <f t="shared" si="486"/>
        <v>17.04175</v>
      </c>
      <c r="Q849" s="74">
        <f t="shared" si="487"/>
        <v>17.021000000000001</v>
      </c>
      <c r="R849" s="114">
        <v>17</v>
      </c>
      <c r="S849" s="129"/>
      <c r="T849" s="117">
        <f>SUM((AX20+AY20+AZ19+BA19+BE17+BF17+BG16+BH16+BL14+BM14++++BQ12+BR12+BS11+BT11+BU10+BV10)*0.132/2,(BB18+BC18+BD18+BI15+BJ15+BK15+BN13+BO13+BP13)*0.132/3,(BV9+BV8+BV7+BV6+BV5+BV4)*0.132,17)</f>
        <v>16.683538461538461</v>
      </c>
      <c r="U849" s="117"/>
      <c r="V849" s="129"/>
      <c r="W849" s="114"/>
    </row>
    <row r="850" spans="2:23">
      <c r="B850" s="114">
        <v>30</v>
      </c>
      <c r="C850" s="74">
        <f t="shared" si="469"/>
        <v>28.5</v>
      </c>
      <c r="D850" s="74">
        <f t="shared" si="470"/>
        <v>27</v>
      </c>
      <c r="E850" s="74">
        <f t="shared" si="471"/>
        <v>25.5</v>
      </c>
      <c r="F850" s="114">
        <v>24</v>
      </c>
      <c r="G850" s="74">
        <f t="shared" si="472"/>
        <v>22.5</v>
      </c>
      <c r="H850" s="74">
        <f t="shared" si="473"/>
        <v>21</v>
      </c>
      <c r="I850" s="74">
        <f t="shared" si="474"/>
        <v>19.5</v>
      </c>
      <c r="J850" s="114">
        <f t="shared" si="475"/>
        <v>18</v>
      </c>
      <c r="K850" s="74">
        <f t="shared" si="482"/>
        <v>16.875</v>
      </c>
      <c r="L850" s="114">
        <f t="shared" si="457"/>
        <v>15.75</v>
      </c>
      <c r="M850" s="115">
        <f t="shared" si="483"/>
        <v>15.9575</v>
      </c>
      <c r="N850" s="115">
        <f t="shared" si="484"/>
        <v>16.166250000000002</v>
      </c>
      <c r="O850" s="74">
        <f t="shared" si="485"/>
        <v>16.375</v>
      </c>
      <c r="P850" s="74">
        <f t="shared" si="486"/>
        <v>16.5825</v>
      </c>
      <c r="Q850" s="74">
        <f t="shared" si="487"/>
        <v>16.79</v>
      </c>
      <c r="R850" s="114">
        <v>17</v>
      </c>
      <c r="S850" s="129"/>
      <c r="T850" s="117">
        <f>SUM((AV20+AW20+BA18+BB18)*0.132/2,(AX19+AY19+AZ19+BC17+BD17+BE17+BF16+BG16+BH16+BI15+BJ15+BK15+BL14+BM14+BN14+BO13+BP13+BQ13+BR12+BS12+BT12+BU11+BV11+BW11)*0.132/3,(BX10+BY10)*0.132/2,(BX9+BX8+BW7+BW6+BV5+BV4)*0.132,17)</f>
        <v>16.485538461538461</v>
      </c>
      <c r="U850" s="117"/>
      <c r="V850" s="129"/>
      <c r="W850" s="114"/>
    </row>
    <row r="851" spans="2:23">
      <c r="B851" s="114">
        <v>31</v>
      </c>
      <c r="C851" s="74">
        <f t="shared" si="469"/>
        <v>29.25</v>
      </c>
      <c r="D851" s="74">
        <f t="shared" si="470"/>
        <v>27.5</v>
      </c>
      <c r="E851" s="74">
        <f t="shared" si="471"/>
        <v>25.75</v>
      </c>
      <c r="F851" s="114">
        <v>24</v>
      </c>
      <c r="G851" s="74">
        <f t="shared" si="472"/>
        <v>22.25</v>
      </c>
      <c r="H851" s="74">
        <f t="shared" si="473"/>
        <v>20.5</v>
      </c>
      <c r="I851" s="74">
        <f t="shared" si="474"/>
        <v>18.75</v>
      </c>
      <c r="J851" s="114">
        <f t="shared" si="475"/>
        <v>17</v>
      </c>
      <c r="K851" s="74">
        <f t="shared" si="482"/>
        <v>15.6875</v>
      </c>
      <c r="L851" s="114">
        <f t="shared" si="457"/>
        <v>14.375</v>
      </c>
      <c r="M851" s="115">
        <f t="shared" si="483"/>
        <v>14.810750000000001</v>
      </c>
      <c r="N851" s="115">
        <f t="shared" si="484"/>
        <v>15.249124999999999</v>
      </c>
      <c r="O851" s="74">
        <f t="shared" si="485"/>
        <v>15.6875</v>
      </c>
      <c r="P851" s="74">
        <f t="shared" si="486"/>
        <v>16.123249999999999</v>
      </c>
      <c r="Q851" s="74">
        <f t="shared" si="487"/>
        <v>16.559000000000001</v>
      </c>
      <c r="R851" s="114">
        <v>17</v>
      </c>
      <c r="S851" s="129"/>
      <c r="T851" s="117">
        <f>SUM((AT20+AU20+AV20+AW19+AX19+AY19+AZ18+BA18+BB18+BC17+BD17+BE17+BF16+BG16+BH16+BM14+BN14+BO14+BT12+BU12+BV12+BW11+BX11+BY11)*0.132/3,(BI15+BJ15+BK15+BL15+BP13+BQ13+BR13+BS13)*0.132/4,(BZ10+CA10)*0.132/2,(BZ9+BY8+BX7+BW6+BV5+BV4)*0.132,17)</f>
        <v>16.870538461538462</v>
      </c>
      <c r="U851" s="117"/>
      <c r="V851" s="129"/>
      <c r="W851" s="114"/>
    </row>
    <row r="852" spans="2:23">
      <c r="B852" s="114">
        <v>32</v>
      </c>
      <c r="C852" s="74">
        <f t="shared" si="469"/>
        <v>30</v>
      </c>
      <c r="D852" s="74">
        <f t="shared" si="470"/>
        <v>28</v>
      </c>
      <c r="E852" s="74">
        <f t="shared" si="471"/>
        <v>26</v>
      </c>
      <c r="F852" s="114">
        <v>24</v>
      </c>
      <c r="G852" s="74">
        <f t="shared" si="472"/>
        <v>22</v>
      </c>
      <c r="H852" s="74">
        <f t="shared" si="473"/>
        <v>20</v>
      </c>
      <c r="I852" s="74">
        <f t="shared" si="474"/>
        <v>18</v>
      </c>
      <c r="J852" s="114">
        <f t="shared" si="475"/>
        <v>16</v>
      </c>
      <c r="K852" s="74">
        <f t="shared" si="482"/>
        <v>14.5</v>
      </c>
      <c r="L852" s="114">
        <f t="shared" si="457"/>
        <v>13</v>
      </c>
      <c r="M852" s="115">
        <f t="shared" si="483"/>
        <v>13.664</v>
      </c>
      <c r="N852" s="115">
        <f t="shared" si="484"/>
        <v>14.332000000000001</v>
      </c>
      <c r="O852" s="74">
        <f t="shared" si="485"/>
        <v>15</v>
      </c>
      <c r="P852" s="74">
        <f t="shared" si="486"/>
        <v>15.664</v>
      </c>
      <c r="Q852" s="74">
        <f t="shared" si="487"/>
        <v>16.327999999999999</v>
      </c>
      <c r="R852" s="114">
        <v>17</v>
      </c>
      <c r="S852" s="129"/>
      <c r="T852" s="117">
        <f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16.727538461538462</v>
      </c>
      <c r="U852" s="117"/>
      <c r="V852" s="129"/>
      <c r="W852" s="114"/>
    </row>
    <row r="853" spans="2:23">
      <c r="B853" s="114">
        <v>33</v>
      </c>
      <c r="C853" s="74">
        <f t="shared" si="469"/>
        <v>30.75</v>
      </c>
      <c r="D853" s="74">
        <f t="shared" si="470"/>
        <v>28.5</v>
      </c>
      <c r="E853" s="74">
        <f t="shared" si="471"/>
        <v>26.25</v>
      </c>
      <c r="F853" s="114">
        <v>24</v>
      </c>
      <c r="G853" s="74">
        <f t="shared" si="472"/>
        <v>21.75</v>
      </c>
      <c r="H853" s="74">
        <f t="shared" si="473"/>
        <v>19.5</v>
      </c>
      <c r="I853" s="74">
        <f t="shared" si="474"/>
        <v>17.25</v>
      </c>
      <c r="J853" s="114">
        <f t="shared" si="475"/>
        <v>15</v>
      </c>
      <c r="K853" s="74">
        <f t="shared" si="482"/>
        <v>13.3125</v>
      </c>
      <c r="L853" s="114">
        <f t="shared" si="457"/>
        <v>11.625</v>
      </c>
      <c r="M853" s="115">
        <f t="shared" si="483"/>
        <v>12.517250000000001</v>
      </c>
      <c r="N853" s="115">
        <f t="shared" si="484"/>
        <v>13.414875</v>
      </c>
      <c r="O853" s="74">
        <f t="shared" si="485"/>
        <v>14.3125</v>
      </c>
      <c r="P853" s="74">
        <f t="shared" si="486"/>
        <v>15.204750000000001</v>
      </c>
      <c r="Q853" s="74">
        <f t="shared" si="487"/>
        <v>16.097000000000001</v>
      </c>
      <c r="R853" s="114">
        <v>17</v>
      </c>
      <c r="S853" s="129"/>
      <c r="T853" s="117">
        <f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16.846338461538462</v>
      </c>
      <c r="U853" s="117"/>
      <c r="V853" s="129"/>
      <c r="W853" s="114"/>
    </row>
    <row r="854" spans="2:23">
      <c r="B854" s="114">
        <v>34</v>
      </c>
      <c r="C854" s="74">
        <f t="shared" si="469"/>
        <v>31.5</v>
      </c>
      <c r="D854" s="74">
        <f t="shared" si="470"/>
        <v>29</v>
      </c>
      <c r="E854" s="74">
        <f t="shared" si="471"/>
        <v>26.5</v>
      </c>
      <c r="F854" s="114">
        <v>24</v>
      </c>
      <c r="G854" s="74">
        <f t="shared" si="472"/>
        <v>21.5</v>
      </c>
      <c r="H854" s="74">
        <f t="shared" si="473"/>
        <v>19</v>
      </c>
      <c r="I854" s="74">
        <f t="shared" si="474"/>
        <v>16.5</v>
      </c>
      <c r="J854" s="114">
        <f t="shared" si="475"/>
        <v>14</v>
      </c>
      <c r="K854" s="74">
        <f t="shared" si="482"/>
        <v>12.125</v>
      </c>
      <c r="L854" s="114">
        <f t="shared" si="457"/>
        <v>10.25</v>
      </c>
      <c r="M854" s="115">
        <f t="shared" si="483"/>
        <v>11.3705</v>
      </c>
      <c r="N854" s="115">
        <f t="shared" si="484"/>
        <v>12.49775</v>
      </c>
      <c r="O854" s="74">
        <f t="shared" si="485"/>
        <v>13.625</v>
      </c>
      <c r="P854" s="74">
        <f t="shared" si="486"/>
        <v>14.7455</v>
      </c>
      <c r="Q854" s="74">
        <f t="shared" si="487"/>
        <v>15.866</v>
      </c>
      <c r="R854" s="114">
        <v>17</v>
      </c>
      <c r="S854" s="129"/>
      <c r="T854" s="117">
        <f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16.795738461538463</v>
      </c>
      <c r="U854" s="117"/>
      <c r="V854" s="129"/>
      <c r="W854" s="114"/>
    </row>
    <row r="855" spans="2:23">
      <c r="B855" s="114">
        <v>35</v>
      </c>
      <c r="C855" s="74">
        <f t="shared" si="469"/>
        <v>32.25</v>
      </c>
      <c r="D855" s="74">
        <f t="shared" si="470"/>
        <v>29.5</v>
      </c>
      <c r="E855" s="74">
        <f t="shared" si="471"/>
        <v>26.75</v>
      </c>
      <c r="F855" s="114">
        <v>24</v>
      </c>
      <c r="G855" s="74">
        <f t="shared" si="472"/>
        <v>21.25</v>
      </c>
      <c r="H855" s="74">
        <f t="shared" si="473"/>
        <v>18.5</v>
      </c>
      <c r="I855" s="74">
        <f t="shared" si="474"/>
        <v>15.75</v>
      </c>
      <c r="J855" s="114">
        <f t="shared" si="475"/>
        <v>13</v>
      </c>
      <c r="K855" s="74">
        <f t="shared" si="482"/>
        <v>10.9375</v>
      </c>
      <c r="L855" s="114">
        <f t="shared" si="457"/>
        <v>8.875</v>
      </c>
      <c r="M855" s="115">
        <f t="shared" si="483"/>
        <v>10.223750000000001</v>
      </c>
      <c r="N855" s="115">
        <f t="shared" si="484"/>
        <v>11.580625</v>
      </c>
      <c r="O855" s="74">
        <f t="shared" si="485"/>
        <v>12.9375</v>
      </c>
      <c r="P855" s="74">
        <f t="shared" si="486"/>
        <v>14.286249999999999</v>
      </c>
      <c r="Q855" s="74">
        <f t="shared" si="487"/>
        <v>15.635</v>
      </c>
      <c r="R855" s="114">
        <v>17</v>
      </c>
      <c r="S855" s="129"/>
      <c r="T855" s="117">
        <f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16.709938461538464</v>
      </c>
      <c r="U855" s="117"/>
      <c r="V855" s="129"/>
      <c r="W855" s="114"/>
    </row>
    <row r="856" spans="2:23">
      <c r="B856" s="114">
        <v>36</v>
      </c>
      <c r="C856" s="74">
        <f t="shared" si="469"/>
        <v>33</v>
      </c>
      <c r="D856" s="74">
        <f t="shared" si="470"/>
        <v>30</v>
      </c>
      <c r="E856" s="74">
        <f t="shared" si="471"/>
        <v>27</v>
      </c>
      <c r="F856" s="114">
        <v>24</v>
      </c>
      <c r="G856" s="74">
        <f t="shared" si="472"/>
        <v>21</v>
      </c>
      <c r="H856" s="74">
        <f t="shared" si="473"/>
        <v>18</v>
      </c>
      <c r="I856" s="74">
        <f t="shared" si="474"/>
        <v>15</v>
      </c>
      <c r="J856" s="114">
        <f t="shared" si="475"/>
        <v>12</v>
      </c>
      <c r="K856" s="74">
        <f t="shared" si="482"/>
        <v>9.75</v>
      </c>
      <c r="L856" s="114">
        <f t="shared" si="457"/>
        <v>7.5</v>
      </c>
      <c r="M856" s="115">
        <f t="shared" si="483"/>
        <v>9.077</v>
      </c>
      <c r="N856" s="115">
        <f t="shared" si="484"/>
        <v>10.663499999999999</v>
      </c>
      <c r="O856" s="74">
        <f t="shared" si="485"/>
        <v>12.25</v>
      </c>
      <c r="P856" s="74">
        <f t="shared" si="486"/>
        <v>13.827</v>
      </c>
      <c r="Q856" s="74">
        <f t="shared" si="487"/>
        <v>15.404</v>
      </c>
      <c r="R856" s="114">
        <v>17</v>
      </c>
      <c r="S856" s="129"/>
      <c r="T856" s="117">
        <f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16.278738461538463</v>
      </c>
      <c r="U856" s="117"/>
      <c r="V856" s="129"/>
      <c r="W856" s="114"/>
    </row>
    <row r="857" spans="2:23">
      <c r="B857" s="114">
        <v>37</v>
      </c>
      <c r="C857" s="74">
        <f t="shared" si="469"/>
        <v>33.75</v>
      </c>
      <c r="D857" s="74">
        <f t="shared" si="470"/>
        <v>30.5</v>
      </c>
      <c r="E857" s="74">
        <f t="shared" si="471"/>
        <v>27.25</v>
      </c>
      <c r="F857" s="114">
        <v>24</v>
      </c>
      <c r="G857" s="74">
        <f t="shared" si="472"/>
        <v>20.75</v>
      </c>
      <c r="H857" s="74">
        <f t="shared" si="473"/>
        <v>17.5</v>
      </c>
      <c r="I857" s="74">
        <f t="shared" si="474"/>
        <v>14.25</v>
      </c>
      <c r="J857" s="114">
        <f t="shared" si="475"/>
        <v>11</v>
      </c>
      <c r="K857" s="74">
        <f t="shared" si="482"/>
        <v>8.5625</v>
      </c>
      <c r="L857" s="114">
        <f t="shared" si="457"/>
        <v>6.125</v>
      </c>
      <c r="M857" s="115">
        <f t="shared" si="483"/>
        <v>7.93025</v>
      </c>
      <c r="N857" s="115">
        <f t="shared" si="484"/>
        <v>9.7463750000000005</v>
      </c>
      <c r="O857" s="74">
        <f t="shared" si="485"/>
        <v>11.5625</v>
      </c>
      <c r="P857" s="74">
        <f t="shared" si="486"/>
        <v>13.367750000000001</v>
      </c>
      <c r="Q857" s="74">
        <f t="shared" si="487"/>
        <v>15.173</v>
      </c>
      <c r="R857" s="114">
        <v>17</v>
      </c>
      <c r="S857" s="129"/>
      <c r="T857" s="117">
        <f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16.174709890109892</v>
      </c>
      <c r="U857" s="117"/>
      <c r="V857" s="129"/>
      <c r="W857" s="114"/>
    </row>
    <row r="858" spans="2:23">
      <c r="B858" s="114">
        <v>38</v>
      </c>
      <c r="C858" s="74">
        <f t="shared" si="469"/>
        <v>34.5</v>
      </c>
      <c r="D858" s="74">
        <f t="shared" si="470"/>
        <v>31</v>
      </c>
      <c r="E858" s="74">
        <f t="shared" si="471"/>
        <v>27.5</v>
      </c>
      <c r="F858" s="114">
        <v>24</v>
      </c>
      <c r="G858" s="74">
        <f t="shared" si="472"/>
        <v>20.5</v>
      </c>
      <c r="H858" s="74">
        <f t="shared" si="473"/>
        <v>17</v>
      </c>
      <c r="I858" s="74">
        <f t="shared" si="474"/>
        <v>13.5</v>
      </c>
      <c r="J858" s="114">
        <f t="shared" si="475"/>
        <v>10</v>
      </c>
      <c r="K858" s="74">
        <f t="shared" si="482"/>
        <v>7.375</v>
      </c>
      <c r="L858" s="114">
        <f t="shared" si="457"/>
        <v>4.75</v>
      </c>
      <c r="M858" s="115">
        <f t="shared" si="483"/>
        <v>6.7835000000000001</v>
      </c>
      <c r="N858" s="115">
        <f t="shared" si="484"/>
        <v>8.82925</v>
      </c>
      <c r="O858" s="74">
        <f t="shared" si="485"/>
        <v>10.875</v>
      </c>
      <c r="P858" s="74">
        <f t="shared" si="486"/>
        <v>12.9085</v>
      </c>
      <c r="Q858" s="74">
        <f t="shared" si="487"/>
        <v>14.942</v>
      </c>
      <c r="R858" s="114">
        <v>17</v>
      </c>
      <c r="S858" s="129"/>
      <c r="T858" s="117">
        <f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15.894995604395605</v>
      </c>
      <c r="U858" s="117"/>
      <c r="V858" s="129"/>
      <c r="W858" s="114"/>
    </row>
    <row r="859" spans="2:23">
      <c r="B859" s="114">
        <v>39</v>
      </c>
      <c r="C859" s="74">
        <f t="shared" si="469"/>
        <v>35.25</v>
      </c>
      <c r="D859" s="74">
        <f t="shared" si="470"/>
        <v>31.5</v>
      </c>
      <c r="E859" s="74">
        <f t="shared" si="471"/>
        <v>27.75</v>
      </c>
      <c r="F859" s="114">
        <v>24</v>
      </c>
      <c r="G859" s="74">
        <f t="shared" si="472"/>
        <v>20.25</v>
      </c>
      <c r="H859" s="74">
        <f t="shared" si="473"/>
        <v>16.5</v>
      </c>
      <c r="I859" s="74">
        <f t="shared" si="474"/>
        <v>12.75</v>
      </c>
      <c r="J859" s="114">
        <f t="shared" si="475"/>
        <v>9</v>
      </c>
      <c r="K859" s="74">
        <f t="shared" si="482"/>
        <v>6.1875</v>
      </c>
      <c r="L859" s="114">
        <f t="shared" si="457"/>
        <v>3.375</v>
      </c>
      <c r="M859" s="115">
        <f t="shared" si="483"/>
        <v>5.6367500000000001</v>
      </c>
      <c r="N859" s="115">
        <f t="shared" si="484"/>
        <v>7.9121250000000005</v>
      </c>
      <c r="O859" s="74">
        <f t="shared" si="485"/>
        <v>10.1875</v>
      </c>
      <c r="P859" s="74">
        <f t="shared" si="486"/>
        <v>12.449250000000001</v>
      </c>
      <c r="Q859" s="74">
        <f t="shared" si="487"/>
        <v>14.711</v>
      </c>
      <c r="R859" s="114">
        <v>17</v>
      </c>
      <c r="S859" s="129"/>
      <c r="T859" s="117">
        <f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15.866552747252747</v>
      </c>
      <c r="U859" s="117"/>
      <c r="V859" s="129"/>
      <c r="W859" s="114"/>
    </row>
    <row r="860" spans="2:23">
      <c r="B860" s="114"/>
      <c r="C860" s="74"/>
      <c r="D860" s="74"/>
      <c r="E860" s="74"/>
      <c r="F860" s="114"/>
      <c r="G860" s="74"/>
      <c r="H860" s="74"/>
      <c r="I860" s="74"/>
      <c r="J860" s="114"/>
      <c r="K860" s="74"/>
      <c r="L860" s="114"/>
      <c r="M860" s="115"/>
      <c r="N860" s="115"/>
      <c r="O860" s="74"/>
      <c r="P860" s="74"/>
      <c r="Q860" s="74"/>
      <c r="R860" s="114"/>
      <c r="S860" s="129"/>
      <c r="T860" s="117"/>
      <c r="U860" s="117"/>
      <c r="V860" s="129"/>
      <c r="W860" s="114"/>
    </row>
    <row r="861" spans="2:23">
      <c r="B861" s="114">
        <v>28</v>
      </c>
      <c r="C861" s="74">
        <f t="shared" si="469"/>
        <v>27.25</v>
      </c>
      <c r="D861" s="74">
        <f t="shared" si="470"/>
        <v>26.5</v>
      </c>
      <c r="E861" s="74">
        <f t="shared" si="471"/>
        <v>25.75</v>
      </c>
      <c r="F861" s="114">
        <v>25</v>
      </c>
      <c r="G861" s="74">
        <f t="shared" si="472"/>
        <v>24.25</v>
      </c>
      <c r="H861" s="74">
        <f t="shared" si="473"/>
        <v>23.5</v>
      </c>
      <c r="I861" s="74">
        <f t="shared" si="474"/>
        <v>22.75</v>
      </c>
      <c r="J861" s="114">
        <f t="shared" si="475"/>
        <v>22</v>
      </c>
      <c r="K861" s="74">
        <f t="shared" ref="K861:K872" si="488">SUM(0.5*(L861-J861),J861)</f>
        <v>21.4375</v>
      </c>
      <c r="L861" s="114">
        <f t="shared" si="457"/>
        <v>20.875</v>
      </c>
      <c r="M861" s="115">
        <f t="shared" ref="M861:M872" si="489">SUM(0.166*(R861-L861),L861)</f>
        <v>20.231750000000002</v>
      </c>
      <c r="N861" s="115">
        <f t="shared" ref="N861:N872" si="490">SUM(0.333*(R861-L861),L861)</f>
        <v>19.584624999999999</v>
      </c>
      <c r="O861" s="74">
        <f t="shared" ref="O861:O872" si="491">SUM(0.5*(R861-L861),L861)</f>
        <v>18.9375</v>
      </c>
      <c r="P861" s="74">
        <f t="shared" ref="P861:P872" si="492">SUM(0.666*(R861-L861),L861)</f>
        <v>18.294249999999998</v>
      </c>
      <c r="Q861" s="74">
        <f t="shared" ref="Q861:Q872" si="493">SUM(0.832*(R861-L861),L861)</f>
        <v>17.651</v>
      </c>
      <c r="R861" s="114">
        <v>17</v>
      </c>
      <c r="S861" s="129"/>
      <c r="T861" s="117">
        <f>SUM((AZ20+BC18+BF16+BI14+BL12++BO10)*0.132,(BA19+BB19+BD17+BE17+BG15+BH15+BJ13+BK13+BM11+BN11)*0.132/2,(BP9+BQ8+BR7+BS6+BT5)*0.132,(BU4+BV4)*0.132/2,17)</f>
        <v>16.991538461538461</v>
      </c>
      <c r="U861" s="117"/>
      <c r="V861" s="129"/>
      <c r="W861" s="114"/>
    </row>
    <row r="862" spans="2:23">
      <c r="B862" s="114">
        <v>29</v>
      </c>
      <c r="C862" s="74">
        <f t="shared" si="469"/>
        <v>28</v>
      </c>
      <c r="D862" s="74">
        <f t="shared" si="470"/>
        <v>27</v>
      </c>
      <c r="E862" s="74">
        <f t="shared" si="471"/>
        <v>26</v>
      </c>
      <c r="F862" s="114">
        <v>25</v>
      </c>
      <c r="G862" s="74">
        <f t="shared" si="472"/>
        <v>24</v>
      </c>
      <c r="H862" s="74">
        <f t="shared" si="473"/>
        <v>23</v>
      </c>
      <c r="I862" s="74">
        <f t="shared" si="474"/>
        <v>22</v>
      </c>
      <c r="J862" s="114">
        <f t="shared" si="475"/>
        <v>21</v>
      </c>
      <c r="K862" s="74">
        <f t="shared" si="488"/>
        <v>20.25</v>
      </c>
      <c r="L862" s="114">
        <f t="shared" si="457"/>
        <v>19.5</v>
      </c>
      <c r="M862" s="115">
        <f t="shared" si="489"/>
        <v>19.085000000000001</v>
      </c>
      <c r="N862" s="115">
        <f t="shared" si="490"/>
        <v>18.6675</v>
      </c>
      <c r="O862" s="74">
        <f t="shared" si="491"/>
        <v>18.25</v>
      </c>
      <c r="P862" s="74">
        <f t="shared" si="492"/>
        <v>17.835000000000001</v>
      </c>
      <c r="Q862" s="74">
        <f t="shared" si="493"/>
        <v>17.420000000000002</v>
      </c>
      <c r="R862" s="114">
        <v>17</v>
      </c>
      <c r="S862" s="129"/>
      <c r="T862" s="117">
        <f>SUM((AY19+AZ19+BA18+BB18+BC17+BD17+BE16+BF16+BG15+BH15+BI14+BJ14+BK13+BL13+BM12+BN12+BO11+BP11)*0.132/2,(AX20+BQ10+BR9+BR8+BS7+BT6+BU5+BV4)*0.132,17)</f>
        <v>16.727538461538462</v>
      </c>
      <c r="U862" s="117"/>
      <c r="V862" s="129"/>
      <c r="W862" s="114"/>
    </row>
    <row r="863" spans="2:23">
      <c r="B863" s="114">
        <v>30</v>
      </c>
      <c r="C863" s="74">
        <f t="shared" si="469"/>
        <v>28.75</v>
      </c>
      <c r="D863" s="74">
        <f t="shared" si="470"/>
        <v>27.5</v>
      </c>
      <c r="E863" s="74">
        <f t="shared" si="471"/>
        <v>26.25</v>
      </c>
      <c r="F863" s="114">
        <v>25</v>
      </c>
      <c r="G863" s="74">
        <f t="shared" si="472"/>
        <v>23.75</v>
      </c>
      <c r="H863" s="74">
        <f t="shared" si="473"/>
        <v>22.5</v>
      </c>
      <c r="I863" s="74">
        <f t="shared" si="474"/>
        <v>21.25</v>
      </c>
      <c r="J863" s="114">
        <f t="shared" si="475"/>
        <v>20</v>
      </c>
      <c r="K863" s="74">
        <f t="shared" si="488"/>
        <v>19.0625</v>
      </c>
      <c r="L863" s="114">
        <f t="shared" si="457"/>
        <v>18.125</v>
      </c>
      <c r="M863" s="115">
        <f t="shared" si="489"/>
        <v>17.93825</v>
      </c>
      <c r="N863" s="115">
        <f t="shared" si="490"/>
        <v>17.750374999999998</v>
      </c>
      <c r="O863" s="74">
        <f t="shared" si="491"/>
        <v>17.5625</v>
      </c>
      <c r="P863" s="74">
        <f t="shared" si="492"/>
        <v>17.37575</v>
      </c>
      <c r="Q863" s="74">
        <f t="shared" si="493"/>
        <v>17.189</v>
      </c>
      <c r="R863" s="114">
        <v>17</v>
      </c>
      <c r="S863" s="129"/>
      <c r="T863" s="117">
        <f>SUM((AV20+AW20+AX19+AY19+BC17+BD17+BE16+BF16+BJ14+BK14+BO12+BP12+BQ11+BR11+BS10+BT10)*0.132/2,(AZ18+BA18+BB18+BG15+BH15+BI15+BL13+BM13+BN13)*0.132/3,(BU9+BU8+BU7+BV6+BV5+BV4)*0.132,17)</f>
        <v>16.727538461538462</v>
      </c>
      <c r="U863" s="117"/>
      <c r="V863" s="129"/>
      <c r="W863" s="114"/>
    </row>
    <row r="864" spans="2:23">
      <c r="B864" s="114">
        <v>31</v>
      </c>
      <c r="C864" s="74">
        <f t="shared" si="469"/>
        <v>29.5</v>
      </c>
      <c r="D864" s="74">
        <f t="shared" si="470"/>
        <v>28</v>
      </c>
      <c r="E864" s="74">
        <f t="shared" si="471"/>
        <v>26.5</v>
      </c>
      <c r="F864" s="114">
        <v>25</v>
      </c>
      <c r="G864" s="74">
        <f t="shared" si="472"/>
        <v>23.5</v>
      </c>
      <c r="H864" s="74">
        <f t="shared" si="473"/>
        <v>22</v>
      </c>
      <c r="I864" s="74">
        <f t="shared" si="474"/>
        <v>20.5</v>
      </c>
      <c r="J864" s="114">
        <f t="shared" si="475"/>
        <v>19</v>
      </c>
      <c r="K864" s="74">
        <f t="shared" si="488"/>
        <v>17.875</v>
      </c>
      <c r="L864" s="114">
        <f t="shared" si="457"/>
        <v>16.75</v>
      </c>
      <c r="M864" s="115">
        <f t="shared" si="489"/>
        <v>16.791499999999999</v>
      </c>
      <c r="N864" s="115">
        <f t="shared" si="490"/>
        <v>16.83325</v>
      </c>
      <c r="O864" s="74">
        <f t="shared" si="491"/>
        <v>16.875</v>
      </c>
      <c r="P864" s="74">
        <f t="shared" si="492"/>
        <v>16.916499999999999</v>
      </c>
      <c r="Q864" s="74">
        <f t="shared" si="493"/>
        <v>16.957999999999998</v>
      </c>
      <c r="R864" s="114">
        <v>17</v>
      </c>
      <c r="S864" s="129"/>
      <c r="T864" s="117">
        <f>SUM((AT20+AU20+AY18+AZ18)*0.132/2,(AV19+AW19+AX19+BA17+BB17+BC17+BD16+BE16+BF16+BG15+BH15+BI15+BJ14+BK14+BL14+BM13+BN13+BO13+BP12+BQ12+BR12+BS11+BT11+BU11)*0.132/3,(BV10+BW10)*0.132/2,(BW9+BW8+BV7+BV6+BV5+BV4)*0.132,17)</f>
        <v>16.463538461538462</v>
      </c>
      <c r="U864" s="117"/>
      <c r="V864" s="129"/>
      <c r="W864" s="114"/>
    </row>
    <row r="865" spans="2:23">
      <c r="B865" s="114">
        <v>32</v>
      </c>
      <c r="C865" s="74">
        <f t="shared" si="469"/>
        <v>30.25</v>
      </c>
      <c r="D865" s="74">
        <f t="shared" si="470"/>
        <v>28.5</v>
      </c>
      <c r="E865" s="74">
        <f t="shared" si="471"/>
        <v>26.75</v>
      </c>
      <c r="F865" s="114">
        <v>25</v>
      </c>
      <c r="G865" s="74">
        <f t="shared" si="472"/>
        <v>23.25</v>
      </c>
      <c r="H865" s="74">
        <f t="shared" si="473"/>
        <v>21.5</v>
      </c>
      <c r="I865" s="74">
        <f t="shared" si="474"/>
        <v>19.75</v>
      </c>
      <c r="J865" s="114">
        <f t="shared" si="475"/>
        <v>18</v>
      </c>
      <c r="K865" s="74">
        <f t="shared" si="488"/>
        <v>16.6875</v>
      </c>
      <c r="L865" s="114">
        <f t="shared" si="457"/>
        <v>15.375</v>
      </c>
      <c r="M865" s="115">
        <f t="shared" si="489"/>
        <v>15.64475</v>
      </c>
      <c r="N865" s="115">
        <f t="shared" si="490"/>
        <v>15.916125000000001</v>
      </c>
      <c r="O865" s="74">
        <f t="shared" si="491"/>
        <v>16.1875</v>
      </c>
      <c r="P865" s="74">
        <f t="shared" si="492"/>
        <v>16.457250000000002</v>
      </c>
      <c r="Q865" s="74">
        <f t="shared" si="493"/>
        <v>16.727</v>
      </c>
      <c r="R865" s="114">
        <v>17</v>
      </c>
      <c r="S865" s="129"/>
      <c r="T865" s="117">
        <f>SUM((AR20+AS20+AT20+AU19+AV19+AW19+AX18+AY18+AZ18+BA17+BB17+BC17+BD16+BE16+BF16+BK14+BL14+BM14+BR12+BS12+BT12+BU11+BV11+BW11)*0.132/3,(BG15+BH15+BI15+BJ15+BN13+BO13+BP13+BQ13)*0.132/4,(BX10+BY10)*0.132/2,(BX9+BX8+BW7+BW6+BV5+BV4)*0.132,17)</f>
        <v>16.265538461538462</v>
      </c>
      <c r="U865" s="117"/>
      <c r="V865" s="129"/>
      <c r="W865" s="114"/>
    </row>
    <row r="866" spans="2:23">
      <c r="B866" s="114">
        <v>33</v>
      </c>
      <c r="C866" s="74">
        <f t="shared" si="469"/>
        <v>31</v>
      </c>
      <c r="D866" s="74">
        <f t="shared" si="470"/>
        <v>29</v>
      </c>
      <c r="E866" s="74">
        <f t="shared" si="471"/>
        <v>27</v>
      </c>
      <c r="F866" s="114">
        <v>25</v>
      </c>
      <c r="G866" s="74">
        <f t="shared" si="472"/>
        <v>23</v>
      </c>
      <c r="H866" s="74">
        <f t="shared" si="473"/>
        <v>21</v>
      </c>
      <c r="I866" s="74">
        <f t="shared" si="474"/>
        <v>19</v>
      </c>
      <c r="J866" s="114">
        <f t="shared" si="475"/>
        <v>17</v>
      </c>
      <c r="K866" s="74">
        <f t="shared" si="488"/>
        <v>15.5</v>
      </c>
      <c r="L866" s="114">
        <f t="shared" ref="L866:L917" si="494">SUM(J866,J866,-H866,0.25*ABS(J866-H866))</f>
        <v>14</v>
      </c>
      <c r="M866" s="115">
        <f t="shared" si="489"/>
        <v>14.497999999999999</v>
      </c>
      <c r="N866" s="115">
        <f t="shared" si="490"/>
        <v>14.999000000000001</v>
      </c>
      <c r="O866" s="74">
        <f t="shared" si="491"/>
        <v>15.5</v>
      </c>
      <c r="P866" s="74">
        <f t="shared" si="492"/>
        <v>15.998000000000001</v>
      </c>
      <c r="Q866" s="74">
        <f t="shared" si="493"/>
        <v>16.495999999999999</v>
      </c>
      <c r="R866" s="114">
        <v>17</v>
      </c>
      <c r="S866" s="129"/>
      <c r="T866" s="117">
        <f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16.628538461538461</v>
      </c>
      <c r="U866" s="117"/>
      <c r="V866" s="129"/>
      <c r="W866" s="114"/>
    </row>
    <row r="867" spans="2:23">
      <c r="B867" s="114">
        <v>34</v>
      </c>
      <c r="C867" s="74">
        <f t="shared" si="469"/>
        <v>31.75</v>
      </c>
      <c r="D867" s="74">
        <f t="shared" si="470"/>
        <v>29.5</v>
      </c>
      <c r="E867" s="74">
        <f t="shared" si="471"/>
        <v>27.25</v>
      </c>
      <c r="F867" s="114">
        <v>25</v>
      </c>
      <c r="G867" s="74">
        <f t="shared" si="472"/>
        <v>22.75</v>
      </c>
      <c r="H867" s="74">
        <f t="shared" si="473"/>
        <v>20.5</v>
      </c>
      <c r="I867" s="74">
        <f t="shared" si="474"/>
        <v>18.25</v>
      </c>
      <c r="J867" s="114">
        <f t="shared" si="475"/>
        <v>16</v>
      </c>
      <c r="K867" s="74">
        <f t="shared" si="488"/>
        <v>14.3125</v>
      </c>
      <c r="L867" s="114">
        <f t="shared" si="494"/>
        <v>12.625</v>
      </c>
      <c r="M867" s="115">
        <f t="shared" si="489"/>
        <v>13.35125</v>
      </c>
      <c r="N867" s="115">
        <f t="shared" si="490"/>
        <v>14.081875</v>
      </c>
      <c r="O867" s="74">
        <f t="shared" si="491"/>
        <v>14.8125</v>
      </c>
      <c r="P867" s="74">
        <f t="shared" si="492"/>
        <v>15.53875</v>
      </c>
      <c r="Q867" s="74">
        <f t="shared" si="493"/>
        <v>16.265000000000001</v>
      </c>
      <c r="R867" s="114">
        <v>17</v>
      </c>
      <c r="S867" s="129"/>
      <c r="T867" s="117">
        <f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16.461338461538464</v>
      </c>
      <c r="U867" s="117"/>
      <c r="V867" s="129"/>
      <c r="W867" s="114"/>
    </row>
    <row r="868" spans="2:23">
      <c r="B868" s="114">
        <v>35</v>
      </c>
      <c r="C868" s="74">
        <f t="shared" si="469"/>
        <v>32.5</v>
      </c>
      <c r="D868" s="74">
        <f t="shared" si="470"/>
        <v>30</v>
      </c>
      <c r="E868" s="74">
        <f t="shared" si="471"/>
        <v>27.5</v>
      </c>
      <c r="F868" s="114">
        <v>25</v>
      </c>
      <c r="G868" s="74">
        <f t="shared" si="472"/>
        <v>22.5</v>
      </c>
      <c r="H868" s="74">
        <f t="shared" si="473"/>
        <v>20</v>
      </c>
      <c r="I868" s="74">
        <f t="shared" si="474"/>
        <v>17.5</v>
      </c>
      <c r="J868" s="114">
        <f t="shared" si="475"/>
        <v>15</v>
      </c>
      <c r="K868" s="74">
        <f t="shared" si="488"/>
        <v>13.125</v>
      </c>
      <c r="L868" s="114">
        <f t="shared" si="494"/>
        <v>11.25</v>
      </c>
      <c r="M868" s="115">
        <f t="shared" si="489"/>
        <v>12.204499999999999</v>
      </c>
      <c r="N868" s="115">
        <f t="shared" si="490"/>
        <v>13.16475</v>
      </c>
      <c r="O868" s="74">
        <f t="shared" si="491"/>
        <v>14.125</v>
      </c>
      <c r="P868" s="74">
        <f t="shared" si="492"/>
        <v>15.079499999999999</v>
      </c>
      <c r="Q868" s="74">
        <f t="shared" si="493"/>
        <v>16.033999999999999</v>
      </c>
      <c r="R868" s="114">
        <v>17</v>
      </c>
      <c r="S868" s="129"/>
      <c r="T868" s="117">
        <f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16.397538461538463</v>
      </c>
      <c r="U868" s="117"/>
      <c r="V868" s="129"/>
      <c r="W868" s="114"/>
    </row>
    <row r="869" spans="2:23">
      <c r="B869" s="114">
        <v>36</v>
      </c>
      <c r="C869" s="74">
        <f t="shared" si="469"/>
        <v>33.25</v>
      </c>
      <c r="D869" s="74">
        <f t="shared" si="470"/>
        <v>30.5</v>
      </c>
      <c r="E869" s="74">
        <f t="shared" si="471"/>
        <v>27.75</v>
      </c>
      <c r="F869" s="114">
        <v>25</v>
      </c>
      <c r="G869" s="74">
        <f t="shared" si="472"/>
        <v>22.25</v>
      </c>
      <c r="H869" s="74">
        <f t="shared" si="473"/>
        <v>19.5</v>
      </c>
      <c r="I869" s="74">
        <f t="shared" si="474"/>
        <v>16.75</v>
      </c>
      <c r="J869" s="114">
        <f t="shared" si="475"/>
        <v>14</v>
      </c>
      <c r="K869" s="74">
        <f t="shared" si="488"/>
        <v>11.9375</v>
      </c>
      <c r="L869" s="114">
        <f t="shared" si="494"/>
        <v>9.875</v>
      </c>
      <c r="M869" s="115">
        <f t="shared" si="489"/>
        <v>11.05775</v>
      </c>
      <c r="N869" s="115">
        <f t="shared" si="490"/>
        <v>12.247624999999999</v>
      </c>
      <c r="O869" s="74">
        <f t="shared" si="491"/>
        <v>13.4375</v>
      </c>
      <c r="P869" s="74">
        <f t="shared" si="492"/>
        <v>14.62025</v>
      </c>
      <c r="Q869" s="74">
        <f t="shared" si="493"/>
        <v>15.803000000000001</v>
      </c>
      <c r="R869" s="114">
        <v>17</v>
      </c>
      <c r="S869" s="129"/>
      <c r="T869" s="117">
        <f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16.353538461538463</v>
      </c>
      <c r="U869" s="117"/>
      <c r="V869" s="129"/>
      <c r="W869" s="114"/>
    </row>
    <row r="870" spans="2:23">
      <c r="B870" s="114">
        <v>37</v>
      </c>
      <c r="C870" s="74">
        <f t="shared" si="469"/>
        <v>34</v>
      </c>
      <c r="D870" s="74">
        <f t="shared" si="470"/>
        <v>31</v>
      </c>
      <c r="E870" s="74">
        <f t="shared" si="471"/>
        <v>28</v>
      </c>
      <c r="F870" s="114">
        <v>25</v>
      </c>
      <c r="G870" s="74">
        <f t="shared" si="472"/>
        <v>22</v>
      </c>
      <c r="H870" s="74">
        <f t="shared" si="473"/>
        <v>19</v>
      </c>
      <c r="I870" s="74">
        <f t="shared" si="474"/>
        <v>16</v>
      </c>
      <c r="J870" s="114">
        <f t="shared" si="475"/>
        <v>13</v>
      </c>
      <c r="K870" s="74">
        <f t="shared" si="488"/>
        <v>10.75</v>
      </c>
      <c r="L870" s="114">
        <f t="shared" si="494"/>
        <v>8.5</v>
      </c>
      <c r="M870" s="115">
        <f t="shared" si="489"/>
        <v>9.9109999999999996</v>
      </c>
      <c r="N870" s="115">
        <f t="shared" si="490"/>
        <v>11.330500000000001</v>
      </c>
      <c r="O870" s="74">
        <f t="shared" si="491"/>
        <v>12.75</v>
      </c>
      <c r="P870" s="74">
        <f t="shared" si="492"/>
        <v>14.161000000000001</v>
      </c>
      <c r="Q870" s="74">
        <f t="shared" si="493"/>
        <v>15.571999999999999</v>
      </c>
      <c r="R870" s="114">
        <v>17</v>
      </c>
      <c r="S870" s="129"/>
      <c r="T870" s="117">
        <f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16.284153846153846</v>
      </c>
      <c r="U870" s="117"/>
      <c r="V870" s="129"/>
      <c r="W870" s="114"/>
    </row>
    <row r="871" spans="2:23">
      <c r="B871" s="114">
        <v>38</v>
      </c>
      <c r="C871" s="74">
        <f t="shared" si="469"/>
        <v>34.75</v>
      </c>
      <c r="D871" s="74">
        <f t="shared" si="470"/>
        <v>31.5</v>
      </c>
      <c r="E871" s="74">
        <f t="shared" si="471"/>
        <v>28.25</v>
      </c>
      <c r="F871" s="114">
        <v>25</v>
      </c>
      <c r="G871" s="74">
        <f t="shared" si="472"/>
        <v>21.75</v>
      </c>
      <c r="H871" s="74">
        <f t="shared" si="473"/>
        <v>18.5</v>
      </c>
      <c r="I871" s="74">
        <f t="shared" si="474"/>
        <v>15.25</v>
      </c>
      <c r="J871" s="114">
        <f t="shared" si="475"/>
        <v>12</v>
      </c>
      <c r="K871" s="74">
        <f t="shared" si="488"/>
        <v>9.5625</v>
      </c>
      <c r="L871" s="114">
        <f t="shared" si="494"/>
        <v>7.125</v>
      </c>
      <c r="M871" s="115">
        <f t="shared" si="489"/>
        <v>8.7642500000000005</v>
      </c>
      <c r="N871" s="115">
        <f t="shared" si="490"/>
        <v>10.413375</v>
      </c>
      <c r="O871" s="74">
        <f t="shared" si="491"/>
        <v>12.0625</v>
      </c>
      <c r="P871" s="74">
        <f t="shared" si="492"/>
        <v>13.701750000000001</v>
      </c>
      <c r="Q871" s="74">
        <f t="shared" si="493"/>
        <v>15.340999999999999</v>
      </c>
      <c r="R871" s="114">
        <v>17</v>
      </c>
      <c r="S871" s="129"/>
      <c r="T871" s="117">
        <f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15.98330989010989</v>
      </c>
      <c r="U871" s="117"/>
      <c r="V871" s="129"/>
      <c r="W871" s="114"/>
    </row>
    <row r="872" spans="2:23">
      <c r="B872" s="114">
        <v>39</v>
      </c>
      <c r="C872" s="74">
        <f t="shared" si="469"/>
        <v>35.5</v>
      </c>
      <c r="D872" s="74">
        <f t="shared" si="470"/>
        <v>32</v>
      </c>
      <c r="E872" s="74">
        <f t="shared" si="471"/>
        <v>28.5</v>
      </c>
      <c r="F872" s="114">
        <v>25</v>
      </c>
      <c r="G872" s="74">
        <f t="shared" si="472"/>
        <v>21.5</v>
      </c>
      <c r="H872" s="74">
        <f t="shared" si="473"/>
        <v>18</v>
      </c>
      <c r="I872" s="74">
        <f t="shared" si="474"/>
        <v>14.5</v>
      </c>
      <c r="J872" s="114">
        <f t="shared" si="475"/>
        <v>11</v>
      </c>
      <c r="K872" s="74">
        <f t="shared" si="488"/>
        <v>8.375</v>
      </c>
      <c r="L872" s="114">
        <f t="shared" si="494"/>
        <v>5.75</v>
      </c>
      <c r="M872" s="115">
        <f t="shared" si="489"/>
        <v>7.6174999999999997</v>
      </c>
      <c r="N872" s="115">
        <f t="shared" si="490"/>
        <v>9.4962499999999999</v>
      </c>
      <c r="O872" s="74">
        <f t="shared" si="491"/>
        <v>11.375</v>
      </c>
      <c r="P872" s="74">
        <f t="shared" si="492"/>
        <v>13.2425</v>
      </c>
      <c r="Q872" s="74">
        <f t="shared" si="493"/>
        <v>15.11</v>
      </c>
      <c r="R872" s="114">
        <v>17</v>
      </c>
      <c r="S872" s="129"/>
      <c r="T872" s="117">
        <f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15.749481318681319</v>
      </c>
      <c r="U872" s="117"/>
      <c r="V872" s="129"/>
      <c r="W872" s="114"/>
    </row>
    <row r="873" spans="2:23">
      <c r="B873" s="114"/>
      <c r="C873" s="74"/>
      <c r="D873" s="74"/>
      <c r="E873" s="74"/>
      <c r="F873" s="114"/>
      <c r="G873" s="74"/>
      <c r="H873" s="74"/>
      <c r="I873" s="74"/>
      <c r="J873" s="114"/>
      <c r="K873" s="74"/>
      <c r="L873" s="114"/>
      <c r="M873" s="115"/>
      <c r="N873" s="115"/>
      <c r="O873" s="74"/>
      <c r="P873" s="74"/>
      <c r="Q873" s="74"/>
      <c r="R873" s="114"/>
      <c r="S873" s="129"/>
      <c r="T873" s="117"/>
      <c r="U873" s="117"/>
      <c r="V873" s="129"/>
      <c r="W873" s="114"/>
    </row>
    <row r="874" spans="2:23">
      <c r="B874" s="114">
        <v>29</v>
      </c>
      <c r="C874" s="74">
        <f t="shared" si="469"/>
        <v>28.25</v>
      </c>
      <c r="D874" s="74">
        <f t="shared" si="470"/>
        <v>27.5</v>
      </c>
      <c r="E874" s="74">
        <f t="shared" si="471"/>
        <v>26.75</v>
      </c>
      <c r="F874" s="114">
        <v>26</v>
      </c>
      <c r="G874" s="74">
        <f t="shared" si="472"/>
        <v>25.25</v>
      </c>
      <c r="H874" s="74">
        <f t="shared" si="473"/>
        <v>24.5</v>
      </c>
      <c r="I874" s="74">
        <f t="shared" si="474"/>
        <v>23.75</v>
      </c>
      <c r="J874" s="114">
        <f t="shared" si="475"/>
        <v>23</v>
      </c>
      <c r="K874" s="74">
        <f t="shared" ref="K874:K884" si="495">SUM(0.5*(L874-J874),J874)</f>
        <v>22.25</v>
      </c>
      <c r="L874" s="114">
        <f>SUM(J874,J874,-H874)</f>
        <v>21.5</v>
      </c>
      <c r="M874" s="115">
        <f t="shared" ref="M874:M884" si="496">SUM(0.166*(R874-L874),L874)</f>
        <v>20.753</v>
      </c>
      <c r="N874" s="115">
        <f t="shared" ref="N874:N884" si="497">SUM(0.333*(R874-L874),L874)</f>
        <v>20.0015</v>
      </c>
      <c r="O874" s="74">
        <f t="shared" ref="O874:O884" si="498">SUM(0.5*(R874-L874),L874)</f>
        <v>19.25</v>
      </c>
      <c r="P874" s="74">
        <f t="shared" ref="P874:P884" si="499">SUM(0.666*(R874-L874),L874)</f>
        <v>18.503</v>
      </c>
      <c r="Q874" s="74">
        <f t="shared" ref="Q874:Q884" si="500">SUM(0.832*(R874-L874),L874)</f>
        <v>17.756</v>
      </c>
      <c r="R874" s="114">
        <v>17</v>
      </c>
      <c r="S874" s="129"/>
      <c r="T874" s="117">
        <f>SUM((AX20++BA18+BD16+BG14+BJ12+BM10+BP8+BS6+BV4)*0.132,(AY19+AZ19+BB17+BC17+BE15+BF15+BH13+BI13+BK11+BL11+BN9+BO9+BQ7+BR7+BT5+BU5)*0.132/2,17)</f>
        <v>16.793538461538464</v>
      </c>
      <c r="U874" s="117"/>
      <c r="V874" s="129"/>
      <c r="W874" s="114"/>
    </row>
    <row r="875" spans="2:23">
      <c r="B875" s="114">
        <v>30</v>
      </c>
      <c r="C875" s="74">
        <f t="shared" si="469"/>
        <v>29</v>
      </c>
      <c r="D875" s="74">
        <f t="shared" si="470"/>
        <v>28</v>
      </c>
      <c r="E875" s="74">
        <f t="shared" si="471"/>
        <v>27</v>
      </c>
      <c r="F875" s="114">
        <v>26</v>
      </c>
      <c r="G875" s="74">
        <f t="shared" si="472"/>
        <v>25</v>
      </c>
      <c r="H875" s="74">
        <f t="shared" si="473"/>
        <v>24</v>
      </c>
      <c r="I875" s="74">
        <f t="shared" si="474"/>
        <v>23</v>
      </c>
      <c r="J875" s="114">
        <f t="shared" si="475"/>
        <v>22</v>
      </c>
      <c r="K875" s="74">
        <f t="shared" si="495"/>
        <v>21.25</v>
      </c>
      <c r="L875" s="114">
        <f t="shared" si="494"/>
        <v>20.5</v>
      </c>
      <c r="M875" s="115">
        <f t="shared" si="496"/>
        <v>19.919</v>
      </c>
      <c r="N875" s="115">
        <f t="shared" si="497"/>
        <v>19.334499999999998</v>
      </c>
      <c r="O875" s="74">
        <f t="shared" si="498"/>
        <v>18.75</v>
      </c>
      <c r="P875" s="74">
        <f t="shared" si="499"/>
        <v>18.169</v>
      </c>
      <c r="Q875" s="74">
        <f t="shared" si="500"/>
        <v>17.588000000000001</v>
      </c>
      <c r="R875" s="114">
        <v>17</v>
      </c>
      <c r="S875" s="129"/>
      <c r="T875" s="117">
        <f>SUM((AW19+AX19+AY18+AZ18+BA17+BB17+BC16+BD16+BE15+BF15+BG14+BH14+BI13+BJ13+BK12+BL12+BM11+BN11+BU4+BV4)*0.132/2,(AV20+BO10+BP9+BQ8+BR7+BS6+BT5)*0.132,17)</f>
        <v>16.859538461538463</v>
      </c>
      <c r="U875" s="117"/>
      <c r="V875" s="129"/>
      <c r="W875" s="114"/>
    </row>
    <row r="876" spans="2:23">
      <c r="B876" s="114">
        <v>31</v>
      </c>
      <c r="C876" s="74">
        <f t="shared" si="469"/>
        <v>29.75</v>
      </c>
      <c r="D876" s="74">
        <f t="shared" si="470"/>
        <v>28.5</v>
      </c>
      <c r="E876" s="74">
        <f t="shared" si="471"/>
        <v>27.25</v>
      </c>
      <c r="F876" s="114">
        <v>26</v>
      </c>
      <c r="G876" s="74">
        <f t="shared" si="472"/>
        <v>24.75</v>
      </c>
      <c r="H876" s="74">
        <f t="shared" si="473"/>
        <v>23.5</v>
      </c>
      <c r="I876" s="74">
        <f t="shared" si="474"/>
        <v>22.25</v>
      </c>
      <c r="J876" s="114">
        <f t="shared" si="475"/>
        <v>21</v>
      </c>
      <c r="K876" s="74">
        <f t="shared" si="495"/>
        <v>20.0625</v>
      </c>
      <c r="L876" s="114">
        <f t="shared" si="494"/>
        <v>19.125</v>
      </c>
      <c r="M876" s="115">
        <f t="shared" si="496"/>
        <v>18.77225</v>
      </c>
      <c r="N876" s="115">
        <f t="shared" si="497"/>
        <v>18.417375</v>
      </c>
      <c r="O876" s="74">
        <f t="shared" si="498"/>
        <v>18.0625</v>
      </c>
      <c r="P876" s="74">
        <f t="shared" si="499"/>
        <v>17.70975</v>
      </c>
      <c r="Q876" s="74">
        <f t="shared" si="500"/>
        <v>17.356999999999999</v>
      </c>
      <c r="R876" s="114">
        <v>17</v>
      </c>
      <c r="S876" s="129"/>
      <c r="T876" s="117">
        <f>SUM((AT20+AU20+AV19+AW19+BA17+BB17+BC16+BD16)*0.132/2,(AX18+AY18+AZ18+BE15+BF15+BG15+BJ13+BK13+BL13)*0.132/3,(BH14+BI14+BM12+BN12+BO11+BP11+BQ10+BR10)*0.132/2,(BS9+BS8+BT7+BT6+BU5+BV4)*0.132,17)</f>
        <v>16.485538461538461</v>
      </c>
      <c r="U876" s="117"/>
      <c r="V876" s="129"/>
      <c r="W876" s="114"/>
    </row>
    <row r="877" spans="2:23">
      <c r="B877" s="114">
        <v>32</v>
      </c>
      <c r="C877" s="74">
        <f t="shared" si="469"/>
        <v>30.5</v>
      </c>
      <c r="D877" s="74">
        <f t="shared" si="470"/>
        <v>29</v>
      </c>
      <c r="E877" s="74">
        <f t="shared" si="471"/>
        <v>27.5</v>
      </c>
      <c r="F877" s="114">
        <v>26</v>
      </c>
      <c r="G877" s="74">
        <f t="shared" si="472"/>
        <v>24.5</v>
      </c>
      <c r="H877" s="74">
        <f t="shared" si="473"/>
        <v>23</v>
      </c>
      <c r="I877" s="74">
        <f t="shared" si="474"/>
        <v>21.5</v>
      </c>
      <c r="J877" s="114">
        <f t="shared" si="475"/>
        <v>20</v>
      </c>
      <c r="K877" s="74">
        <f t="shared" si="495"/>
        <v>18.875</v>
      </c>
      <c r="L877" s="114">
        <f t="shared" si="494"/>
        <v>17.75</v>
      </c>
      <c r="M877" s="115">
        <f t="shared" si="496"/>
        <v>17.625499999999999</v>
      </c>
      <c r="N877" s="115">
        <f t="shared" si="497"/>
        <v>17.500250000000001</v>
      </c>
      <c r="O877" s="74">
        <f t="shared" si="498"/>
        <v>17.375</v>
      </c>
      <c r="P877" s="74">
        <f t="shared" si="499"/>
        <v>17.250499999999999</v>
      </c>
      <c r="Q877" s="74">
        <f t="shared" si="500"/>
        <v>17.126000000000001</v>
      </c>
      <c r="R877" s="114">
        <v>17</v>
      </c>
      <c r="S877" s="129"/>
      <c r="T877" s="117">
        <f>SUM((AR20+AS20+AW18+AX18)*0.132/2,(AT19+AU19+AV19+AY17+AZ17+BA17+BB16+BC16+BD16+BE15+BF15+BG15+BH14+BI14+BJ14+BK13+BL13+BM13+BN12+BO12+BP12+BQ11+BR11+BS11)*0.132/3,(BT10+BU10)*0.132/2,(+BU9+BU8+BU7+BV6+BV5+BV4)*0.132,17)</f>
        <v>16.639538461538461</v>
      </c>
      <c r="U877" s="117"/>
      <c r="V877" s="129"/>
      <c r="W877" s="114"/>
    </row>
    <row r="878" spans="2:23">
      <c r="B878" s="114">
        <v>33</v>
      </c>
      <c r="C878" s="74">
        <f t="shared" si="469"/>
        <v>31.25</v>
      </c>
      <c r="D878" s="74">
        <f t="shared" si="470"/>
        <v>29.5</v>
      </c>
      <c r="E878" s="74">
        <f t="shared" si="471"/>
        <v>27.75</v>
      </c>
      <c r="F878" s="114">
        <v>26</v>
      </c>
      <c r="G878" s="74">
        <f t="shared" si="472"/>
        <v>24.25</v>
      </c>
      <c r="H878" s="74">
        <f t="shared" si="473"/>
        <v>22.5</v>
      </c>
      <c r="I878" s="74">
        <f t="shared" si="474"/>
        <v>20.75</v>
      </c>
      <c r="J878" s="114">
        <f t="shared" si="475"/>
        <v>19</v>
      </c>
      <c r="K878" s="74">
        <f t="shared" si="495"/>
        <v>17.6875</v>
      </c>
      <c r="L878" s="114">
        <f t="shared" si="494"/>
        <v>16.375</v>
      </c>
      <c r="M878" s="115">
        <f t="shared" si="496"/>
        <v>16.478750000000002</v>
      </c>
      <c r="N878" s="115">
        <f t="shared" si="497"/>
        <v>16.583124999999999</v>
      </c>
      <c r="O878" s="74">
        <f t="shared" si="498"/>
        <v>16.6875</v>
      </c>
      <c r="P878" s="74">
        <f t="shared" si="499"/>
        <v>16.791250000000002</v>
      </c>
      <c r="Q878" s="74">
        <f t="shared" si="500"/>
        <v>16.895</v>
      </c>
      <c r="R878" s="114">
        <v>17</v>
      </c>
      <c r="S878" s="129"/>
      <c r="T878" s="117">
        <f>SUM((AP20+AQ20+AR20+AS19+AT19+AU19+AV18+AW18+AX18+AY17+AZ17+BA17+BB16+BC16+BD16+BI14+BJ14+BK14+BP12+BQ12+BR12+BS11+BT11+BU11)*0.132/3,(BE15+BF15+BG15+BH15+BL13+BM13+BN13+BO13)*0.132/4,(BV10+BW10)*0.132/2,(+BW9+BW8+BW7+BV6+BV5+BV4)*0.132,17)</f>
        <v>16.243538461538463</v>
      </c>
      <c r="U878" s="117"/>
      <c r="V878" s="129"/>
      <c r="W878" s="114"/>
    </row>
    <row r="879" spans="2:23">
      <c r="B879" s="114">
        <v>34</v>
      </c>
      <c r="C879" s="74">
        <f t="shared" si="469"/>
        <v>32</v>
      </c>
      <c r="D879" s="74">
        <f t="shared" si="470"/>
        <v>30</v>
      </c>
      <c r="E879" s="74">
        <f t="shared" si="471"/>
        <v>28</v>
      </c>
      <c r="F879" s="114">
        <v>26</v>
      </c>
      <c r="G879" s="74">
        <f t="shared" si="472"/>
        <v>24</v>
      </c>
      <c r="H879" s="74">
        <f t="shared" si="473"/>
        <v>22</v>
      </c>
      <c r="I879" s="74">
        <f t="shared" si="474"/>
        <v>20</v>
      </c>
      <c r="J879" s="114">
        <f t="shared" si="475"/>
        <v>18</v>
      </c>
      <c r="K879" s="74">
        <f t="shared" si="495"/>
        <v>16.5</v>
      </c>
      <c r="L879" s="114">
        <f t="shared" si="494"/>
        <v>15</v>
      </c>
      <c r="M879" s="115">
        <f t="shared" si="496"/>
        <v>15.332000000000001</v>
      </c>
      <c r="N879" s="115">
        <f t="shared" si="497"/>
        <v>15.666</v>
      </c>
      <c r="O879" s="74">
        <f t="shared" si="498"/>
        <v>16</v>
      </c>
      <c r="P879" s="74">
        <f t="shared" si="499"/>
        <v>16.332000000000001</v>
      </c>
      <c r="Q879" s="74">
        <f t="shared" si="500"/>
        <v>16.664000000000001</v>
      </c>
      <c r="R879" s="114">
        <v>17</v>
      </c>
      <c r="S879" s="129"/>
      <c r="T879" s="117">
        <f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16.364538461538462</v>
      </c>
      <c r="U879" s="117"/>
      <c r="V879" s="129"/>
      <c r="W879" s="114"/>
    </row>
    <row r="880" spans="2:23">
      <c r="B880" s="114">
        <v>35</v>
      </c>
      <c r="C880" s="74">
        <f t="shared" si="469"/>
        <v>32.75</v>
      </c>
      <c r="D880" s="74">
        <f t="shared" si="470"/>
        <v>30.5</v>
      </c>
      <c r="E880" s="74">
        <f t="shared" si="471"/>
        <v>28.25</v>
      </c>
      <c r="F880" s="114">
        <v>26</v>
      </c>
      <c r="G880" s="74">
        <f t="shared" si="472"/>
        <v>23.75</v>
      </c>
      <c r="H880" s="74">
        <f t="shared" si="473"/>
        <v>21.5</v>
      </c>
      <c r="I880" s="74">
        <f t="shared" si="474"/>
        <v>19.25</v>
      </c>
      <c r="J880" s="114">
        <f t="shared" si="475"/>
        <v>17</v>
      </c>
      <c r="K880" s="74">
        <f t="shared" si="495"/>
        <v>15.3125</v>
      </c>
      <c r="L880" s="114">
        <f t="shared" si="494"/>
        <v>13.625</v>
      </c>
      <c r="M880" s="115">
        <f t="shared" si="496"/>
        <v>14.18525</v>
      </c>
      <c r="N880" s="115">
        <f t="shared" si="497"/>
        <v>14.748875</v>
      </c>
      <c r="O880" s="74">
        <f t="shared" si="498"/>
        <v>15.3125</v>
      </c>
      <c r="P880" s="74">
        <f t="shared" si="499"/>
        <v>15.87275</v>
      </c>
      <c r="Q880" s="74">
        <f t="shared" si="500"/>
        <v>16.433</v>
      </c>
      <c r="R880" s="114">
        <v>17</v>
      </c>
      <c r="S880" s="129"/>
      <c r="T880" s="117">
        <f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16.096138461538462</v>
      </c>
      <c r="U880" s="117"/>
      <c r="V880" s="129"/>
      <c r="W880" s="114"/>
    </row>
    <row r="881" spans="2:23">
      <c r="B881" s="114">
        <v>36</v>
      </c>
      <c r="C881" s="74">
        <f t="shared" si="469"/>
        <v>33.5</v>
      </c>
      <c r="D881" s="74">
        <f t="shared" si="470"/>
        <v>31</v>
      </c>
      <c r="E881" s="74">
        <f t="shared" si="471"/>
        <v>28.5</v>
      </c>
      <c r="F881" s="114">
        <v>26</v>
      </c>
      <c r="G881" s="74">
        <f t="shared" si="472"/>
        <v>23.5</v>
      </c>
      <c r="H881" s="74">
        <f t="shared" si="473"/>
        <v>21</v>
      </c>
      <c r="I881" s="74">
        <f t="shared" si="474"/>
        <v>18.5</v>
      </c>
      <c r="J881" s="114">
        <f t="shared" si="475"/>
        <v>16</v>
      </c>
      <c r="K881" s="74">
        <f t="shared" si="495"/>
        <v>14.125</v>
      </c>
      <c r="L881" s="114">
        <f t="shared" si="494"/>
        <v>12.25</v>
      </c>
      <c r="M881" s="115">
        <f t="shared" si="496"/>
        <v>13.038500000000001</v>
      </c>
      <c r="N881" s="115">
        <f t="shared" si="497"/>
        <v>13.83175</v>
      </c>
      <c r="O881" s="74">
        <f t="shared" si="498"/>
        <v>14.625</v>
      </c>
      <c r="P881" s="74">
        <f t="shared" si="499"/>
        <v>15.413499999999999</v>
      </c>
      <c r="Q881" s="74">
        <f t="shared" si="500"/>
        <v>16.201999999999998</v>
      </c>
      <c r="R881" s="114">
        <v>17</v>
      </c>
      <c r="S881" s="129"/>
      <c r="T881" s="117">
        <f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16.03453846153846</v>
      </c>
      <c r="U881" s="117"/>
      <c r="V881" s="129"/>
      <c r="W881" s="114"/>
    </row>
    <row r="882" spans="2:23">
      <c r="B882" s="114">
        <v>37</v>
      </c>
      <c r="C882" s="74">
        <f t="shared" si="469"/>
        <v>34.25</v>
      </c>
      <c r="D882" s="74">
        <f t="shared" si="470"/>
        <v>31.5</v>
      </c>
      <c r="E882" s="74">
        <f t="shared" si="471"/>
        <v>28.75</v>
      </c>
      <c r="F882" s="114">
        <v>26</v>
      </c>
      <c r="G882" s="74">
        <f t="shared" si="472"/>
        <v>23.25</v>
      </c>
      <c r="H882" s="74">
        <f t="shared" si="473"/>
        <v>20.5</v>
      </c>
      <c r="I882" s="74">
        <f t="shared" si="474"/>
        <v>17.75</v>
      </c>
      <c r="J882" s="114">
        <f t="shared" si="475"/>
        <v>15</v>
      </c>
      <c r="K882" s="74">
        <f t="shared" si="495"/>
        <v>12.9375</v>
      </c>
      <c r="L882" s="114">
        <f t="shared" si="494"/>
        <v>10.875</v>
      </c>
      <c r="M882" s="115">
        <f t="shared" si="496"/>
        <v>11.89175</v>
      </c>
      <c r="N882" s="115">
        <f t="shared" si="497"/>
        <v>12.914625000000001</v>
      </c>
      <c r="O882" s="74">
        <f t="shared" si="498"/>
        <v>13.9375</v>
      </c>
      <c r="P882" s="74">
        <f t="shared" si="499"/>
        <v>14.95425</v>
      </c>
      <c r="Q882" s="74">
        <f t="shared" si="500"/>
        <v>15.971</v>
      </c>
      <c r="R882" s="114">
        <v>17</v>
      </c>
      <c r="S882" s="129"/>
      <c r="T882" s="117">
        <f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15.933338461538462</v>
      </c>
      <c r="U882" s="117"/>
      <c r="V882" s="129"/>
      <c r="W882" s="114"/>
    </row>
    <row r="883" spans="2:23">
      <c r="B883" s="114">
        <v>38</v>
      </c>
      <c r="C883" s="74">
        <f t="shared" si="469"/>
        <v>35</v>
      </c>
      <c r="D883" s="74">
        <f t="shared" si="470"/>
        <v>32</v>
      </c>
      <c r="E883" s="74">
        <f t="shared" si="471"/>
        <v>29</v>
      </c>
      <c r="F883" s="114">
        <v>26</v>
      </c>
      <c r="G883" s="74">
        <f t="shared" si="472"/>
        <v>23</v>
      </c>
      <c r="H883" s="74">
        <f t="shared" si="473"/>
        <v>20</v>
      </c>
      <c r="I883" s="74">
        <f t="shared" si="474"/>
        <v>17</v>
      </c>
      <c r="J883" s="114">
        <f t="shared" si="475"/>
        <v>14</v>
      </c>
      <c r="K883" s="74">
        <f t="shared" si="495"/>
        <v>11.75</v>
      </c>
      <c r="L883" s="114">
        <f t="shared" si="494"/>
        <v>9.5</v>
      </c>
      <c r="M883" s="115">
        <f t="shared" si="496"/>
        <v>10.745000000000001</v>
      </c>
      <c r="N883" s="115">
        <f t="shared" si="497"/>
        <v>11.9975</v>
      </c>
      <c r="O883" s="74">
        <f t="shared" si="498"/>
        <v>13.25</v>
      </c>
      <c r="P883" s="74">
        <f t="shared" si="499"/>
        <v>14.495000000000001</v>
      </c>
      <c r="Q883" s="74">
        <f t="shared" si="500"/>
        <v>15.739999999999998</v>
      </c>
      <c r="R883" s="114">
        <v>17</v>
      </c>
      <c r="S883" s="129"/>
      <c r="T883" s="117">
        <f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16.100538461538463</v>
      </c>
      <c r="U883" s="117"/>
      <c r="V883" s="129"/>
      <c r="W883" s="114"/>
    </row>
    <row r="884" spans="2:23">
      <c r="B884" s="114">
        <v>39</v>
      </c>
      <c r="C884" s="74">
        <f t="shared" si="469"/>
        <v>35.75</v>
      </c>
      <c r="D884" s="74">
        <f t="shared" si="470"/>
        <v>32.5</v>
      </c>
      <c r="E884" s="74">
        <f t="shared" si="471"/>
        <v>29.25</v>
      </c>
      <c r="F884" s="114">
        <v>26</v>
      </c>
      <c r="G884" s="74">
        <f t="shared" si="472"/>
        <v>22.75</v>
      </c>
      <c r="H884" s="74">
        <f t="shared" si="473"/>
        <v>19.5</v>
      </c>
      <c r="I884" s="74">
        <f t="shared" si="474"/>
        <v>16.25</v>
      </c>
      <c r="J884" s="114">
        <f t="shared" si="475"/>
        <v>13</v>
      </c>
      <c r="K884" s="74">
        <f t="shared" si="495"/>
        <v>10.5625</v>
      </c>
      <c r="L884" s="114">
        <f t="shared" si="494"/>
        <v>8.125</v>
      </c>
      <c r="M884" s="115">
        <f t="shared" si="496"/>
        <v>9.5982500000000002</v>
      </c>
      <c r="N884" s="115">
        <f t="shared" si="497"/>
        <v>11.080375</v>
      </c>
      <c r="O884" s="74">
        <f t="shared" si="498"/>
        <v>12.5625</v>
      </c>
      <c r="P884" s="74">
        <f t="shared" si="499"/>
        <v>14.03575</v>
      </c>
      <c r="Q884" s="74">
        <f t="shared" si="500"/>
        <v>15.509</v>
      </c>
      <c r="R884" s="114">
        <v>17</v>
      </c>
      <c r="S884" s="129"/>
      <c r="T884" s="117">
        <f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15.963824175824177</v>
      </c>
      <c r="U884" s="117"/>
      <c r="V884" s="129"/>
      <c r="W884" s="114"/>
    </row>
    <row r="885" spans="2:23">
      <c r="B885" s="114"/>
      <c r="C885" s="74"/>
      <c r="D885" s="74"/>
      <c r="E885" s="74"/>
      <c r="F885" s="114"/>
      <c r="G885" s="74"/>
      <c r="H885" s="74"/>
      <c r="I885" s="74"/>
      <c r="J885" s="114"/>
      <c r="K885" s="74"/>
      <c r="L885" s="114"/>
      <c r="M885" s="115"/>
      <c r="N885" s="115"/>
      <c r="O885" s="74"/>
      <c r="P885" s="74"/>
      <c r="Q885" s="74"/>
      <c r="R885" s="114"/>
      <c r="S885" s="129"/>
      <c r="T885" s="117"/>
      <c r="U885" s="117"/>
      <c r="V885" s="129"/>
      <c r="W885" s="114"/>
    </row>
    <row r="886" spans="2:23">
      <c r="B886" s="114">
        <v>31</v>
      </c>
      <c r="C886" s="74">
        <f t="shared" si="469"/>
        <v>30</v>
      </c>
      <c r="D886" s="74">
        <f t="shared" si="470"/>
        <v>29</v>
      </c>
      <c r="E886" s="74">
        <f t="shared" si="471"/>
        <v>28</v>
      </c>
      <c r="F886" s="114">
        <v>27</v>
      </c>
      <c r="G886" s="74">
        <f t="shared" si="472"/>
        <v>26</v>
      </c>
      <c r="H886" s="74">
        <f t="shared" si="473"/>
        <v>25</v>
      </c>
      <c r="I886" s="74">
        <f t="shared" si="474"/>
        <v>24</v>
      </c>
      <c r="J886" s="114">
        <f t="shared" si="475"/>
        <v>23</v>
      </c>
      <c r="K886" s="74">
        <f t="shared" ref="K886:K894" si="501">SUM(0.5*(L886-J886),J886)</f>
        <v>22.25</v>
      </c>
      <c r="L886" s="114">
        <f t="shared" si="494"/>
        <v>21.5</v>
      </c>
      <c r="M886" s="115">
        <f t="shared" ref="M886:M894" si="502">SUM(0.166*(R886-L886),L886)</f>
        <v>20.753</v>
      </c>
      <c r="N886" s="115">
        <f t="shared" ref="N886:N894" si="503">SUM(0.333*(R886-L886),L886)</f>
        <v>20.0015</v>
      </c>
      <c r="O886" s="74">
        <f t="shared" ref="O886:O894" si="504">SUM(0.5*(R886-L886),L886)</f>
        <v>19.25</v>
      </c>
      <c r="P886" s="74">
        <f t="shared" ref="P886:P894" si="505">SUM(0.666*(R886-L886),L886)</f>
        <v>18.503</v>
      </c>
      <c r="Q886" s="74">
        <f t="shared" ref="Q886:Q894" si="506">SUM(0.832*(R886-L886),L886)</f>
        <v>17.756</v>
      </c>
      <c r="R886" s="114">
        <v>17</v>
      </c>
      <c r="S886" s="129"/>
      <c r="T886" s="117">
        <f>SUM((AU19+AV19+AW18+AX18+AY17+AZ17+BA16+BB16+BC15+BD15+BE14+BF14+BG13+BH13+BI12+BJ12+BK11+BL11+BN9+BO9+BQ7+BR7+BT5+BU5)*0.132/2,(AT20+BM10+BP8+BS6+BV4)*0.132,17)</f>
        <v>16.661538461538463</v>
      </c>
      <c r="U886" s="117"/>
      <c r="V886" s="129"/>
      <c r="W886" s="114"/>
    </row>
    <row r="887" spans="2:23">
      <c r="B887" s="114">
        <v>32</v>
      </c>
      <c r="C887" s="74">
        <f t="shared" si="469"/>
        <v>30.75</v>
      </c>
      <c r="D887" s="74">
        <f t="shared" si="470"/>
        <v>29.5</v>
      </c>
      <c r="E887" s="74">
        <f t="shared" si="471"/>
        <v>28.25</v>
      </c>
      <c r="F887" s="114">
        <v>27</v>
      </c>
      <c r="G887" s="74">
        <f t="shared" si="472"/>
        <v>25.75</v>
      </c>
      <c r="H887" s="74">
        <f t="shared" si="473"/>
        <v>24.5</v>
      </c>
      <c r="I887" s="74">
        <f t="shared" si="474"/>
        <v>23.25</v>
      </c>
      <c r="J887" s="114">
        <f t="shared" si="475"/>
        <v>22</v>
      </c>
      <c r="K887" s="74">
        <f t="shared" si="501"/>
        <v>21.0625</v>
      </c>
      <c r="L887" s="114">
        <f t="shared" si="494"/>
        <v>20.125</v>
      </c>
      <c r="M887" s="115">
        <f t="shared" si="502"/>
        <v>19.606249999999999</v>
      </c>
      <c r="N887" s="115">
        <f t="shared" si="503"/>
        <v>19.084375000000001</v>
      </c>
      <c r="O887" s="74">
        <f t="shared" si="504"/>
        <v>18.5625</v>
      </c>
      <c r="P887" s="74">
        <f t="shared" si="505"/>
        <v>18.043749999999999</v>
      </c>
      <c r="Q887" s="74">
        <f t="shared" si="506"/>
        <v>17.524999999999999</v>
      </c>
      <c r="R887" s="114">
        <v>17</v>
      </c>
      <c r="S887" s="129"/>
      <c r="T887" s="117">
        <f>SUM((AR20+AS20+AT19+AU19+AY17+AZ17+BA16+BB16)*0.132/2,(AV18+AW18+AX18+BC15+BD15+BE15+BH13+BI13+BJ13)*0.132/3,(BF14+BG14+BK12+BL12+BM11+BN11+BO10+BP10)*0.132/2,(BQ9+BR8+BS7+BT6+BU5+BV4)*0.132,17)</f>
        <v>16.551538461538463</v>
      </c>
      <c r="U887" s="117"/>
      <c r="V887" s="129"/>
      <c r="W887" s="114"/>
    </row>
    <row r="888" spans="2:23">
      <c r="B888" s="114">
        <v>33</v>
      </c>
      <c r="C888" s="74">
        <f t="shared" si="469"/>
        <v>31.5</v>
      </c>
      <c r="D888" s="74">
        <f t="shared" si="470"/>
        <v>30</v>
      </c>
      <c r="E888" s="74">
        <f t="shared" si="471"/>
        <v>28.5</v>
      </c>
      <c r="F888" s="114">
        <v>27</v>
      </c>
      <c r="G888" s="74">
        <f t="shared" si="472"/>
        <v>25.5</v>
      </c>
      <c r="H888" s="74">
        <f t="shared" si="473"/>
        <v>24</v>
      </c>
      <c r="I888" s="74">
        <f t="shared" si="474"/>
        <v>22.5</v>
      </c>
      <c r="J888" s="114">
        <f t="shared" si="475"/>
        <v>21</v>
      </c>
      <c r="K888" s="74">
        <f t="shared" si="501"/>
        <v>19.875</v>
      </c>
      <c r="L888" s="114">
        <f t="shared" si="494"/>
        <v>18.75</v>
      </c>
      <c r="M888" s="115">
        <f t="shared" si="502"/>
        <v>18.459499999999998</v>
      </c>
      <c r="N888" s="115">
        <f t="shared" si="503"/>
        <v>18.167249999999999</v>
      </c>
      <c r="O888" s="74">
        <f t="shared" si="504"/>
        <v>17.875</v>
      </c>
      <c r="P888" s="74">
        <f t="shared" si="505"/>
        <v>17.584499999999998</v>
      </c>
      <c r="Q888" s="74">
        <f t="shared" si="506"/>
        <v>17.294</v>
      </c>
      <c r="R888" s="114">
        <v>17</v>
      </c>
      <c r="S888" s="129"/>
      <c r="T888" s="117">
        <f>SUM((AP20+AQ20+AU18+AV18)*0.132/2,(AR19+AS19+AT19+AW17+AX17+AY17+AZ16+BA16+BB16+BC15+BD15+BE15+BF14+BG14+BH14+BI13+BJ13+BK13+BL12+BM12+BN12+BO11+BP11+BQ11)*0.132/3,(BR10+BS10)*0.132/2,(BT9+BT8+BU7+BU6+BV5+BV4)*0.132,17)</f>
        <v>16.353538461538463</v>
      </c>
      <c r="U888" s="117"/>
      <c r="V888" s="129"/>
      <c r="W888" s="114"/>
    </row>
    <row r="889" spans="2:23">
      <c r="B889" s="114">
        <v>34</v>
      </c>
      <c r="C889" s="74">
        <f t="shared" si="469"/>
        <v>32.25</v>
      </c>
      <c r="D889" s="74">
        <f t="shared" si="470"/>
        <v>30.5</v>
      </c>
      <c r="E889" s="74">
        <f t="shared" si="471"/>
        <v>28.75</v>
      </c>
      <c r="F889" s="114">
        <v>27</v>
      </c>
      <c r="G889" s="74">
        <f t="shared" si="472"/>
        <v>25.25</v>
      </c>
      <c r="H889" s="74">
        <f t="shared" si="473"/>
        <v>23.5</v>
      </c>
      <c r="I889" s="74">
        <f t="shared" si="474"/>
        <v>21.75</v>
      </c>
      <c r="J889" s="114">
        <f t="shared" si="475"/>
        <v>20</v>
      </c>
      <c r="K889" s="74">
        <f t="shared" si="501"/>
        <v>18.6875</v>
      </c>
      <c r="L889" s="114">
        <f t="shared" si="494"/>
        <v>17.375</v>
      </c>
      <c r="M889" s="115">
        <f t="shared" si="502"/>
        <v>17.312750000000001</v>
      </c>
      <c r="N889" s="115">
        <f t="shared" si="503"/>
        <v>17.250125000000001</v>
      </c>
      <c r="O889" s="74">
        <f t="shared" si="504"/>
        <v>17.1875</v>
      </c>
      <c r="P889" s="74">
        <f t="shared" si="505"/>
        <v>17.125250000000001</v>
      </c>
      <c r="Q889" s="74">
        <f t="shared" si="506"/>
        <v>17.062999999999999</v>
      </c>
      <c r="R889" s="114">
        <v>17</v>
      </c>
      <c r="S889" s="129"/>
      <c r="T889" s="117">
        <f>SUM((AN20+AO20+AP20+AQ19+AR19+AS19+AT18+AU18+AV18+AW17+AX17+AY17+AZ16+BA16+BB16+BG14+BH14+BI14+BN12+BO12+BP12+BQ11+BR11+BS11)*0.132/3,(BC15+BD15+BE15+BF15+BJ13+BK13+BL13+BM13)*0.132/4,(BT10+BU10)*0.132/2,(BU9+BU8+BU7+BV6+BV5+BV4)*0.132,17)</f>
        <v>16.122538461538461</v>
      </c>
      <c r="U889" s="117"/>
      <c r="V889" s="129"/>
      <c r="W889" s="114"/>
    </row>
    <row r="890" spans="2:23">
      <c r="B890" s="114">
        <v>35</v>
      </c>
      <c r="C890" s="74">
        <f t="shared" si="469"/>
        <v>33</v>
      </c>
      <c r="D890" s="74">
        <f t="shared" si="470"/>
        <v>31</v>
      </c>
      <c r="E890" s="74">
        <f t="shared" si="471"/>
        <v>29</v>
      </c>
      <c r="F890" s="114">
        <v>27</v>
      </c>
      <c r="G890" s="74">
        <f t="shared" si="472"/>
        <v>25</v>
      </c>
      <c r="H890" s="74">
        <f t="shared" si="473"/>
        <v>23</v>
      </c>
      <c r="I890" s="74">
        <f t="shared" si="474"/>
        <v>21</v>
      </c>
      <c r="J890" s="114">
        <f t="shared" si="475"/>
        <v>19</v>
      </c>
      <c r="K890" s="74">
        <f t="shared" si="501"/>
        <v>17.5</v>
      </c>
      <c r="L890" s="114">
        <f t="shared" si="494"/>
        <v>16</v>
      </c>
      <c r="M890" s="115">
        <f t="shared" si="502"/>
        <v>16.166</v>
      </c>
      <c r="N890" s="115">
        <f t="shared" si="503"/>
        <v>16.332999999999998</v>
      </c>
      <c r="O890" s="74">
        <f t="shared" si="504"/>
        <v>16.5</v>
      </c>
      <c r="P890" s="74">
        <f t="shared" si="505"/>
        <v>16.666</v>
      </c>
      <c r="Q890" s="74">
        <f t="shared" si="506"/>
        <v>16.832000000000001</v>
      </c>
      <c r="R890" s="114">
        <v>17</v>
      </c>
      <c r="S890" s="129"/>
      <c r="T890" s="117">
        <f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15.715538461538461</v>
      </c>
      <c r="U890" s="117"/>
      <c r="V890" s="129"/>
      <c r="W890" s="114"/>
    </row>
    <row r="891" spans="2:23">
      <c r="B891" s="114">
        <v>36</v>
      </c>
      <c r="C891" s="74">
        <f t="shared" si="469"/>
        <v>33.75</v>
      </c>
      <c r="D891" s="74">
        <f t="shared" si="470"/>
        <v>31.5</v>
      </c>
      <c r="E891" s="74">
        <f t="shared" si="471"/>
        <v>29.25</v>
      </c>
      <c r="F891" s="114">
        <v>27</v>
      </c>
      <c r="G891" s="74">
        <f t="shared" si="472"/>
        <v>24.75</v>
      </c>
      <c r="H891" s="74">
        <f t="shared" si="473"/>
        <v>22.5</v>
      </c>
      <c r="I891" s="74">
        <f t="shared" si="474"/>
        <v>20.25</v>
      </c>
      <c r="J891" s="114">
        <f t="shared" si="475"/>
        <v>18</v>
      </c>
      <c r="K891" s="74">
        <f t="shared" si="501"/>
        <v>16.3125</v>
      </c>
      <c r="L891" s="114">
        <f t="shared" si="494"/>
        <v>14.625</v>
      </c>
      <c r="M891" s="115">
        <f t="shared" si="502"/>
        <v>15.01925</v>
      </c>
      <c r="N891" s="115">
        <f t="shared" si="503"/>
        <v>15.415875</v>
      </c>
      <c r="O891" s="74">
        <f t="shared" si="504"/>
        <v>15.8125</v>
      </c>
      <c r="P891" s="74">
        <f t="shared" si="505"/>
        <v>16.20675</v>
      </c>
      <c r="Q891" s="74">
        <f t="shared" si="506"/>
        <v>16.600999999999999</v>
      </c>
      <c r="R891" s="114">
        <v>17</v>
      </c>
      <c r="S891" s="129"/>
      <c r="T891" s="117">
        <f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15.906938461538461</v>
      </c>
      <c r="U891" s="117"/>
      <c r="V891" s="129"/>
      <c r="W891" s="114"/>
    </row>
    <row r="892" spans="2:23">
      <c r="B892" s="114">
        <v>37</v>
      </c>
      <c r="C892" s="74">
        <f t="shared" ref="C892:C928" si="507">SUM(0.25*(F892-B892),B892)</f>
        <v>34.5</v>
      </c>
      <c r="D892" s="74">
        <f t="shared" ref="D892:D928" si="508">SUM(0.5*(F892-B892)+B892)</f>
        <v>32</v>
      </c>
      <c r="E892" s="74">
        <f t="shared" ref="E892:E928" si="509">SUM(0.75*(F892-B892),B892)</f>
        <v>29.5</v>
      </c>
      <c r="F892" s="114">
        <v>27</v>
      </c>
      <c r="G892" s="74">
        <f t="shared" ref="G892:G928" si="510">SUM(0.25*(J892-F892),F892)</f>
        <v>24.5</v>
      </c>
      <c r="H892" s="74">
        <f t="shared" ref="H892:H928" si="511">SUM(0.5*(J892-F892),F892)</f>
        <v>22</v>
      </c>
      <c r="I892" s="74">
        <f t="shared" ref="I892:I928" si="512">SUM(0.75*(J892-F892),F892)</f>
        <v>19.5</v>
      </c>
      <c r="J892" s="114">
        <f t="shared" ref="J892:J928" si="513">SUM(F892,-B892,F892)</f>
        <v>17</v>
      </c>
      <c r="K892" s="74">
        <f t="shared" si="501"/>
        <v>15.125</v>
      </c>
      <c r="L892" s="114">
        <f t="shared" si="494"/>
        <v>13.25</v>
      </c>
      <c r="M892" s="115">
        <f t="shared" si="502"/>
        <v>13.8725</v>
      </c>
      <c r="N892" s="115">
        <f t="shared" si="503"/>
        <v>14.498749999999999</v>
      </c>
      <c r="O892" s="74">
        <f t="shared" si="504"/>
        <v>15.125</v>
      </c>
      <c r="P892" s="74">
        <f t="shared" si="505"/>
        <v>15.7475</v>
      </c>
      <c r="Q892" s="74">
        <f t="shared" si="506"/>
        <v>16.37</v>
      </c>
      <c r="R892" s="114">
        <v>17</v>
      </c>
      <c r="S892" s="129"/>
      <c r="T892" s="117">
        <f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15.730938461538463</v>
      </c>
      <c r="U892" s="117"/>
      <c r="V892" s="129"/>
      <c r="W892" s="114"/>
    </row>
    <row r="893" spans="2:23">
      <c r="B893" s="114">
        <v>38</v>
      </c>
      <c r="C893" s="74">
        <f t="shared" si="507"/>
        <v>35.25</v>
      </c>
      <c r="D893" s="74">
        <f t="shared" si="508"/>
        <v>32.5</v>
      </c>
      <c r="E893" s="74">
        <f t="shared" si="509"/>
        <v>29.75</v>
      </c>
      <c r="F893" s="114">
        <v>27</v>
      </c>
      <c r="G893" s="74">
        <f t="shared" si="510"/>
        <v>24.25</v>
      </c>
      <c r="H893" s="74">
        <f t="shared" si="511"/>
        <v>21.5</v>
      </c>
      <c r="I893" s="74">
        <f t="shared" si="512"/>
        <v>18.75</v>
      </c>
      <c r="J893" s="114">
        <f t="shared" si="513"/>
        <v>16</v>
      </c>
      <c r="K893" s="74">
        <f t="shared" si="501"/>
        <v>13.9375</v>
      </c>
      <c r="L893" s="114">
        <f t="shared" si="494"/>
        <v>11.875</v>
      </c>
      <c r="M893" s="115">
        <f t="shared" si="502"/>
        <v>12.72575</v>
      </c>
      <c r="N893" s="115">
        <f t="shared" si="503"/>
        <v>13.581625000000001</v>
      </c>
      <c r="O893" s="74">
        <f t="shared" si="504"/>
        <v>14.4375</v>
      </c>
      <c r="P893" s="74">
        <f t="shared" si="505"/>
        <v>15.28825</v>
      </c>
      <c r="Q893" s="74">
        <f t="shared" si="506"/>
        <v>16.138999999999999</v>
      </c>
      <c r="R893" s="114">
        <v>17</v>
      </c>
      <c r="S893" s="129"/>
      <c r="T893" s="117">
        <f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15.873938461538462</v>
      </c>
      <c r="U893" s="117"/>
      <c r="V893" s="129"/>
      <c r="W893" s="114"/>
    </row>
    <row r="894" spans="2:23">
      <c r="B894" s="114">
        <v>39</v>
      </c>
      <c r="C894" s="74">
        <f t="shared" si="507"/>
        <v>36</v>
      </c>
      <c r="D894" s="74">
        <f t="shared" si="508"/>
        <v>33</v>
      </c>
      <c r="E894" s="74">
        <f t="shared" si="509"/>
        <v>30</v>
      </c>
      <c r="F894" s="114">
        <v>27</v>
      </c>
      <c r="G894" s="74">
        <f t="shared" si="510"/>
        <v>24</v>
      </c>
      <c r="H894" s="74">
        <f t="shared" si="511"/>
        <v>21</v>
      </c>
      <c r="I894" s="74">
        <f t="shared" si="512"/>
        <v>18</v>
      </c>
      <c r="J894" s="114">
        <f t="shared" si="513"/>
        <v>15</v>
      </c>
      <c r="K894" s="74">
        <f t="shared" si="501"/>
        <v>12.75</v>
      </c>
      <c r="L894" s="114">
        <f t="shared" si="494"/>
        <v>10.5</v>
      </c>
      <c r="M894" s="115">
        <f t="shared" si="502"/>
        <v>11.579000000000001</v>
      </c>
      <c r="N894" s="115">
        <f t="shared" si="503"/>
        <v>12.6645</v>
      </c>
      <c r="O894" s="74">
        <f t="shared" si="504"/>
        <v>13.75</v>
      </c>
      <c r="P894" s="74">
        <f t="shared" si="505"/>
        <v>14.829000000000001</v>
      </c>
      <c r="Q894" s="74">
        <f t="shared" si="506"/>
        <v>15.907999999999999</v>
      </c>
      <c r="R894" s="114">
        <v>17</v>
      </c>
      <c r="S894" s="129"/>
      <c r="T894" s="117">
        <f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15.781538461538462</v>
      </c>
      <c r="U894" s="117"/>
      <c r="V894" s="129"/>
      <c r="W894" s="114"/>
    </row>
    <row r="895" spans="2:23">
      <c r="B895" s="114"/>
      <c r="C895" s="74"/>
      <c r="D895" s="74"/>
      <c r="E895" s="74"/>
      <c r="F895" s="114"/>
      <c r="G895" s="74"/>
      <c r="H895" s="74"/>
      <c r="I895" s="74"/>
      <c r="J895" s="114"/>
      <c r="K895" s="74"/>
      <c r="L895" s="114"/>
      <c r="M895" s="115"/>
      <c r="N895" s="115"/>
      <c r="O895" s="74"/>
      <c r="P895" s="74"/>
      <c r="Q895" s="74"/>
      <c r="R895" s="114"/>
      <c r="S895" s="129"/>
      <c r="T895" s="117"/>
      <c r="U895" s="117"/>
      <c r="V895" s="129"/>
      <c r="W895" s="114"/>
    </row>
    <row r="896" spans="2:23">
      <c r="B896" s="114">
        <v>32</v>
      </c>
      <c r="C896" s="74">
        <f t="shared" si="507"/>
        <v>31</v>
      </c>
      <c r="D896" s="74">
        <f t="shared" si="508"/>
        <v>30</v>
      </c>
      <c r="E896" s="74">
        <f t="shared" si="509"/>
        <v>29</v>
      </c>
      <c r="F896" s="114">
        <v>28</v>
      </c>
      <c r="G896" s="74">
        <f t="shared" si="510"/>
        <v>27</v>
      </c>
      <c r="H896" s="74">
        <f t="shared" si="511"/>
        <v>26</v>
      </c>
      <c r="I896" s="74">
        <f t="shared" si="512"/>
        <v>25</v>
      </c>
      <c r="J896" s="114">
        <f t="shared" si="513"/>
        <v>24</v>
      </c>
      <c r="K896" s="74">
        <f t="shared" ref="K896:K903" si="514">SUM(0.5*(L896-J896),J896)</f>
        <v>23.25</v>
      </c>
      <c r="L896" s="114">
        <f t="shared" si="494"/>
        <v>22.5</v>
      </c>
      <c r="M896" s="115">
        <f t="shared" ref="M896:M903" si="515">SUM(0.166*(R896-L896),L896)</f>
        <v>21.587</v>
      </c>
      <c r="N896" s="115">
        <f t="shared" ref="N896:N903" si="516">SUM(0.333*(R896-L896),L896)</f>
        <v>20.668500000000002</v>
      </c>
      <c r="O896" s="74">
        <f t="shared" ref="O896:O903" si="517">SUM(0.5*(R896-L896),L896)</f>
        <v>19.75</v>
      </c>
      <c r="P896" s="74">
        <f t="shared" ref="P896:P903" si="518">SUM(0.666*(R896-L896),L896)</f>
        <v>18.837</v>
      </c>
      <c r="Q896" s="74">
        <f t="shared" ref="Q896:Q903" si="519">SUM(0.832*(R896-L896),L896)</f>
        <v>17.923999999999999</v>
      </c>
      <c r="R896" s="114">
        <v>17</v>
      </c>
      <c r="S896" s="129"/>
      <c r="T896" s="117">
        <f>SUM((AS19+AT19+AU18+AV18+AW17+AX17+AY16+AZ16+BA15+BB15+BC14+BD14+BE13+BF13+BG12+BH12+BI11+BJ11+BM8+BN8+BO7+BP7+BQ6+BR6+BS5+BT5+BU4+BV4)*0.132/2,(AR20+BK10+BL9)*0.132,17)</f>
        <v>16.331538461538461</v>
      </c>
      <c r="U896" s="117"/>
      <c r="V896" s="129"/>
      <c r="W896" s="114"/>
    </row>
    <row r="897" spans="2:23">
      <c r="B897" s="114">
        <v>33</v>
      </c>
      <c r="C897" s="74">
        <f t="shared" si="507"/>
        <v>31.75</v>
      </c>
      <c r="D897" s="74">
        <f t="shared" si="508"/>
        <v>30.5</v>
      </c>
      <c r="E897" s="74">
        <f t="shared" si="509"/>
        <v>29.25</v>
      </c>
      <c r="F897" s="114">
        <v>28</v>
      </c>
      <c r="G897" s="74">
        <f t="shared" si="510"/>
        <v>26.75</v>
      </c>
      <c r="H897" s="74">
        <f t="shared" si="511"/>
        <v>25.5</v>
      </c>
      <c r="I897" s="74">
        <f t="shared" si="512"/>
        <v>24.25</v>
      </c>
      <c r="J897" s="114">
        <f t="shared" si="513"/>
        <v>23</v>
      </c>
      <c r="K897" s="74">
        <f t="shared" si="514"/>
        <v>22.0625</v>
      </c>
      <c r="L897" s="114">
        <f t="shared" si="494"/>
        <v>21.125</v>
      </c>
      <c r="M897" s="115">
        <f t="shared" si="515"/>
        <v>20.440249999999999</v>
      </c>
      <c r="N897" s="115">
        <f t="shared" si="516"/>
        <v>19.751374999999999</v>
      </c>
      <c r="O897" s="74">
        <f t="shared" si="517"/>
        <v>19.0625</v>
      </c>
      <c r="P897" s="74">
        <f t="shared" si="518"/>
        <v>18.377749999999999</v>
      </c>
      <c r="Q897" s="74">
        <f t="shared" si="519"/>
        <v>17.693000000000001</v>
      </c>
      <c r="R897" s="114">
        <v>17</v>
      </c>
      <c r="S897" s="129"/>
      <c r="T897" s="117">
        <f>SUM((AP20+AQ20+AR19+AS19+AW17+AX17+AY16+AZ16+BD14+BE14+BI12+BJ12+BK11+BL11+BM10+BN10+BS5+BT5+BU4+BV4)*0.132/2,(AT18+AU18+AV18+BA15+BB15+BC15+BF13+BG13+BH13)*0.132/3,(BO9+BP8+BQ7+BR6)*0.132,17)</f>
        <v>15.957538461538462</v>
      </c>
      <c r="U897" s="117"/>
      <c r="V897" s="129"/>
      <c r="W897" s="114"/>
    </row>
    <row r="898" spans="2:23">
      <c r="B898" s="114">
        <v>34</v>
      </c>
      <c r="C898" s="74">
        <f t="shared" si="507"/>
        <v>32.5</v>
      </c>
      <c r="D898" s="74">
        <f t="shared" si="508"/>
        <v>31</v>
      </c>
      <c r="E898" s="74">
        <f t="shared" si="509"/>
        <v>29.5</v>
      </c>
      <c r="F898" s="114">
        <v>28</v>
      </c>
      <c r="G898" s="74">
        <f t="shared" si="510"/>
        <v>26.5</v>
      </c>
      <c r="H898" s="74">
        <f t="shared" si="511"/>
        <v>25</v>
      </c>
      <c r="I898" s="74">
        <f t="shared" si="512"/>
        <v>23.5</v>
      </c>
      <c r="J898" s="114">
        <f t="shared" si="513"/>
        <v>22</v>
      </c>
      <c r="K898" s="74">
        <f t="shared" si="514"/>
        <v>20.875</v>
      </c>
      <c r="L898" s="114">
        <f t="shared" si="494"/>
        <v>19.75</v>
      </c>
      <c r="M898" s="115">
        <f t="shared" si="515"/>
        <v>19.293500000000002</v>
      </c>
      <c r="N898" s="115">
        <f t="shared" si="516"/>
        <v>18.834250000000001</v>
      </c>
      <c r="O898" s="74">
        <f t="shared" si="517"/>
        <v>18.375</v>
      </c>
      <c r="P898" s="74">
        <f t="shared" si="518"/>
        <v>17.918500000000002</v>
      </c>
      <c r="Q898" s="74">
        <f t="shared" si="519"/>
        <v>17.462</v>
      </c>
      <c r="R898" s="114">
        <v>17</v>
      </c>
      <c r="S898" s="129"/>
      <c r="T898" s="117">
        <f>SUM((AN20+AO20+AS18+AT18)*0.132/2,(AP19+AQ19+AR19+AU17+AV17+AW17+AX16+AY16+AZ16+BA15+BB15+BC15+BD14+BE14+BF14+BG13+BH13+BI13+BJ12+BK12+BL12+BM11+BN11+BO11)*0.132/3,(BP10+BQ10)*0.132/2,(BR9+BR8+BS7+BT6+BU5+BV4)*0.132,17)</f>
        <v>15.781538461538464</v>
      </c>
      <c r="U898" s="117"/>
      <c r="V898" s="129"/>
      <c r="W898" s="114"/>
    </row>
    <row r="899" spans="2:23">
      <c r="B899" s="114">
        <v>35</v>
      </c>
      <c r="C899" s="74">
        <f t="shared" si="507"/>
        <v>33.25</v>
      </c>
      <c r="D899" s="74">
        <f t="shared" si="508"/>
        <v>31.5</v>
      </c>
      <c r="E899" s="74">
        <f t="shared" si="509"/>
        <v>29.75</v>
      </c>
      <c r="F899" s="114">
        <v>28</v>
      </c>
      <c r="G899" s="74">
        <f t="shared" si="510"/>
        <v>26.25</v>
      </c>
      <c r="H899" s="74">
        <f t="shared" si="511"/>
        <v>24.5</v>
      </c>
      <c r="I899" s="74">
        <f t="shared" si="512"/>
        <v>22.75</v>
      </c>
      <c r="J899" s="114">
        <f t="shared" si="513"/>
        <v>21</v>
      </c>
      <c r="K899" s="74">
        <f t="shared" si="514"/>
        <v>19.6875</v>
      </c>
      <c r="L899" s="114">
        <f t="shared" si="494"/>
        <v>18.375</v>
      </c>
      <c r="M899" s="115">
        <f t="shared" si="515"/>
        <v>18.146750000000001</v>
      </c>
      <c r="N899" s="115">
        <f t="shared" si="516"/>
        <v>17.917124999999999</v>
      </c>
      <c r="O899" s="74">
        <f t="shared" si="517"/>
        <v>17.6875</v>
      </c>
      <c r="P899" s="74">
        <f t="shared" si="518"/>
        <v>17.459250000000001</v>
      </c>
      <c r="Q899" s="74">
        <f t="shared" si="519"/>
        <v>17.231000000000002</v>
      </c>
      <c r="R899" s="114">
        <v>17</v>
      </c>
      <c r="S899" s="129"/>
      <c r="T899" s="117">
        <f>SUM((AL20+AM20+AN20+AO19+AP19+AQ19+AR18+AS18+AT18+AU17+AV17+AW17+AX16+AY16+AZ16+BE14+BF14+BG14+BL12+BM12+BN12+BO11+BP11+BQ11)*0.132/3,(BA15+BB15+BC15+BD15+BH13+BI13+BJ13+BK13)*0.132/4,(BR10+BS10)*0.132/2,(BT9+BT8+BU7+BU6+BV5+BV4)*0.132,17)</f>
        <v>15.781538461538462</v>
      </c>
      <c r="U899" s="117"/>
      <c r="V899" s="129"/>
      <c r="W899" s="114"/>
    </row>
    <row r="900" spans="2:23">
      <c r="B900" s="114">
        <v>36</v>
      </c>
      <c r="C900" s="74">
        <f t="shared" si="507"/>
        <v>34</v>
      </c>
      <c r="D900" s="74">
        <f t="shared" si="508"/>
        <v>32</v>
      </c>
      <c r="E900" s="74">
        <f t="shared" si="509"/>
        <v>30</v>
      </c>
      <c r="F900" s="114">
        <v>28</v>
      </c>
      <c r="G900" s="74">
        <f t="shared" si="510"/>
        <v>26</v>
      </c>
      <c r="H900" s="74">
        <f t="shared" si="511"/>
        <v>24</v>
      </c>
      <c r="I900" s="74">
        <f t="shared" si="512"/>
        <v>22</v>
      </c>
      <c r="J900" s="114">
        <f t="shared" si="513"/>
        <v>20</v>
      </c>
      <c r="K900" s="74">
        <f t="shared" si="514"/>
        <v>18.5</v>
      </c>
      <c r="L900" s="114">
        <f t="shared" si="494"/>
        <v>17</v>
      </c>
      <c r="M900" s="115">
        <f t="shared" si="515"/>
        <v>17</v>
      </c>
      <c r="N900" s="115">
        <f t="shared" si="516"/>
        <v>17</v>
      </c>
      <c r="O900" s="74">
        <f t="shared" si="517"/>
        <v>17</v>
      </c>
      <c r="P900" s="74">
        <f t="shared" si="518"/>
        <v>17</v>
      </c>
      <c r="Q900" s="74">
        <f t="shared" si="519"/>
        <v>17</v>
      </c>
      <c r="R900" s="114">
        <v>17</v>
      </c>
      <c r="S900" s="129"/>
      <c r="T900" s="117">
        <f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15.583538461538462</v>
      </c>
      <c r="U900" s="117"/>
      <c r="V900" s="129"/>
      <c r="W900" s="114"/>
    </row>
    <row r="901" spans="2:23">
      <c r="B901" s="114">
        <v>37</v>
      </c>
      <c r="C901" s="74">
        <f t="shared" si="507"/>
        <v>34.75</v>
      </c>
      <c r="D901" s="74">
        <f t="shared" si="508"/>
        <v>32.5</v>
      </c>
      <c r="E901" s="74">
        <f t="shared" si="509"/>
        <v>30.25</v>
      </c>
      <c r="F901" s="114">
        <v>28</v>
      </c>
      <c r="G901" s="74">
        <f t="shared" si="510"/>
        <v>25.75</v>
      </c>
      <c r="H901" s="74">
        <f t="shared" si="511"/>
        <v>23.5</v>
      </c>
      <c r="I901" s="74">
        <f t="shared" si="512"/>
        <v>21.25</v>
      </c>
      <c r="J901" s="114">
        <f t="shared" si="513"/>
        <v>19</v>
      </c>
      <c r="K901" s="74">
        <f t="shared" si="514"/>
        <v>17.3125</v>
      </c>
      <c r="L901" s="114">
        <f t="shared" si="494"/>
        <v>15.625</v>
      </c>
      <c r="M901" s="115">
        <f t="shared" si="515"/>
        <v>15.853249999999999</v>
      </c>
      <c r="N901" s="115">
        <f t="shared" si="516"/>
        <v>16.082875000000001</v>
      </c>
      <c r="O901" s="74">
        <f t="shared" si="517"/>
        <v>16.3125</v>
      </c>
      <c r="P901" s="74">
        <f t="shared" si="518"/>
        <v>16.540749999999999</v>
      </c>
      <c r="Q901" s="74">
        <f t="shared" si="519"/>
        <v>16.768999999999998</v>
      </c>
      <c r="R901" s="114">
        <v>17</v>
      </c>
      <c r="S901" s="129"/>
      <c r="T901" s="117">
        <f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15.167738461538461</v>
      </c>
      <c r="U901" s="117"/>
      <c r="V901" s="129"/>
      <c r="W901" s="114"/>
    </row>
    <row r="902" spans="2:23">
      <c r="B902" s="114">
        <v>38</v>
      </c>
      <c r="C902" s="74">
        <f t="shared" si="507"/>
        <v>35.5</v>
      </c>
      <c r="D902" s="74">
        <f t="shared" si="508"/>
        <v>33</v>
      </c>
      <c r="E902" s="74">
        <f t="shared" si="509"/>
        <v>30.5</v>
      </c>
      <c r="F902" s="114">
        <v>28</v>
      </c>
      <c r="G902" s="74">
        <f t="shared" si="510"/>
        <v>25.5</v>
      </c>
      <c r="H902" s="74">
        <f t="shared" si="511"/>
        <v>23</v>
      </c>
      <c r="I902" s="74">
        <f t="shared" si="512"/>
        <v>20.5</v>
      </c>
      <c r="J902" s="114">
        <f t="shared" si="513"/>
        <v>18</v>
      </c>
      <c r="K902" s="74">
        <f t="shared" si="514"/>
        <v>16.125</v>
      </c>
      <c r="L902" s="114">
        <f t="shared" si="494"/>
        <v>14.25</v>
      </c>
      <c r="M902" s="115">
        <f t="shared" si="515"/>
        <v>14.7065</v>
      </c>
      <c r="N902" s="115">
        <f t="shared" si="516"/>
        <v>15.165749999999999</v>
      </c>
      <c r="O902" s="74">
        <f t="shared" si="517"/>
        <v>15.625</v>
      </c>
      <c r="P902" s="74">
        <f t="shared" si="518"/>
        <v>16.081499999999998</v>
      </c>
      <c r="Q902" s="74">
        <f t="shared" si="519"/>
        <v>16.538</v>
      </c>
      <c r="R902" s="114">
        <v>17</v>
      </c>
      <c r="S902" s="129"/>
      <c r="T902" s="117">
        <f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15.473538461538462</v>
      </c>
      <c r="U902" s="117"/>
      <c r="V902" s="129"/>
      <c r="W902" s="114"/>
    </row>
    <row r="903" spans="2:23">
      <c r="B903" s="114">
        <v>39</v>
      </c>
      <c r="C903" s="74">
        <f t="shared" si="507"/>
        <v>36.25</v>
      </c>
      <c r="D903" s="74">
        <f t="shared" si="508"/>
        <v>33.5</v>
      </c>
      <c r="E903" s="74">
        <f t="shared" si="509"/>
        <v>30.75</v>
      </c>
      <c r="F903" s="114">
        <v>28</v>
      </c>
      <c r="G903" s="74">
        <f t="shared" si="510"/>
        <v>25.25</v>
      </c>
      <c r="H903" s="74">
        <f t="shared" si="511"/>
        <v>22.5</v>
      </c>
      <c r="I903" s="74">
        <f t="shared" si="512"/>
        <v>19.75</v>
      </c>
      <c r="J903" s="114">
        <f t="shared" si="513"/>
        <v>17</v>
      </c>
      <c r="K903" s="74">
        <f t="shared" si="514"/>
        <v>14.9375</v>
      </c>
      <c r="L903" s="114">
        <f t="shared" si="494"/>
        <v>12.875</v>
      </c>
      <c r="M903" s="115">
        <f t="shared" si="515"/>
        <v>13.559749999999999</v>
      </c>
      <c r="N903" s="115">
        <f t="shared" si="516"/>
        <v>14.248625000000001</v>
      </c>
      <c r="O903" s="74">
        <f t="shared" si="517"/>
        <v>14.9375</v>
      </c>
      <c r="P903" s="74">
        <f t="shared" si="518"/>
        <v>15.622250000000001</v>
      </c>
      <c r="Q903" s="74">
        <f t="shared" si="519"/>
        <v>16.306999999999999</v>
      </c>
      <c r="R903" s="114">
        <v>17</v>
      </c>
      <c r="S903" s="129"/>
      <c r="T903" s="117">
        <f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15.482338461538461</v>
      </c>
      <c r="U903" s="117"/>
      <c r="V903" s="129"/>
      <c r="W903" s="114"/>
    </row>
    <row r="904" spans="2:23">
      <c r="B904" s="114"/>
      <c r="C904" s="74"/>
      <c r="D904" s="74"/>
      <c r="E904" s="74"/>
      <c r="F904" s="114"/>
      <c r="G904" s="74"/>
      <c r="H904" s="74"/>
      <c r="I904" s="74"/>
      <c r="J904" s="114"/>
      <c r="K904" s="74"/>
      <c r="L904" s="114"/>
      <c r="M904" s="115"/>
      <c r="N904" s="115"/>
      <c r="O904" s="74"/>
      <c r="P904" s="74"/>
      <c r="Q904" s="74"/>
      <c r="R904" s="114"/>
      <c r="S904" s="129"/>
      <c r="T904" s="117"/>
      <c r="U904" s="117"/>
      <c r="V904" s="129"/>
      <c r="W904" s="114"/>
    </row>
    <row r="905" spans="2:23">
      <c r="B905" s="114">
        <v>33</v>
      </c>
      <c r="C905" s="74">
        <f t="shared" si="507"/>
        <v>32</v>
      </c>
      <c r="D905" s="74">
        <f t="shared" si="508"/>
        <v>31</v>
      </c>
      <c r="E905" s="74">
        <f t="shared" si="509"/>
        <v>30</v>
      </c>
      <c r="F905" s="114">
        <v>29</v>
      </c>
      <c r="G905" s="74">
        <f t="shared" si="510"/>
        <v>28</v>
      </c>
      <c r="H905" s="74">
        <f t="shared" si="511"/>
        <v>27</v>
      </c>
      <c r="I905" s="74">
        <f t="shared" si="512"/>
        <v>26</v>
      </c>
      <c r="J905" s="114">
        <f t="shared" si="513"/>
        <v>25</v>
      </c>
      <c r="K905" s="74">
        <f t="shared" ref="K905:K911" si="520">SUM(0.5*(L905-J905),J905)</f>
        <v>24</v>
      </c>
      <c r="L905" s="114">
        <f>SUM(J905,J905,-H905)</f>
        <v>23</v>
      </c>
      <c r="M905" s="115">
        <f t="shared" ref="M905:M911" si="521">SUM(0.166*(R905-L905),L905)</f>
        <v>22.004000000000001</v>
      </c>
      <c r="N905" s="115">
        <f t="shared" ref="N905:N911" si="522">SUM(0.333*(R905-L905),L905)</f>
        <v>21.001999999999999</v>
      </c>
      <c r="O905" s="74">
        <f t="shared" ref="O905:O911" si="523">SUM(0.5*(R905-L905),L905)</f>
        <v>20</v>
      </c>
      <c r="P905" s="74">
        <f t="shared" ref="P905:P911" si="524">SUM(0.666*(R905-L905),L905)</f>
        <v>19.003999999999998</v>
      </c>
      <c r="Q905" s="74">
        <f t="shared" ref="Q905:Q911" si="525">SUM(0.832*(R905-L905),L905)</f>
        <v>18.007999999999999</v>
      </c>
      <c r="R905" s="114">
        <v>17</v>
      </c>
      <c r="S905" s="129"/>
      <c r="T905" s="117">
        <f>SUM((AQ19+AR19+AS18+AT18+AU17+AV17+AW16+AX16+AY15+AZ15+BA14+BB14+BC13+BD13+BE12+BF12+BG11+BH11+BI10+BJ10+BK9+BL9+BM8+BN8+BO7+BP7+BQ6+BR6+BS5+BT5+BU4+BV4)*0.132/2,AP20*0.132,17)</f>
        <v>15.605538461538464</v>
      </c>
      <c r="U905" s="117"/>
      <c r="V905" s="129"/>
      <c r="W905" s="114"/>
    </row>
    <row r="906" spans="2:23">
      <c r="B906" s="114">
        <v>34</v>
      </c>
      <c r="C906" s="74">
        <f t="shared" si="507"/>
        <v>32.75</v>
      </c>
      <c r="D906" s="74">
        <f t="shared" si="508"/>
        <v>31.5</v>
      </c>
      <c r="E906" s="74">
        <f t="shared" si="509"/>
        <v>30.25</v>
      </c>
      <c r="F906" s="114">
        <v>29</v>
      </c>
      <c r="G906" s="74">
        <f t="shared" si="510"/>
        <v>27.75</v>
      </c>
      <c r="H906" s="74">
        <f t="shared" si="511"/>
        <v>26.5</v>
      </c>
      <c r="I906" s="74">
        <f t="shared" si="512"/>
        <v>25.25</v>
      </c>
      <c r="J906" s="114">
        <f t="shared" si="513"/>
        <v>24</v>
      </c>
      <c r="K906" s="74">
        <f t="shared" si="520"/>
        <v>23.0625</v>
      </c>
      <c r="L906" s="114">
        <f t="shared" si="494"/>
        <v>22.125</v>
      </c>
      <c r="M906" s="115">
        <f t="shared" si="521"/>
        <v>21.274249999999999</v>
      </c>
      <c r="N906" s="115">
        <f t="shared" si="522"/>
        <v>20.418375000000001</v>
      </c>
      <c r="O906" s="74">
        <f t="shared" si="523"/>
        <v>19.5625</v>
      </c>
      <c r="P906" s="74">
        <f t="shared" si="524"/>
        <v>18.711749999999999</v>
      </c>
      <c r="Q906" s="74">
        <f t="shared" si="525"/>
        <v>17.861000000000001</v>
      </c>
      <c r="R906" s="114">
        <v>17</v>
      </c>
      <c r="S906" s="129"/>
      <c r="T906" s="117">
        <f>SUM((AN20+AO20+AP19+AQ19+AU17+AV17+AW16+AX16)*0.132/2,(AR18+AS18+AT18+AY15+AZ15+BA15+BD13+BE13+BF13)*0.132/3,(BB14+BC14+BG12+BH12+BI11+BJ11+BK10+BL10+BO7+BP7+BQ6+BR6+BS5+BT5+BU4+BV4)*0.132/2,(BM9+BN8)*0.132,17)</f>
        <v>15.561538461538463</v>
      </c>
      <c r="U906" s="117"/>
      <c r="V906" s="129"/>
      <c r="W906" s="114"/>
    </row>
    <row r="907" spans="2:23">
      <c r="B907" s="114">
        <v>35</v>
      </c>
      <c r="C907" s="74">
        <f t="shared" si="507"/>
        <v>33.5</v>
      </c>
      <c r="D907" s="74">
        <f t="shared" si="508"/>
        <v>32</v>
      </c>
      <c r="E907" s="74">
        <f t="shared" si="509"/>
        <v>30.5</v>
      </c>
      <c r="F907" s="114">
        <v>29</v>
      </c>
      <c r="G907" s="74">
        <f t="shared" si="510"/>
        <v>27.5</v>
      </c>
      <c r="H907" s="74">
        <f t="shared" si="511"/>
        <v>26</v>
      </c>
      <c r="I907" s="74">
        <f t="shared" si="512"/>
        <v>24.5</v>
      </c>
      <c r="J907" s="114">
        <f t="shared" si="513"/>
        <v>23</v>
      </c>
      <c r="K907" s="74">
        <f t="shared" si="520"/>
        <v>21.875</v>
      </c>
      <c r="L907" s="114">
        <f t="shared" si="494"/>
        <v>20.75</v>
      </c>
      <c r="M907" s="115">
        <f t="shared" si="521"/>
        <v>20.127500000000001</v>
      </c>
      <c r="N907" s="115">
        <f t="shared" si="522"/>
        <v>19.501249999999999</v>
      </c>
      <c r="O907" s="74">
        <f t="shared" si="523"/>
        <v>18.875</v>
      </c>
      <c r="P907" s="74">
        <f t="shared" si="524"/>
        <v>18.252500000000001</v>
      </c>
      <c r="Q907" s="74">
        <f t="shared" si="525"/>
        <v>17.63</v>
      </c>
      <c r="R907" s="114">
        <v>17</v>
      </c>
      <c r="S907" s="129"/>
      <c r="T907" s="117">
        <f>SUM((AL20+AM20+AQ18+AR18)*0.132/2,(AN19+AO19+AP19+AS17+AT17+AU17+AV16+AW16+AX16+AY15+AZ15+BA15+BB14+BC14+BD14+BE13+BF13+BG13+BH12+BI12+BJ12+BK11+BL11+BM11)*0.132/3,(BN10+BO10+BU4+BV4)*0.132/2,(BP9+BQ8+BR7+BS6+BT5)*0.132,17)</f>
        <v>15.605538461538462</v>
      </c>
      <c r="U907" s="117"/>
      <c r="V907" s="129"/>
      <c r="W907" s="114"/>
    </row>
    <row r="908" spans="2:23">
      <c r="B908" s="114">
        <v>36</v>
      </c>
      <c r="C908" s="74">
        <f t="shared" si="507"/>
        <v>34.25</v>
      </c>
      <c r="D908" s="74">
        <f t="shared" si="508"/>
        <v>32.5</v>
      </c>
      <c r="E908" s="74">
        <f t="shared" si="509"/>
        <v>30.75</v>
      </c>
      <c r="F908" s="114">
        <v>29</v>
      </c>
      <c r="G908" s="74">
        <f t="shared" si="510"/>
        <v>27.25</v>
      </c>
      <c r="H908" s="74">
        <f t="shared" si="511"/>
        <v>25.5</v>
      </c>
      <c r="I908" s="74">
        <f t="shared" si="512"/>
        <v>23.75</v>
      </c>
      <c r="J908" s="114">
        <f t="shared" si="513"/>
        <v>22</v>
      </c>
      <c r="K908" s="74">
        <f t="shared" si="520"/>
        <v>20.6875</v>
      </c>
      <c r="L908" s="114">
        <f t="shared" si="494"/>
        <v>19.375</v>
      </c>
      <c r="M908" s="115">
        <f t="shared" si="521"/>
        <v>18.98075</v>
      </c>
      <c r="N908" s="115">
        <f t="shared" si="522"/>
        <v>18.584125</v>
      </c>
      <c r="O908" s="74">
        <f t="shared" si="523"/>
        <v>18.1875</v>
      </c>
      <c r="P908" s="74">
        <f t="shared" si="524"/>
        <v>17.79325</v>
      </c>
      <c r="Q908" s="74">
        <f t="shared" si="525"/>
        <v>17.399000000000001</v>
      </c>
      <c r="R908" s="114">
        <v>17</v>
      </c>
      <c r="S908" s="129"/>
      <c r="T908" s="117">
        <f>SUM((AJ20+AK20+AL20+AM19+AN19+AO19+AP18+AQ18+AR18+AS17+AT17+AU17+AV16+AW16+AX16+BC14+BD14+BE14+BJ12+BK12+BL12+BM11+BN11+BO11)*0.132/3,(AY15+AZ15+BA15+BB15+BF13+BG13+BH13+BI13)*0.132/4,(BP10+BQ10)*0.132/2,(BR9+BR8+BS7+BT6+BU5+BV4)*0.132,17)</f>
        <v>15.385538461538461</v>
      </c>
      <c r="U908" s="117"/>
      <c r="V908" s="129"/>
      <c r="W908" s="114"/>
    </row>
    <row r="909" spans="2:23">
      <c r="B909" s="114">
        <v>37</v>
      </c>
      <c r="C909" s="74">
        <f t="shared" si="507"/>
        <v>35</v>
      </c>
      <c r="D909" s="74">
        <f t="shared" si="508"/>
        <v>33</v>
      </c>
      <c r="E909" s="74">
        <f t="shared" si="509"/>
        <v>31</v>
      </c>
      <c r="F909" s="114">
        <v>29</v>
      </c>
      <c r="G909" s="74">
        <f t="shared" si="510"/>
        <v>27</v>
      </c>
      <c r="H909" s="74">
        <f t="shared" si="511"/>
        <v>25</v>
      </c>
      <c r="I909" s="74">
        <f t="shared" si="512"/>
        <v>23</v>
      </c>
      <c r="J909" s="114">
        <f t="shared" si="513"/>
        <v>21</v>
      </c>
      <c r="K909" s="74">
        <f t="shared" si="520"/>
        <v>19.5</v>
      </c>
      <c r="L909" s="114">
        <f t="shared" si="494"/>
        <v>18</v>
      </c>
      <c r="M909" s="115">
        <f t="shared" si="521"/>
        <v>17.834</v>
      </c>
      <c r="N909" s="115">
        <f t="shared" si="522"/>
        <v>17.667000000000002</v>
      </c>
      <c r="O909" s="74">
        <f t="shared" si="523"/>
        <v>17.5</v>
      </c>
      <c r="P909" s="74">
        <f t="shared" si="524"/>
        <v>17.334</v>
      </c>
      <c r="Q909" s="74">
        <f t="shared" si="525"/>
        <v>17.167999999999999</v>
      </c>
      <c r="R909" s="114">
        <v>17</v>
      </c>
      <c r="S909" s="129"/>
      <c r="T909" s="117">
        <f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15.330538461538461</v>
      </c>
      <c r="U909" s="117"/>
      <c r="V909" s="129"/>
      <c r="W909" s="114"/>
    </row>
    <row r="910" spans="2:23">
      <c r="B910" s="114">
        <v>38</v>
      </c>
      <c r="C910" s="74">
        <f t="shared" si="507"/>
        <v>35.75</v>
      </c>
      <c r="D910" s="74">
        <f t="shared" si="508"/>
        <v>33.5</v>
      </c>
      <c r="E910" s="74">
        <f t="shared" si="509"/>
        <v>31.25</v>
      </c>
      <c r="F910" s="114">
        <v>29</v>
      </c>
      <c r="G910" s="74">
        <f t="shared" si="510"/>
        <v>26.75</v>
      </c>
      <c r="H910" s="74">
        <f t="shared" si="511"/>
        <v>24.5</v>
      </c>
      <c r="I910" s="74">
        <f t="shared" si="512"/>
        <v>22.25</v>
      </c>
      <c r="J910" s="114">
        <f t="shared" si="513"/>
        <v>20</v>
      </c>
      <c r="K910" s="74">
        <f t="shared" si="520"/>
        <v>18.3125</v>
      </c>
      <c r="L910" s="114">
        <f t="shared" si="494"/>
        <v>16.625</v>
      </c>
      <c r="M910" s="115">
        <f t="shared" si="521"/>
        <v>16.687249999999999</v>
      </c>
      <c r="N910" s="115">
        <f t="shared" si="522"/>
        <v>16.749874999999999</v>
      </c>
      <c r="O910" s="74">
        <f t="shared" si="523"/>
        <v>16.8125</v>
      </c>
      <c r="P910" s="74">
        <f t="shared" si="524"/>
        <v>16.874749999999999</v>
      </c>
      <c r="Q910" s="74">
        <f t="shared" si="525"/>
        <v>16.937000000000001</v>
      </c>
      <c r="R910" s="114">
        <v>17</v>
      </c>
      <c r="S910" s="129"/>
      <c r="T910" s="117">
        <f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15.180938461538462</v>
      </c>
      <c r="U910" s="117"/>
      <c r="V910" s="129"/>
      <c r="W910" s="114"/>
    </row>
    <row r="911" spans="2:23">
      <c r="B911" s="114">
        <v>39</v>
      </c>
      <c r="C911" s="74">
        <f t="shared" si="507"/>
        <v>36.5</v>
      </c>
      <c r="D911" s="74">
        <f t="shared" si="508"/>
        <v>34</v>
      </c>
      <c r="E911" s="74">
        <f t="shared" si="509"/>
        <v>31.5</v>
      </c>
      <c r="F911" s="114">
        <v>29</v>
      </c>
      <c r="G911" s="74">
        <f t="shared" si="510"/>
        <v>26.5</v>
      </c>
      <c r="H911" s="74">
        <f t="shared" si="511"/>
        <v>24</v>
      </c>
      <c r="I911" s="74">
        <f t="shared" si="512"/>
        <v>21.5</v>
      </c>
      <c r="J911" s="114">
        <f t="shared" si="513"/>
        <v>19</v>
      </c>
      <c r="K911" s="74">
        <f t="shared" si="520"/>
        <v>17.125</v>
      </c>
      <c r="L911" s="114">
        <f t="shared" si="494"/>
        <v>15.25</v>
      </c>
      <c r="M911" s="115">
        <f t="shared" si="521"/>
        <v>15.5405</v>
      </c>
      <c r="N911" s="115">
        <f t="shared" si="522"/>
        <v>15.832750000000001</v>
      </c>
      <c r="O911" s="74">
        <f t="shared" si="523"/>
        <v>16.125</v>
      </c>
      <c r="P911" s="74">
        <f t="shared" si="524"/>
        <v>16.415500000000002</v>
      </c>
      <c r="Q911" s="74">
        <f t="shared" si="525"/>
        <v>16.706</v>
      </c>
      <c r="R911" s="114">
        <v>17</v>
      </c>
      <c r="S911" s="129"/>
      <c r="T911" s="117">
        <f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15.097338461538461</v>
      </c>
      <c r="U911" s="117"/>
      <c r="V911" s="129"/>
      <c r="W911" s="114"/>
    </row>
    <row r="912" spans="2:23">
      <c r="B912" s="114"/>
      <c r="C912" s="74"/>
      <c r="D912" s="74"/>
      <c r="E912" s="74"/>
      <c r="F912" s="114"/>
      <c r="G912" s="74"/>
      <c r="H912" s="74"/>
      <c r="I912" s="74"/>
      <c r="J912" s="114"/>
      <c r="K912" s="74"/>
      <c r="L912" s="114"/>
      <c r="M912" s="115"/>
      <c r="N912" s="115"/>
      <c r="O912" s="74"/>
      <c r="P912" s="74"/>
      <c r="Q912" s="74"/>
      <c r="R912" s="114"/>
      <c r="S912" s="129"/>
      <c r="T912" s="117"/>
      <c r="U912" s="117"/>
      <c r="V912" s="129"/>
      <c r="W912" s="114"/>
    </row>
    <row r="913" spans="2:23">
      <c r="B913" s="114">
        <v>35</v>
      </c>
      <c r="C913" s="74">
        <f t="shared" si="507"/>
        <v>33.75</v>
      </c>
      <c r="D913" s="74">
        <f t="shared" si="508"/>
        <v>32.5</v>
      </c>
      <c r="E913" s="74">
        <f t="shared" si="509"/>
        <v>31.25</v>
      </c>
      <c r="F913" s="114">
        <v>30</v>
      </c>
      <c r="G913" s="74">
        <f t="shared" si="510"/>
        <v>28.75</v>
      </c>
      <c r="H913" s="74">
        <f t="shared" si="511"/>
        <v>27.5</v>
      </c>
      <c r="I913" s="74">
        <f t="shared" si="512"/>
        <v>26.25</v>
      </c>
      <c r="J913" s="114">
        <f t="shared" si="513"/>
        <v>25</v>
      </c>
      <c r="K913" s="74">
        <f t="shared" ref="K913:K917" si="526">SUM(0.5*(L913-J913),J913)</f>
        <v>24.0625</v>
      </c>
      <c r="L913" s="114">
        <f t="shared" si="494"/>
        <v>23.125</v>
      </c>
      <c r="M913" s="115">
        <f>SUM(0.166*(R913-L913),L913)</f>
        <v>22.108249999999998</v>
      </c>
      <c r="N913" s="115">
        <f>SUM(0.333*(R913-L913),L913)</f>
        <v>21.085374999999999</v>
      </c>
      <c r="O913" s="74">
        <f>SUM(0.5*(R913-L913),L913)</f>
        <v>20.0625</v>
      </c>
      <c r="P913" s="74">
        <f>SUM(0.666*(R913-L913),L913)</f>
        <v>19.045749999999998</v>
      </c>
      <c r="Q913" s="74">
        <f>SUM(0.832*(R913-L913),L913)</f>
        <v>18.029</v>
      </c>
      <c r="R913" s="114">
        <v>17</v>
      </c>
      <c r="S913" s="129"/>
      <c r="T913" s="117">
        <f>SUM((AL20+AM20+AN19+AO19+AS17+AT17+AU16+AV16+AZ14+BA14+BE12+BF12+BG11+BH11+BI10+BJ10+BK9+BL9+BM8+BN8+BO7+BP7+BQ6+BR6+BS5+BT5+BU4+BV4)*0.132/2,(AP18+AQ18+AR18+AW15+AX15+AY15+BB13+BC13+BD13)*0.132/3,17)</f>
        <v>15.165538461538462</v>
      </c>
      <c r="U913" s="117"/>
      <c r="V913" s="129"/>
      <c r="W913" s="114"/>
    </row>
    <row r="914" spans="2:23">
      <c r="B914" s="114">
        <v>36</v>
      </c>
      <c r="C914" s="74">
        <f t="shared" si="507"/>
        <v>34.5</v>
      </c>
      <c r="D914" s="74">
        <f t="shared" si="508"/>
        <v>33</v>
      </c>
      <c r="E914" s="74">
        <f t="shared" si="509"/>
        <v>31.5</v>
      </c>
      <c r="F914" s="114">
        <v>30</v>
      </c>
      <c r="G914" s="74">
        <f t="shared" si="510"/>
        <v>28.5</v>
      </c>
      <c r="H914" s="74">
        <f t="shared" si="511"/>
        <v>27</v>
      </c>
      <c r="I914" s="74">
        <f t="shared" si="512"/>
        <v>25.5</v>
      </c>
      <c r="J914" s="114">
        <f t="shared" si="513"/>
        <v>24</v>
      </c>
      <c r="K914" s="74">
        <f t="shared" si="526"/>
        <v>22.875</v>
      </c>
      <c r="L914" s="114">
        <f t="shared" si="494"/>
        <v>21.75</v>
      </c>
      <c r="M914" s="115">
        <f>SUM(0.166*(R914-L914),L914)</f>
        <v>20.961500000000001</v>
      </c>
      <c r="N914" s="115">
        <f>SUM(0.333*(R914-L914),L914)</f>
        <v>20.16825</v>
      </c>
      <c r="O914" s="74">
        <f>SUM(0.5*(R914-L914),L914)</f>
        <v>19.375</v>
      </c>
      <c r="P914" s="74">
        <f>SUM(0.666*(R914-L914),L914)</f>
        <v>18.586500000000001</v>
      </c>
      <c r="Q914" s="74">
        <f>SUM(0.832*(R914-L914),L914)</f>
        <v>17.798000000000002</v>
      </c>
      <c r="R914" s="114">
        <v>17</v>
      </c>
      <c r="S914" s="129"/>
      <c r="T914" s="117">
        <f>SUM((AJ20+AK20+AO18+AP18)*0.132/2,(AL19+AM19+AN19+AQ17+AR17+AS17+AT16+AU16+AV16+AW15+AX15+AY15+AZ14+BA14+BB14+BC13+BD13+BE13+BF12+BG12+BH12+BI11+BJ11+BK11)*0.132/3,(BL10+BM10+BQ6+BR6+BS5+BT5+BU4+BV4)*0.132/2,(BN9+BO8+BP7)*0.132,17)</f>
        <v>15.055538461538461</v>
      </c>
      <c r="U914" s="117"/>
      <c r="V914" s="129"/>
      <c r="W914" s="114"/>
    </row>
    <row r="915" spans="2:23">
      <c r="B915" s="114">
        <v>37</v>
      </c>
      <c r="C915" s="74">
        <f t="shared" si="507"/>
        <v>35.25</v>
      </c>
      <c r="D915" s="74">
        <f t="shared" si="508"/>
        <v>33.5</v>
      </c>
      <c r="E915" s="74">
        <f t="shared" si="509"/>
        <v>31.75</v>
      </c>
      <c r="F915" s="114">
        <v>30</v>
      </c>
      <c r="G915" s="74">
        <f t="shared" si="510"/>
        <v>28.25</v>
      </c>
      <c r="H915" s="74">
        <f t="shared" si="511"/>
        <v>26.5</v>
      </c>
      <c r="I915" s="74">
        <f t="shared" si="512"/>
        <v>24.75</v>
      </c>
      <c r="J915" s="114">
        <f t="shared" si="513"/>
        <v>23</v>
      </c>
      <c r="K915" s="74">
        <f t="shared" si="526"/>
        <v>21.6875</v>
      </c>
      <c r="L915" s="114">
        <f t="shared" si="494"/>
        <v>20.375</v>
      </c>
      <c r="M915" s="115">
        <f>SUM(0.166*(R915-L915),L915)</f>
        <v>19.81475</v>
      </c>
      <c r="N915" s="115">
        <f>SUM(0.333*(R915-L915),L915)</f>
        <v>19.251125000000002</v>
      </c>
      <c r="O915" s="74">
        <f>SUM(0.5*(R915-L915),L915)</f>
        <v>18.6875</v>
      </c>
      <c r="P915" s="74">
        <f>SUM(0.666*(R915-L915),L915)</f>
        <v>18.12725</v>
      </c>
      <c r="Q915" s="74">
        <f>SUM(0.832*(R915-L915),L915)</f>
        <v>17.567</v>
      </c>
      <c r="R915" s="114">
        <v>17</v>
      </c>
      <c r="S915" s="129"/>
      <c r="T915" s="117">
        <f>SUM((AH20+AI20+AJ20+AK19+AL19+AM19+AN18+AO18+AP18+AQ17+AR17+AS17+AT16+AU16+AV16+BA14+BB14+BC14+BH12+BI12+BJ12+BK11+BL11+BM11)*0.132/3,(AW15+AX15+AY15+AZ15+BD13+BE13+BF13+BG13)*0.132/4,(BN10+BO10+BU4+BV4)*0.132/2,(BP9+BQ8+BR7+BS6+BT5)*0.132,17)</f>
        <v>15.121538461538462</v>
      </c>
      <c r="U915" s="117"/>
      <c r="V915" s="129"/>
      <c r="W915" s="114"/>
    </row>
    <row r="916" spans="2:23">
      <c r="B916" s="114">
        <v>38</v>
      </c>
      <c r="C916" s="74">
        <f t="shared" si="507"/>
        <v>36</v>
      </c>
      <c r="D916" s="74">
        <f t="shared" si="508"/>
        <v>34</v>
      </c>
      <c r="E916" s="74">
        <f t="shared" si="509"/>
        <v>32</v>
      </c>
      <c r="F916" s="114">
        <v>30</v>
      </c>
      <c r="G916" s="74">
        <f t="shared" si="510"/>
        <v>28</v>
      </c>
      <c r="H916" s="74">
        <f t="shared" si="511"/>
        <v>26</v>
      </c>
      <c r="I916" s="74">
        <f t="shared" si="512"/>
        <v>24</v>
      </c>
      <c r="J916" s="114">
        <f t="shared" si="513"/>
        <v>22</v>
      </c>
      <c r="K916" s="74">
        <f t="shared" si="526"/>
        <v>20.5</v>
      </c>
      <c r="L916" s="114">
        <f t="shared" si="494"/>
        <v>19</v>
      </c>
      <c r="M916" s="115">
        <f>SUM(0.166*(R916-L916),L916)</f>
        <v>18.667999999999999</v>
      </c>
      <c r="N916" s="115">
        <f>SUM(0.333*(R916-L916),L916)</f>
        <v>18.334</v>
      </c>
      <c r="O916" s="74">
        <f>SUM(0.5*(R916-L916),L916)</f>
        <v>18</v>
      </c>
      <c r="P916" s="74">
        <f>SUM(0.666*(R916-L916),L916)</f>
        <v>17.667999999999999</v>
      </c>
      <c r="Q916" s="74">
        <f>SUM(0.832*(R916-L916),L916)</f>
        <v>17.335999999999999</v>
      </c>
      <c r="R916" s="114">
        <v>17</v>
      </c>
      <c r="S916" s="129"/>
      <c r="T916" s="117">
        <f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15.099538461538462</v>
      </c>
      <c r="U916" s="117"/>
      <c r="V916" s="129"/>
      <c r="W916" s="114"/>
    </row>
    <row r="917" spans="2:23">
      <c r="B917" s="114">
        <v>39</v>
      </c>
      <c r="C917" s="74">
        <f t="shared" si="507"/>
        <v>36.75</v>
      </c>
      <c r="D917" s="74">
        <f t="shared" si="508"/>
        <v>34.5</v>
      </c>
      <c r="E917" s="74">
        <f t="shared" si="509"/>
        <v>32.25</v>
      </c>
      <c r="F917" s="114">
        <v>30</v>
      </c>
      <c r="G917" s="74">
        <f t="shared" si="510"/>
        <v>27.75</v>
      </c>
      <c r="H917" s="74">
        <f t="shared" si="511"/>
        <v>25.5</v>
      </c>
      <c r="I917" s="74">
        <f t="shared" si="512"/>
        <v>23.25</v>
      </c>
      <c r="J917" s="114">
        <f t="shared" si="513"/>
        <v>21</v>
      </c>
      <c r="K917" s="74">
        <f t="shared" si="526"/>
        <v>19.3125</v>
      </c>
      <c r="L917" s="114">
        <f t="shared" si="494"/>
        <v>17.625</v>
      </c>
      <c r="M917" s="115">
        <f>SUM(0.166*(R917-L917),L917)</f>
        <v>17.521249999999998</v>
      </c>
      <c r="N917" s="115">
        <f>SUM(0.333*(R917-L917),L917)</f>
        <v>17.416875000000001</v>
      </c>
      <c r="O917" s="74">
        <f>SUM(0.5*(R917-L917),L917)</f>
        <v>17.3125</v>
      </c>
      <c r="P917" s="74">
        <f>SUM(0.666*(R917-L917),L917)</f>
        <v>17.208749999999998</v>
      </c>
      <c r="Q917" s="74">
        <f>SUM(0.832*(R917-L917),L917)</f>
        <v>17.105</v>
      </c>
      <c r="R917" s="114">
        <v>17</v>
      </c>
      <c r="S917" s="129"/>
      <c r="T917" s="117">
        <f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15.31953846153846</v>
      </c>
      <c r="U917" s="117"/>
      <c r="V917" s="129"/>
      <c r="W917" s="114"/>
    </row>
    <row r="918" spans="2:23">
      <c r="B918" s="114"/>
      <c r="C918" s="74"/>
      <c r="D918" s="74"/>
      <c r="E918" s="74"/>
      <c r="F918" s="114"/>
      <c r="G918" s="74"/>
      <c r="H918" s="74"/>
      <c r="I918" s="74"/>
      <c r="J918" s="114"/>
      <c r="K918" s="74"/>
      <c r="L918" s="114"/>
      <c r="M918" s="115"/>
      <c r="N918" s="115"/>
      <c r="O918" s="74"/>
      <c r="P918" s="74"/>
      <c r="Q918" s="74"/>
      <c r="R918" s="114"/>
      <c r="S918" s="129"/>
      <c r="T918" s="117"/>
      <c r="U918" s="117"/>
      <c r="V918" s="129"/>
      <c r="W918" s="114"/>
    </row>
    <row r="919" spans="2:23">
      <c r="B919" s="114">
        <v>36</v>
      </c>
      <c r="C919" s="74">
        <f t="shared" si="507"/>
        <v>34.75</v>
      </c>
      <c r="D919" s="74">
        <f t="shared" si="508"/>
        <v>33.5</v>
      </c>
      <c r="E919" s="74">
        <f t="shared" si="509"/>
        <v>32.25</v>
      </c>
      <c r="F919" s="114">
        <v>31</v>
      </c>
      <c r="G919" s="74">
        <f t="shared" si="510"/>
        <v>29.75</v>
      </c>
      <c r="H919" s="74">
        <f t="shared" si="511"/>
        <v>28.5</v>
      </c>
      <c r="I919" s="74">
        <f t="shared" si="512"/>
        <v>27.25</v>
      </c>
      <c r="J919" s="114">
        <f t="shared" si="513"/>
        <v>26</v>
      </c>
      <c r="K919" s="74">
        <f t="shared" ref="K919:K922" si="527">SUM(0.5*(L919-J919),J919)</f>
        <v>25.0625</v>
      </c>
      <c r="L919" s="114">
        <f t="shared" ref="L919:L928" si="528">SUM(J919,J919,-H919,0.25*ABS(J919-H919))</f>
        <v>24.125</v>
      </c>
      <c r="M919" s="115">
        <f>SUM(0.166*(R919-L919),L919)</f>
        <v>22.942250000000001</v>
      </c>
      <c r="N919" s="115">
        <f>SUM(0.333*(R919-L919),L919)</f>
        <v>21.752375000000001</v>
      </c>
      <c r="O919" s="74">
        <f>SUM(0.5*(R919-L919),L919)</f>
        <v>20.5625</v>
      </c>
      <c r="P919" s="74">
        <f>SUM(0.666*(R919-L919),L919)</f>
        <v>19.379750000000001</v>
      </c>
      <c r="Q919" s="74">
        <f>SUM(0.832*(R919-L919),L919)</f>
        <v>18.196999999999999</v>
      </c>
      <c r="R919" s="114">
        <v>17</v>
      </c>
      <c r="S919" s="129"/>
      <c r="T919" s="117">
        <f>SUM((AJ20+AK20+AL19+AM19+AQ17+AR17+AS16+AT16+AX14+AY14+BC12+BD12+BE11+BF11+BG10+BH10+BI9+BJ9+BK8+BL8+BM7+BN7+BO6+BP6)*0.132/2,(AN18+AO18+AP18+AU15+AV15+AW15+AZ13+BA13+BB13+BQ5+BR5+BS5+BT4+BU4+BV4)*0.132/3,17)</f>
        <v>14.703538461538461</v>
      </c>
      <c r="U919" s="117"/>
      <c r="V919" s="129"/>
      <c r="W919" s="114"/>
    </row>
    <row r="920" spans="2:23">
      <c r="B920" s="114">
        <v>37</v>
      </c>
      <c r="C920" s="74">
        <f t="shared" si="507"/>
        <v>35.5</v>
      </c>
      <c r="D920" s="74">
        <f t="shared" si="508"/>
        <v>34</v>
      </c>
      <c r="E920" s="74">
        <f t="shared" si="509"/>
        <v>32.5</v>
      </c>
      <c r="F920" s="114">
        <v>31</v>
      </c>
      <c r="G920" s="74">
        <f t="shared" si="510"/>
        <v>29.5</v>
      </c>
      <c r="H920" s="74">
        <f t="shared" si="511"/>
        <v>28</v>
      </c>
      <c r="I920" s="74">
        <f t="shared" si="512"/>
        <v>26.5</v>
      </c>
      <c r="J920" s="114">
        <f t="shared" si="513"/>
        <v>25</v>
      </c>
      <c r="K920" s="74">
        <f t="shared" si="527"/>
        <v>23.875</v>
      </c>
      <c r="L920" s="114">
        <f t="shared" si="528"/>
        <v>22.75</v>
      </c>
      <c r="M920" s="115">
        <f>SUM(0.166*(R920-L920),L920)</f>
        <v>21.795500000000001</v>
      </c>
      <c r="N920" s="115">
        <f>SUM(0.333*(R920-L920),L920)</f>
        <v>20.835249999999998</v>
      </c>
      <c r="O920" s="74">
        <f>SUM(0.5*(R920-L920),L920)</f>
        <v>19.875</v>
      </c>
      <c r="P920" s="74">
        <f>SUM(0.666*(R920-L920),L920)</f>
        <v>18.920500000000001</v>
      </c>
      <c r="Q920" s="74">
        <f>SUM(0.832*(R920-L920),L920)</f>
        <v>17.966000000000001</v>
      </c>
      <c r="R920" s="114">
        <v>17</v>
      </c>
      <c r="S920" s="129"/>
      <c r="T920" s="117">
        <f>SUM((AH20+AI20+AM18+AN18)*0.132/2,(AJ19+AK19+AL19+AO17+AP17+AQ17+AR16+AS16+AT16+AU15+AV15+AW15+AX14+AY14+AZ14+BA13+BB13+BC13+BD12+BE12+BF12+BG11+BH11+BI11)*0.132/3,(BJ10+BK10)*0.132/2,(BM8+BN8+BO7+BP7+BQ6+BR6+BS5+BT5+BU4+BV4)*0.132/2,BL9*0.132,17)</f>
        <v>14.81353846153846</v>
      </c>
      <c r="U920" s="117"/>
      <c r="V920" s="129"/>
      <c r="W920" s="114"/>
    </row>
    <row r="921" spans="2:23">
      <c r="B921" s="114">
        <v>38</v>
      </c>
      <c r="C921" s="74">
        <f t="shared" si="507"/>
        <v>36.25</v>
      </c>
      <c r="D921" s="74">
        <f t="shared" si="508"/>
        <v>34.5</v>
      </c>
      <c r="E921" s="74">
        <f t="shared" si="509"/>
        <v>32.75</v>
      </c>
      <c r="F921" s="114">
        <v>31</v>
      </c>
      <c r="G921" s="74">
        <f t="shared" si="510"/>
        <v>29.25</v>
      </c>
      <c r="H921" s="74">
        <f t="shared" si="511"/>
        <v>27.5</v>
      </c>
      <c r="I921" s="74">
        <f t="shared" si="512"/>
        <v>25.75</v>
      </c>
      <c r="J921" s="114">
        <f t="shared" si="513"/>
        <v>24</v>
      </c>
      <c r="K921" s="74">
        <f t="shared" si="527"/>
        <v>22.6875</v>
      </c>
      <c r="L921" s="114">
        <f t="shared" si="528"/>
        <v>21.375</v>
      </c>
      <c r="M921" s="115">
        <f>SUM(0.166*(R921-L921),L921)</f>
        <v>20.64875</v>
      </c>
      <c r="N921" s="115">
        <f>SUM(0.333*(R921-L921),L921)</f>
        <v>19.918125</v>
      </c>
      <c r="O921" s="74">
        <f>SUM(0.5*(R921-L921),L921)</f>
        <v>19.1875</v>
      </c>
      <c r="P921" s="74">
        <f>SUM(0.666*(R921-L921),L921)</f>
        <v>18.46125</v>
      </c>
      <c r="Q921" s="74">
        <f>SUM(0.832*(R921-L921),L921)</f>
        <v>17.734999999999999</v>
      </c>
      <c r="R921" s="114">
        <v>17</v>
      </c>
      <c r="S921" s="129"/>
      <c r="T921" s="117">
        <f>SUM((AF20+AG20+AH20+AI19+AJ19+AK19+AL18+AM18+AN18+AO17+AP17+AQ17+AR16+AS16+AT16+AY14+AZ14+BA14+BF12+BG12+BH12+BI11+BJ11+BK11)*0.132/3,(AU15+AV15+AW15+AX15+BB13+BC13+BD13+BE13)*0.132/4,(BL10+BM10+BQ6+BR6+BS5+BT5+BU4+BV4)*0.132/2,(BN9+BO8+BP7)*0.132,17)</f>
        <v>14.879538461538461</v>
      </c>
      <c r="U921" s="117"/>
      <c r="V921" s="129"/>
      <c r="W921" s="114"/>
    </row>
    <row r="922" spans="2:23">
      <c r="B922" s="114">
        <v>39</v>
      </c>
      <c r="C922" s="74">
        <f t="shared" si="507"/>
        <v>37</v>
      </c>
      <c r="D922" s="74">
        <f t="shared" si="508"/>
        <v>35</v>
      </c>
      <c r="E922" s="74">
        <f t="shared" si="509"/>
        <v>33</v>
      </c>
      <c r="F922" s="114">
        <v>31</v>
      </c>
      <c r="G922" s="74">
        <f t="shared" si="510"/>
        <v>29</v>
      </c>
      <c r="H922" s="74">
        <f t="shared" si="511"/>
        <v>27</v>
      </c>
      <c r="I922" s="74">
        <f t="shared" si="512"/>
        <v>25</v>
      </c>
      <c r="J922" s="114">
        <f t="shared" si="513"/>
        <v>23</v>
      </c>
      <c r="K922" s="74">
        <f t="shared" si="527"/>
        <v>21.5</v>
      </c>
      <c r="L922" s="114">
        <f t="shared" si="528"/>
        <v>20</v>
      </c>
      <c r="M922" s="115">
        <f>SUM(0.166*(R922-L922),L922)</f>
        <v>19.501999999999999</v>
      </c>
      <c r="N922" s="115">
        <f>SUM(0.333*(R922-L922),L922)</f>
        <v>19.001000000000001</v>
      </c>
      <c r="O922" s="74">
        <f>SUM(0.5*(R922-L922),L922)</f>
        <v>18.5</v>
      </c>
      <c r="P922" s="74">
        <f>SUM(0.666*(R922-L922),L922)</f>
        <v>18.001999999999999</v>
      </c>
      <c r="Q922" s="74">
        <f>SUM(0.832*(R922-L922),L922)</f>
        <v>17.504000000000001</v>
      </c>
      <c r="R922" s="114">
        <v>17</v>
      </c>
      <c r="S922" s="129"/>
      <c r="T922" s="117">
        <f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15.066538461538462</v>
      </c>
      <c r="U922" s="117"/>
      <c r="V922" s="129"/>
      <c r="W922" s="114"/>
    </row>
    <row r="923" spans="2:23">
      <c r="B923" s="114"/>
      <c r="C923" s="74"/>
      <c r="D923" s="74"/>
      <c r="E923" s="74"/>
      <c r="F923" s="114"/>
      <c r="G923" s="74"/>
      <c r="H923" s="74"/>
      <c r="I923" s="74"/>
      <c r="J923" s="114"/>
      <c r="K923" s="74"/>
      <c r="L923" s="114"/>
      <c r="M923" s="115"/>
      <c r="N923" s="115"/>
      <c r="O923" s="74"/>
      <c r="P923" s="74"/>
      <c r="Q923" s="74"/>
      <c r="R923" s="114"/>
      <c r="S923" s="129"/>
      <c r="T923" s="117"/>
      <c r="U923" s="117"/>
      <c r="V923" s="129"/>
      <c r="W923" s="114"/>
    </row>
    <row r="924" spans="2:23">
      <c r="B924" s="114">
        <v>37</v>
      </c>
      <c r="C924" s="74">
        <f t="shared" si="507"/>
        <v>35.75</v>
      </c>
      <c r="D924" s="74">
        <f t="shared" si="508"/>
        <v>34.5</v>
      </c>
      <c r="E924" s="74">
        <f t="shared" si="509"/>
        <v>33.25</v>
      </c>
      <c r="F924" s="114">
        <v>32</v>
      </c>
      <c r="G924" s="74">
        <f t="shared" si="510"/>
        <v>30.75</v>
      </c>
      <c r="H924" s="74">
        <f t="shared" si="511"/>
        <v>29.5</v>
      </c>
      <c r="I924" s="74">
        <f t="shared" si="512"/>
        <v>28.25</v>
      </c>
      <c r="J924" s="114">
        <f t="shared" si="513"/>
        <v>27</v>
      </c>
      <c r="K924" s="74">
        <f t="shared" ref="K924:K926" si="529">SUM(0.5*(L924-J924),J924)</f>
        <v>25.75</v>
      </c>
      <c r="L924" s="114">
        <f>SUM(J924,J924,-H924)</f>
        <v>24.5</v>
      </c>
      <c r="M924" s="115">
        <f>SUM(0.166*(R924-L924),L924)</f>
        <v>23.254999999999999</v>
      </c>
      <c r="N924" s="115">
        <f>SUM(0.333*(R924-L924),L924)</f>
        <v>22.002500000000001</v>
      </c>
      <c r="O924" s="74">
        <f>SUM(0.5*(R924-L924),L924)</f>
        <v>20.75</v>
      </c>
      <c r="P924" s="74">
        <f>SUM(0.666*(R924-L924),L924)</f>
        <v>19.504999999999999</v>
      </c>
      <c r="Q924" s="74">
        <f>SUM(0.832*(R924-L924),L924)</f>
        <v>18.260000000000002</v>
      </c>
      <c r="R924" s="114">
        <v>17</v>
      </c>
      <c r="S924" s="129"/>
      <c r="T924" s="117">
        <f>SUM((AH20+AI20+AJ19+AK19+AO17+AP17+AQ16+AR16++AV14+AW14+BA12+BB12+BF10+BG10+BK8+BL8+BP6+BQ6+BU4+BV4)*0.132/2,(AL18+AM18+AN18+AS15+AT15+AU15+AX13+AY13+AZ13+BC11+BD11+BE11+BH9+BI9+BJ9+BM7+BN7+BO7+BR5+BS5+BT5)*0.132/3,17)</f>
        <v>14.703538461538463</v>
      </c>
      <c r="U924" s="117"/>
      <c r="V924" s="129"/>
      <c r="W924" s="114"/>
    </row>
    <row r="925" spans="2:23">
      <c r="B925" s="114">
        <v>38</v>
      </c>
      <c r="C925" s="74">
        <f t="shared" si="507"/>
        <v>36.5</v>
      </c>
      <c r="D925" s="74">
        <f t="shared" si="508"/>
        <v>35</v>
      </c>
      <c r="E925" s="74">
        <f t="shared" si="509"/>
        <v>33.5</v>
      </c>
      <c r="F925" s="114">
        <v>32</v>
      </c>
      <c r="G925" s="74">
        <f t="shared" si="510"/>
        <v>30.5</v>
      </c>
      <c r="H925" s="74">
        <f t="shared" si="511"/>
        <v>29</v>
      </c>
      <c r="I925" s="74">
        <f t="shared" si="512"/>
        <v>27.5</v>
      </c>
      <c r="J925" s="114">
        <f t="shared" si="513"/>
        <v>26</v>
      </c>
      <c r="K925" s="74">
        <f t="shared" si="529"/>
        <v>24.875</v>
      </c>
      <c r="L925" s="114">
        <f t="shared" si="528"/>
        <v>23.75</v>
      </c>
      <c r="M925" s="115">
        <f>SUM(0.166*(R925-L925),L925)</f>
        <v>22.6295</v>
      </c>
      <c r="N925" s="115">
        <f>SUM(0.333*(R925-L925),L925)</f>
        <v>21.50225</v>
      </c>
      <c r="O925" s="74">
        <f>SUM(0.5*(R925-L925),L925)</f>
        <v>20.375</v>
      </c>
      <c r="P925" s="74">
        <f>SUM(0.666*(R925-L925),L925)</f>
        <v>19.2545</v>
      </c>
      <c r="Q925" s="74">
        <f>SUM(0.832*(R925-L925),L925)</f>
        <v>18.134</v>
      </c>
      <c r="R925" s="114">
        <v>17</v>
      </c>
      <c r="S925" s="129"/>
      <c r="T925" s="117">
        <f>SUM((AF20+AG20+AK18+AL18)*0.132/2,(AH19+AI19+AJ19+AM17+AN17+AO17+AP16+AQ16+AR16+AS15+AT15+AU15+AV14+AW14+AX14+AY13+AZ13+BA13+BB12+BC12+BD12+BE11+BF11+BG11)*0.132/3,(BH10+BI10+BJ9+BK9+BL8+BM8+BN7+BO7+BP6+BQ6+BR5+BS5)*0.132/2,(BT4+BU4+BV4)*0.132/3,17)</f>
        <v>14.725538461538461</v>
      </c>
      <c r="U925" s="117"/>
      <c r="V925" s="129"/>
      <c r="W925" s="114"/>
    </row>
    <row r="926" spans="2:23">
      <c r="B926" s="114">
        <v>39</v>
      </c>
      <c r="C926" s="74">
        <f t="shared" si="507"/>
        <v>37.25</v>
      </c>
      <c r="D926" s="74">
        <f t="shared" si="508"/>
        <v>35.5</v>
      </c>
      <c r="E926" s="74">
        <f t="shared" si="509"/>
        <v>33.75</v>
      </c>
      <c r="F926" s="114">
        <v>32</v>
      </c>
      <c r="G926" s="74">
        <f t="shared" si="510"/>
        <v>30.25</v>
      </c>
      <c r="H926" s="74">
        <f t="shared" si="511"/>
        <v>28.5</v>
      </c>
      <c r="I926" s="74">
        <f t="shared" si="512"/>
        <v>26.75</v>
      </c>
      <c r="J926" s="114">
        <f t="shared" si="513"/>
        <v>25</v>
      </c>
      <c r="K926" s="74">
        <f t="shared" si="529"/>
        <v>23.6875</v>
      </c>
      <c r="L926" s="114">
        <f t="shared" si="528"/>
        <v>22.375</v>
      </c>
      <c r="M926" s="115">
        <f>SUM(0.166*(R926-L926),L926)</f>
        <v>21.482749999999999</v>
      </c>
      <c r="N926" s="115">
        <f>SUM(0.333*(R926-L926),L926)</f>
        <v>20.585125000000001</v>
      </c>
      <c r="O926" s="74">
        <f>SUM(0.5*(R926-L926),L926)</f>
        <v>19.6875</v>
      </c>
      <c r="P926" s="74">
        <f>SUM(0.666*(R926-L926),L926)</f>
        <v>18.795249999999999</v>
      </c>
      <c r="Q926" s="74">
        <f>SUM(0.832*(R926-L926),L926)</f>
        <v>17.902999999999999</v>
      </c>
      <c r="R926" s="114">
        <v>17</v>
      </c>
      <c r="S926" s="129"/>
      <c r="T926" s="117">
        <f>SUM((AD20+AE20+AF20+AG19+AH19+AI19+AJ18+AK18+AL18+AM17+AN17+AO17+AP16+AQ16+AR16+AW14+AX14+AY14+BD12+BE12+BF12+BG11+BH11+BI11)*0.132/3,(AS15+AT15+AU15+AV15+AZ13+BA13+BB13+BC13)*0.132/4,(BJ10+BK10+BM8+BN8+BO7+BP7+BQ6+BR6+BS5+BT5+BU4+BV4)*0.132/2,BL9*0.132,17)</f>
        <v>14.835538461538462</v>
      </c>
      <c r="U926" s="117"/>
      <c r="V926" s="129"/>
      <c r="W926" s="114"/>
    </row>
    <row r="927" spans="2:23">
      <c r="B927" s="114"/>
      <c r="C927" s="74"/>
      <c r="D927" s="74"/>
      <c r="E927" s="74"/>
      <c r="F927" s="114"/>
      <c r="G927" s="74"/>
      <c r="H927" s="74"/>
      <c r="I927" s="74"/>
      <c r="J927" s="114"/>
      <c r="K927" s="74"/>
      <c r="L927" s="114"/>
      <c r="M927" s="115"/>
      <c r="N927" s="115"/>
      <c r="O927" s="74"/>
      <c r="P927" s="74"/>
      <c r="Q927" s="74"/>
      <c r="R927" s="114"/>
      <c r="S927" s="129"/>
      <c r="T927" s="117"/>
      <c r="U927" s="117"/>
      <c r="V927" s="129"/>
      <c r="W927" s="114"/>
    </row>
    <row r="928" spans="2:23">
      <c r="B928" s="114">
        <v>39</v>
      </c>
      <c r="C928" s="74">
        <f t="shared" si="507"/>
        <v>37.5</v>
      </c>
      <c r="D928" s="74">
        <f t="shared" si="508"/>
        <v>36</v>
      </c>
      <c r="E928" s="74">
        <f t="shared" si="509"/>
        <v>34.5</v>
      </c>
      <c r="F928" s="114">
        <v>33</v>
      </c>
      <c r="G928" s="74">
        <f t="shared" si="510"/>
        <v>31.5</v>
      </c>
      <c r="H928" s="74">
        <f t="shared" si="511"/>
        <v>30</v>
      </c>
      <c r="I928" s="74">
        <f t="shared" si="512"/>
        <v>28.5</v>
      </c>
      <c r="J928" s="114">
        <f t="shared" si="513"/>
        <v>27</v>
      </c>
      <c r="K928" s="74">
        <f t="shared" ref="K928" si="530">SUM(0.5*(L928-J928),J928)</f>
        <v>25.875</v>
      </c>
      <c r="L928" s="114">
        <f t="shared" si="528"/>
        <v>24.75</v>
      </c>
      <c r="M928" s="115">
        <f>SUM(0.166*(R928-L928),L928)</f>
        <v>23.4635</v>
      </c>
      <c r="N928" s="115">
        <f>SUM(0.333*(R928-L928),L928)</f>
        <v>22.169249999999998</v>
      </c>
      <c r="O928" s="74">
        <f>SUM(0.5*(R928-L928),L928)</f>
        <v>20.875</v>
      </c>
      <c r="P928" s="74">
        <f>SUM(0.666*(R928-L928),L928)</f>
        <v>19.5885</v>
      </c>
      <c r="Q928" s="74">
        <f>SUM(0.832*(R928-L928),L928)</f>
        <v>18.302</v>
      </c>
      <c r="R928" s="114">
        <v>17</v>
      </c>
      <c r="S928" s="129"/>
      <c r="T928" s="117">
        <f>SUM((AD20+AE20+AI18+AJ18)*0.132/2,(AF19+AG19+AH19+AK17+AL17+AM17+AN16+AO16+AP16+AQ15+AR15+AS15+AT14+AU14+AV14+AW13+AX13+AY13+AZ12+BA12+BB12+BC11+BD11+BE11)*0.132/3,(BF10+BG10+BH9+BI9+BJ8+BK8+BL7+BM7)*0.132/2,(BN6+BO6+BP6+BQ5+BR5+BS5+BT4+BU4+BV4)*0.132/3,17)</f>
        <v>15.099538461538462</v>
      </c>
      <c r="U928" s="117"/>
      <c r="V928" s="129"/>
      <c r="W928" s="114"/>
    </row>
    <row r="929" spans="1:23">
      <c r="B929" s="111"/>
      <c r="F929" s="111"/>
      <c r="J929" s="111"/>
      <c r="N929" s="111"/>
      <c r="R929" s="111"/>
      <c r="S929" s="128"/>
      <c r="T929" s="117"/>
      <c r="U929" s="117"/>
      <c r="V929" s="129"/>
      <c r="W929" s="114"/>
    </row>
    <row r="930" spans="1:23">
      <c r="A930" s="84" t="s">
        <v>179</v>
      </c>
      <c r="B930" s="111">
        <f>COUNT(B608:B928)</f>
        <v>289</v>
      </c>
      <c r="C930" s="111" t="s">
        <v>182</v>
      </c>
      <c r="D930" s="111">
        <f>$B$930</f>
        <v>289</v>
      </c>
      <c r="E930" s="111" t="s">
        <v>181</v>
      </c>
      <c r="F930" s="111">
        <f>PRODUCT(B930,2)</f>
        <v>578</v>
      </c>
      <c r="J930" s="111"/>
      <c r="N930" s="111"/>
      <c r="R930" s="111"/>
      <c r="S930" s="128"/>
      <c r="T930" s="117"/>
      <c r="U930" s="117"/>
      <c r="V930" s="129"/>
      <c r="W930" s="114"/>
    </row>
    <row r="931" spans="1:23">
      <c r="B931" s="111"/>
      <c r="F931" s="111"/>
      <c r="J931" s="111"/>
      <c r="N931" s="111"/>
      <c r="R931" s="111"/>
      <c r="S931" s="128"/>
      <c r="T931" s="117"/>
      <c r="U931" s="117"/>
      <c r="V931" s="129"/>
      <c r="W931" s="114"/>
    </row>
    <row r="932" spans="1:23">
      <c r="A932" s="84" t="s">
        <v>180</v>
      </c>
      <c r="B932" s="111">
        <f>SUM(B291,B596,B930)</f>
        <v>797</v>
      </c>
      <c r="C932" s="111" t="s">
        <v>182</v>
      </c>
      <c r="D932" s="111">
        <f>$B$932</f>
        <v>797</v>
      </c>
      <c r="E932" s="111" t="s">
        <v>181</v>
      </c>
      <c r="F932" s="111">
        <f>PRODUCT(B932,2)</f>
        <v>1594</v>
      </c>
      <c r="J932" s="111"/>
      <c r="N932" s="111"/>
      <c r="R932" s="111"/>
      <c r="S932" s="128"/>
      <c r="T932" s="117"/>
      <c r="U932" s="117"/>
      <c r="V932" s="129"/>
      <c r="W932" s="114"/>
    </row>
  </sheetData>
  <sortState columnSort="1" ref="AD2:DB22">
    <sortCondition descending="1" ref="AD22:DB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77</vt:lpstr>
      <vt:lpstr>39</vt:lpstr>
      <vt:lpstr>SPB</vt:lpstr>
      <vt:lpstr>3D</vt:lpstr>
      <vt:lpstr>3D Data</vt:lpstr>
      <vt:lpstr>All Ball Positions XY</vt:lpstr>
      <vt:lpstr>Lefty</vt:lpstr>
      <vt:lpstr>Board</vt:lpstr>
      <vt:lpstr>'39'!Print_Area</vt:lpstr>
      <vt:lpstr>'77'!Print_Area</vt:lpstr>
      <vt:lpstr>SPB!Print_Area</vt:lpstr>
      <vt:lpstr>Tilt</vt:lpstr>
      <vt:lpstr>TiltBoard</vt:lpstr>
      <vt:lpstr>TiltFact</vt:lpstr>
      <vt:lpstr>TiltZ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</dc:creator>
  <cp:lastModifiedBy>Ted Thompson</cp:lastModifiedBy>
  <cp:lastPrinted>2011-10-25T15:57:15Z</cp:lastPrinted>
  <dcterms:created xsi:type="dcterms:W3CDTF">2009-11-22T02:55:42Z</dcterms:created>
  <dcterms:modified xsi:type="dcterms:W3CDTF">2013-05-07T08:08:26Z</dcterms:modified>
</cp:coreProperties>
</file>