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ANL\13UANL-VERANO_2022\Métodos Estadísticos Multivariados\Tareas\"/>
    </mc:Choice>
  </mc:AlternateContent>
  <xr:revisionPtr revIDLastSave="0" documentId="13_ncr:1_{B6B09D2C-6C1C-465D-84CC-34710D9E12B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rob 1" sheetId="1" r:id="rId1"/>
    <sheet name="prob 2" sheetId="2" r:id="rId2"/>
    <sheet name="prob 3A" sheetId="3" r:id="rId3"/>
    <sheet name="prob 3B" sheetId="4" r:id="rId4"/>
    <sheet name="prob 3C" sheetId="7" r:id="rId5"/>
    <sheet name="prob 4A" sheetId="5" r:id="rId6"/>
    <sheet name="prob 4B" sheetId="6" r:id="rId7"/>
    <sheet name="prob 4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6" i="7" l="1"/>
  <c r="K21" i="7"/>
  <c r="K14" i="7"/>
  <c r="L14" i="7"/>
  <c r="M14" i="7"/>
  <c r="N14" i="7"/>
  <c r="O14" i="7"/>
  <c r="P14" i="7"/>
  <c r="K15" i="7"/>
  <c r="L15" i="7"/>
  <c r="M15" i="7"/>
  <c r="N15" i="7"/>
  <c r="O15" i="7"/>
  <c r="P15" i="7"/>
  <c r="K16" i="7"/>
  <c r="L16" i="7"/>
  <c r="M16" i="7"/>
  <c r="N16" i="7"/>
  <c r="O16" i="7"/>
  <c r="P16" i="7"/>
  <c r="K17" i="7"/>
  <c r="L17" i="7"/>
  <c r="M17" i="7"/>
  <c r="N17" i="7"/>
  <c r="O17" i="7"/>
  <c r="P17" i="7"/>
  <c r="K18" i="7"/>
  <c r="L18" i="7"/>
  <c r="M18" i="7"/>
  <c r="N18" i="7"/>
  <c r="O18" i="7"/>
  <c r="P18" i="7"/>
  <c r="N13" i="7"/>
  <c r="O13" i="7"/>
  <c r="P13" i="7"/>
  <c r="L13" i="7"/>
  <c r="M13" i="7"/>
  <c r="K13" i="7"/>
  <c r="E23" i="7"/>
  <c r="E14" i="7"/>
  <c r="E5" i="7"/>
  <c r="N23" i="4"/>
  <c r="L23" i="4"/>
  <c r="N22" i="4"/>
  <c r="L22" i="4"/>
  <c r="N21" i="4"/>
  <c r="L21" i="4"/>
  <c r="N20" i="4"/>
  <c r="L20" i="4"/>
  <c r="N19" i="4"/>
  <c r="L19" i="4"/>
  <c r="N18" i="4"/>
  <c r="L18" i="4"/>
  <c r="I23" i="4"/>
  <c r="G23" i="4"/>
  <c r="I22" i="4"/>
  <c r="G22" i="4"/>
  <c r="I21" i="4"/>
  <c r="G21" i="4"/>
  <c r="I20" i="4"/>
  <c r="G20" i="4"/>
  <c r="I19" i="4"/>
  <c r="G19" i="4"/>
  <c r="I18" i="4"/>
  <c r="G18" i="4"/>
  <c r="E18" i="4"/>
  <c r="C18" i="4"/>
  <c r="E23" i="4"/>
  <c r="C23" i="4"/>
  <c r="E22" i="4"/>
  <c r="C22" i="4"/>
  <c r="E21" i="4"/>
  <c r="C21" i="4"/>
  <c r="E20" i="4"/>
  <c r="C20" i="4"/>
  <c r="E19" i="4"/>
  <c r="C19" i="4"/>
  <c r="N11" i="3"/>
  <c r="N27" i="7"/>
  <c r="N26" i="7"/>
  <c r="K29" i="7"/>
  <c r="K22" i="6"/>
  <c r="M20" i="6"/>
  <c r="K20" i="6"/>
  <c r="G22" i="6"/>
  <c r="I20" i="6"/>
  <c r="G20" i="6"/>
  <c r="C22" i="6"/>
  <c r="E20" i="6"/>
  <c r="C20" i="6"/>
  <c r="K2" i="6"/>
  <c r="L2" i="6"/>
  <c r="M19" i="6" s="1"/>
  <c r="M2" i="6"/>
  <c r="N2" i="6"/>
  <c r="O2" i="6"/>
  <c r="P2" i="6"/>
  <c r="K3" i="6"/>
  <c r="L3" i="6"/>
  <c r="M3" i="6"/>
  <c r="N3" i="6"/>
  <c r="O3" i="6"/>
  <c r="P3" i="6"/>
  <c r="K4" i="6"/>
  <c r="L4" i="6"/>
  <c r="M4" i="6"/>
  <c r="N4" i="6"/>
  <c r="M21" i="6" s="1"/>
  <c r="O4" i="6"/>
  <c r="P4" i="6"/>
  <c r="K5" i="6"/>
  <c r="L5" i="6"/>
  <c r="M5" i="6"/>
  <c r="N5" i="6"/>
  <c r="O5" i="6"/>
  <c r="M22" i="6" s="1"/>
  <c r="P5" i="6"/>
  <c r="K6" i="6"/>
  <c r="L6" i="6"/>
  <c r="M6" i="6"/>
  <c r="N6" i="6"/>
  <c r="O6" i="6"/>
  <c r="P6" i="6"/>
  <c r="M23" i="6" s="1"/>
  <c r="L1" i="6"/>
  <c r="M1" i="6"/>
  <c r="N1" i="6"/>
  <c r="O1" i="6"/>
  <c r="P1" i="6"/>
  <c r="K1" i="6"/>
  <c r="E18" i="6" s="1"/>
  <c r="M12" i="5"/>
  <c r="M11" i="5"/>
  <c r="K3" i="4"/>
  <c r="L3" i="4"/>
  <c r="N3" i="4"/>
  <c r="O3" i="4"/>
  <c r="P3" i="4"/>
  <c r="K4" i="4"/>
  <c r="L4" i="4"/>
  <c r="M4" i="4"/>
  <c r="N4" i="4"/>
  <c r="P4" i="4"/>
  <c r="K5" i="4"/>
  <c r="L5" i="4"/>
  <c r="M5" i="4"/>
  <c r="N5" i="4"/>
  <c r="O5" i="4"/>
  <c r="P5" i="4"/>
  <c r="K6" i="4"/>
  <c r="L6" i="4"/>
  <c r="M6" i="4"/>
  <c r="N6" i="4"/>
  <c r="O6" i="4"/>
  <c r="P6" i="4"/>
  <c r="K7" i="4"/>
  <c r="L7" i="4"/>
  <c r="M7" i="4"/>
  <c r="N7" i="4"/>
  <c r="O7" i="4"/>
  <c r="P7" i="4"/>
  <c r="N2" i="4"/>
  <c r="O2" i="4"/>
  <c r="K2" i="4"/>
  <c r="H5" i="4"/>
  <c r="G4" i="4"/>
  <c r="O4" i="4" s="1"/>
  <c r="H3" i="4"/>
  <c r="G3" i="4"/>
  <c r="E3" i="4"/>
  <c r="M3" i="4" s="1"/>
  <c r="H2" i="4"/>
  <c r="P2" i="4" s="1"/>
  <c r="G2" i="4"/>
  <c r="F2" i="4"/>
  <c r="E2" i="4"/>
  <c r="M2" i="4" s="1"/>
  <c r="D2" i="4"/>
  <c r="L2" i="4" s="1"/>
  <c r="N12" i="3"/>
  <c r="D24" i="2"/>
  <c r="D32" i="2"/>
  <c r="D43" i="2" s="1"/>
  <c r="F46" i="2"/>
  <c r="D47" i="2"/>
  <c r="D44" i="2"/>
  <c r="L35" i="2"/>
  <c r="H32" i="2"/>
  <c r="G32" i="2"/>
  <c r="D33" i="2"/>
  <c r="F44" i="2" s="1"/>
  <c r="D34" i="2"/>
  <c r="F32" i="2" s="1"/>
  <c r="D35" i="2"/>
  <c r="D46" i="2" s="1"/>
  <c r="D36" i="2"/>
  <c r="F47" i="2" s="1"/>
  <c r="D37" i="2"/>
  <c r="F48" i="2" s="1"/>
  <c r="D38" i="2"/>
  <c r="J32" i="2" s="1"/>
  <c r="E24" i="2"/>
  <c r="D25" i="2"/>
  <c r="E25" i="2"/>
  <c r="F25" i="2"/>
  <c r="D26" i="2"/>
  <c r="E26" i="2"/>
  <c r="F26" i="2"/>
  <c r="G26" i="2"/>
  <c r="D27" i="2"/>
  <c r="E27" i="2"/>
  <c r="F27" i="2"/>
  <c r="G27" i="2"/>
  <c r="H27" i="2"/>
  <c r="D28" i="2"/>
  <c r="E28" i="2"/>
  <c r="F28" i="2"/>
  <c r="G28" i="2"/>
  <c r="H28" i="2"/>
  <c r="I28" i="2"/>
  <c r="D48" i="2" s="1"/>
  <c r="D29" i="2"/>
  <c r="E29" i="2"/>
  <c r="F29" i="2"/>
  <c r="G29" i="2"/>
  <c r="H29" i="2"/>
  <c r="I29" i="2"/>
  <c r="J29" i="2"/>
  <c r="D23" i="2"/>
  <c r="Q17" i="2"/>
  <c r="H17" i="2"/>
  <c r="Q16" i="2"/>
  <c r="P16" i="2"/>
  <c r="H16" i="2"/>
  <c r="G16" i="2"/>
  <c r="Q15" i="2"/>
  <c r="P15" i="2"/>
  <c r="O15" i="2"/>
  <c r="H15" i="2"/>
  <c r="G15" i="2"/>
  <c r="F15" i="2"/>
  <c r="H26" i="2" s="1"/>
  <c r="Q14" i="2"/>
  <c r="P14" i="2"/>
  <c r="O14" i="2"/>
  <c r="N14" i="2"/>
  <c r="H14" i="2"/>
  <c r="J25" i="2" s="1"/>
  <c r="G14" i="2"/>
  <c r="I25" i="2" s="1"/>
  <c r="F14" i="2"/>
  <c r="H25" i="2" s="1"/>
  <c r="E14" i="2"/>
  <c r="G25" i="2" s="1"/>
  <c r="Q13" i="2"/>
  <c r="P13" i="2"/>
  <c r="O13" i="2"/>
  <c r="N13" i="2"/>
  <c r="M13" i="2"/>
  <c r="H13" i="2"/>
  <c r="G13" i="2"/>
  <c r="I24" i="2" s="1"/>
  <c r="F13" i="2"/>
  <c r="H24" i="2" s="1"/>
  <c r="E13" i="2"/>
  <c r="D13" i="2"/>
  <c r="Q12" i="2"/>
  <c r="P12" i="2"/>
  <c r="O12" i="2"/>
  <c r="N12" i="2"/>
  <c r="M12" i="2"/>
  <c r="L12" i="2"/>
  <c r="H12" i="2"/>
  <c r="G12" i="2"/>
  <c r="F12" i="2"/>
  <c r="H23" i="2" s="1"/>
  <c r="E12" i="2"/>
  <c r="G23" i="2" s="1"/>
  <c r="D12" i="2"/>
  <c r="C12" i="2"/>
  <c r="K30" i="7" l="1"/>
  <c r="K33" i="7" s="1"/>
  <c r="C18" i="6"/>
  <c r="G18" i="6"/>
  <c r="K18" i="6"/>
  <c r="I26" i="2"/>
  <c r="F49" i="2"/>
  <c r="D45" i="2"/>
  <c r="D49" i="2"/>
  <c r="E22" i="6"/>
  <c r="I18" i="6"/>
  <c r="I22" i="6"/>
  <c r="M18" i="6"/>
  <c r="E23" i="2"/>
  <c r="N23" i="2" s="1" a="1"/>
  <c r="I23" i="2"/>
  <c r="F24" i="2"/>
  <c r="J24" i="2"/>
  <c r="J26" i="2"/>
  <c r="I27" i="2"/>
  <c r="J28" i="2"/>
  <c r="E32" i="2"/>
  <c r="I32" i="2"/>
  <c r="F43" i="2"/>
  <c r="C19" i="6"/>
  <c r="C21" i="6"/>
  <c r="C23" i="6"/>
  <c r="G19" i="6"/>
  <c r="G21" i="6"/>
  <c r="G23" i="6"/>
  <c r="K19" i="6"/>
  <c r="K21" i="6"/>
  <c r="K23" i="6"/>
  <c r="F45" i="2"/>
  <c r="F23" i="2"/>
  <c r="J23" i="2"/>
  <c r="G24" i="2"/>
  <c r="J27" i="2"/>
  <c r="E19" i="6"/>
  <c r="E21" i="6"/>
  <c r="E23" i="6"/>
  <c r="I19" i="6"/>
  <c r="I21" i="6"/>
  <c r="I23" i="6"/>
  <c r="M16" i="1"/>
  <c r="G15" i="1"/>
  <c r="D16" i="1"/>
  <c r="E15" i="1" s="1"/>
  <c r="D17" i="1"/>
  <c r="D18" i="1"/>
  <c r="D15" i="1"/>
  <c r="E11" i="1"/>
  <c r="F11" i="1"/>
  <c r="G11" i="1"/>
  <c r="H11" i="1"/>
  <c r="E12" i="1"/>
  <c r="F12" i="1"/>
  <c r="G12" i="1"/>
  <c r="H12" i="1"/>
  <c r="E13" i="1"/>
  <c r="F13" i="1"/>
  <c r="G13" i="1"/>
  <c r="H13" i="1"/>
  <c r="F10" i="1"/>
  <c r="G10" i="1"/>
  <c r="H10" i="1"/>
  <c r="E10" i="1"/>
  <c r="L10" i="1" s="1" a="1"/>
  <c r="L10" i="1" s="1"/>
  <c r="K31" i="7" l="1"/>
  <c r="K32" i="7" s="1"/>
  <c r="N33" i="7" s="1"/>
  <c r="N23" i="2"/>
  <c r="T28" i="2"/>
  <c r="S27" i="2"/>
  <c r="R26" i="2"/>
  <c r="Q25" i="2"/>
  <c r="P24" i="2"/>
  <c r="O23" i="2"/>
  <c r="N29" i="2"/>
  <c r="T27" i="2"/>
  <c r="S26" i="2"/>
  <c r="R25" i="2"/>
  <c r="Q24" i="2"/>
  <c r="P23" i="2"/>
  <c r="T24" i="2"/>
  <c r="S29" i="2"/>
  <c r="R28" i="2"/>
  <c r="Q27" i="2"/>
  <c r="P26" i="2"/>
  <c r="O25" i="2"/>
  <c r="N24" i="2"/>
  <c r="T29" i="2"/>
  <c r="S28" i="2"/>
  <c r="R27" i="2"/>
  <c r="Q26" i="2"/>
  <c r="P25" i="2"/>
  <c r="O24" i="2"/>
  <c r="Q29" i="2"/>
  <c r="P28" i="2"/>
  <c r="O27" i="2"/>
  <c r="N26" i="2"/>
  <c r="S23" i="2"/>
  <c r="R29" i="2"/>
  <c r="Q28" i="2"/>
  <c r="P27" i="2"/>
  <c r="O26" i="2"/>
  <c r="N25" i="2"/>
  <c r="T23" i="2"/>
  <c r="O29" i="2"/>
  <c r="N28" i="2"/>
  <c r="T26" i="2"/>
  <c r="S25" i="2"/>
  <c r="R24" i="2"/>
  <c r="Q23" i="2"/>
  <c r="P29" i="2"/>
  <c r="O28" i="2"/>
  <c r="N27" i="2"/>
  <c r="T25" i="2"/>
  <c r="S24" i="2"/>
  <c r="R23" i="2"/>
  <c r="F25" i="1"/>
  <c r="D25" i="1"/>
  <c r="F23" i="1"/>
  <c r="D23" i="1"/>
  <c r="F24" i="1"/>
  <c r="D24" i="1"/>
  <c r="F26" i="1"/>
  <c r="D26" i="1"/>
  <c r="F15" i="1"/>
  <c r="J16" i="1" s="1"/>
  <c r="O13" i="1"/>
  <c r="M13" i="1"/>
  <c r="O12" i="1"/>
  <c r="M12" i="1"/>
  <c r="O11" i="1"/>
  <c r="M11" i="1"/>
  <c r="O10" i="1"/>
  <c r="M10" i="1"/>
  <c r="N13" i="1"/>
  <c r="L13" i="1"/>
  <c r="N12" i="1"/>
  <c r="L12" i="1"/>
  <c r="N11" i="1"/>
  <c r="L11" i="1"/>
  <c r="N10" i="1"/>
  <c r="H35" i="2" l="1"/>
</calcChain>
</file>

<file path=xl/sharedStrings.xml><?xml version="1.0" encoding="utf-8"?>
<sst xmlns="http://schemas.openxmlformats.org/spreadsheetml/2006/main" count="247" uniqueCount="160">
  <si>
    <t>n1 = 60</t>
  </si>
  <si>
    <t>Xbarra 1 =</t>
  </si>
  <si>
    <t>SIERRA  1</t>
  </si>
  <si>
    <t>S1  =</t>
  </si>
  <si>
    <t>SIERRA  2</t>
  </si>
  <si>
    <t>n2 = 70</t>
  </si>
  <si>
    <t>Xbarra2 =</t>
  </si>
  <si>
    <t>S2 =</t>
  </si>
  <si>
    <t>A)</t>
  </si>
  <si>
    <r>
      <t>[(1/n1)S1 + (1/n2)S1]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 xml:space="preserve"> =</t>
    </r>
  </si>
  <si>
    <t>Xbarra1 - Xbarra2 =</t>
  </si>
  <si>
    <t>T^2  =</t>
  </si>
  <si>
    <t>valor crítico =</t>
  </si>
  <si>
    <t>Como T^2 &lt; 9.5  se infiere que los vectores de medias son iguales en las dos sierras.</t>
  </si>
  <si>
    <t>B)</t>
  </si>
  <si>
    <t>Son muestras suficientemente grandes, luego se aplica la teoria d emuestras grandes.</t>
  </si>
  <si>
    <r>
      <t xml:space="preserve">&lt;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1 - </t>
    </r>
    <r>
      <rPr>
        <sz val="11"/>
        <color theme="1"/>
        <rFont val="Symbol"/>
        <family val="1"/>
        <charset val="2"/>
      </rPr>
      <t>m1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</si>
  <si>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m2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m2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</si>
  <si>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m3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m3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</si>
  <si>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m4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m4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</si>
  <si>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m5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m5</t>
    </r>
    <r>
      <rPr>
        <sz val="11"/>
        <color theme="1"/>
        <rFont val="Calibri"/>
        <family val="2"/>
        <scheme val="minor"/>
      </rPr>
      <t xml:space="preserve"> &lt;</t>
    </r>
  </si>
  <si>
    <t>Sierra1  -  Sierra2</t>
  </si>
  <si>
    <t>(1/n1)S1 + (1/n2)S2  =</t>
  </si>
  <si>
    <t>De acuerdo al resultado del A) ya se esperaba que todos los IC incluyan al cero.</t>
  </si>
  <si>
    <t>MAQUINA  1        (n1 = 60)</t>
  </si>
  <si>
    <t>MAQUINA  2        (n2 = 80)</t>
  </si>
  <si>
    <t>Xbarra =</t>
  </si>
  <si>
    <t>S2  =</t>
  </si>
  <si>
    <t>Las muestras son muy grandes, se aplica la teoria de muestras grandes.</t>
  </si>
  <si>
    <t>(1/n1)S1 + (1/n2)S2 =</t>
  </si>
  <si>
    <r>
      <t>[(1/n1)S1 + (1/n2)S2]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 =</t>
    </r>
  </si>
  <si>
    <t>Como  T^2 &gt; 14.1  se infiere que los vectores de medias no son iguales.</t>
  </si>
  <si>
    <t>Máquina1  -  Máquina2</t>
  </si>
  <si>
    <r>
      <t xml:space="preserve">&lt; </t>
    </r>
    <r>
      <rPr>
        <sz val="11"/>
        <color theme="1"/>
        <rFont val="Symbol"/>
        <family val="1"/>
        <charset val="2"/>
      </rPr>
      <t>m6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m6</t>
    </r>
    <r>
      <rPr>
        <sz val="11"/>
        <color theme="1"/>
        <rFont val="Calibri"/>
        <family val="2"/>
        <scheme val="minor"/>
      </rPr>
      <t xml:space="preserve"> &lt;</t>
    </r>
  </si>
  <si>
    <r>
      <t xml:space="preserve">&lt; </t>
    </r>
    <r>
      <rPr>
        <sz val="11"/>
        <color theme="1"/>
        <rFont val="Symbol"/>
        <family val="1"/>
        <charset val="2"/>
      </rPr>
      <t>m7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m7</t>
    </r>
    <r>
      <rPr>
        <sz val="11"/>
        <color theme="1"/>
        <rFont val="Calibri"/>
        <family val="2"/>
        <scheme val="minor"/>
      </rPr>
      <t xml:space="preserve"> &lt;</t>
    </r>
  </si>
  <si>
    <t xml:space="preserve">General Linear Model: x1, x2, x3, x4, x5, x6 versus turno </t>
  </si>
  <si>
    <t>MANOVA for turno</t>
  </si>
  <si>
    <t>s = 2    m = 1.5    n = 45.0</t>
  </si>
  <si>
    <t xml:space="preserve">                       Test             DF</t>
  </si>
  <si>
    <t>Criterion         Statistic      F  Num  Denom      P</t>
  </si>
  <si>
    <t>Wilks'              0.86651  1.139   12    184  0.331</t>
  </si>
  <si>
    <t>Lawley-Hotelling    0.14874  1.128   12    182  0.340</t>
  </si>
  <si>
    <t>Pillai's            0.13810  1.150   12    186  0.323</t>
  </si>
  <si>
    <t>Roy's               0.08891</t>
  </si>
  <si>
    <t>SSCP Matrix (adjusted) for turno</t>
  </si>
  <si>
    <t xml:space="preserve">        x1      x2      x3      x4      x5      x6</t>
  </si>
  <si>
    <t>x1   0.392   -0.83    4.47    -5.7    11.8   -0.40</t>
  </si>
  <si>
    <t>x2  -0.834    3.53    2.57    25.4   -55.7   -3.06</t>
  </si>
  <si>
    <t>x3   4.469    2.57  133.89    26.2   -77.1  -31.57</t>
  </si>
  <si>
    <t>x4  -5.699   25.37   26.21   182.9  -403.0  -23.76</t>
  </si>
  <si>
    <t>x5  11.767  -55.73  -77.13  -403.0   890.6   56.54</t>
  </si>
  <si>
    <t>x6  -0.404   -3.06  -31.57   -23.8    56.5    9.18</t>
  </si>
  <si>
    <t>SSCP Matrix (adjusted) for Error</t>
  </si>
  <si>
    <t xml:space="preserve">        x1      x2      x3       x4      x5     x6</t>
  </si>
  <si>
    <t>x1  103.23   -13.8   -10.4     47.5     272      9</t>
  </si>
  <si>
    <t>x2  -13.85   170.3   316.0    -40.2    1284   -181</t>
  </si>
  <si>
    <t>x3  -10.43   316.0  2586.7   -507.2    3759   -539</t>
  </si>
  <si>
    <t>x4   47.52   -40.2  -507.2  53906.5   34607    -90</t>
  </si>
  <si>
    <t>x5  272.35  1284.3  3758.9  34607.0  113787  -2362</t>
  </si>
  <si>
    <t>x6    8.83  -180.7  -539.0    -90.2   -2362    337</t>
  </si>
  <si>
    <t>Partial Correlations for the Error SSCP Matrix</t>
  </si>
  <si>
    <t xml:space="preserve">          x1        x2        x3        x4        x5        x6</t>
  </si>
  <si>
    <t>x1   1.00000  -0.10444  -0.02018   0.02014   0.07947   0.04731</t>
  </si>
  <si>
    <t>x2  -0.10444   1.00000   0.47622  -0.01326   0.29180  -0.75384</t>
  </si>
  <si>
    <t>x3  -0.02018   0.47622   1.00000  -0.04295   0.21910  -0.57688</t>
  </si>
  <si>
    <t>x4   0.02014  -0.01326  -0.04295   1.00000   0.44187  -0.02116</t>
  </si>
  <si>
    <t>x5   0.07947   0.29180   0.21910   0.44187   1.00000  -0.38117</t>
  </si>
  <si>
    <t>x6   0.04731  -0.75384  -0.57688  -0.02116  -0.38117   1.00000</t>
  </si>
  <si>
    <t>Como el p-value &gt; 0.05, se infiere que los vectores</t>
  </si>
  <si>
    <t>de medias son iguales en los tres turnos.</t>
  </si>
  <si>
    <t>valor critico =</t>
  </si>
  <si>
    <t>Estadistico de Bartlett =</t>
  </si>
  <si>
    <t>Luego se infiere que los vectores de medias son iguales en los 3 turnos.</t>
  </si>
  <si>
    <t>W =</t>
  </si>
  <si>
    <t>W/(N-k) =</t>
  </si>
  <si>
    <t>Turno 1  -  Turno 2</t>
  </si>
  <si>
    <t>Xbarra1 =</t>
  </si>
  <si>
    <t>Xbarra3 =</t>
  </si>
  <si>
    <t>turno 1</t>
  </si>
  <si>
    <t>turno 2</t>
  </si>
  <si>
    <t>turno 3</t>
  </si>
  <si>
    <t>n1 = 30</t>
  </si>
  <si>
    <t>n2 = 30</t>
  </si>
  <si>
    <t>n3 = 40</t>
  </si>
  <si>
    <r>
      <t xml:space="preserve"> &lt;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 xml:space="preserve">1 -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1 &lt;</t>
    </r>
  </si>
  <si>
    <r>
      <t xml:space="preserve"> &lt; </t>
    </r>
    <r>
      <rPr>
        <sz val="11"/>
        <color theme="1"/>
        <rFont val="Symbol"/>
        <family val="1"/>
        <charset val="2"/>
      </rPr>
      <t>m3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m3</t>
    </r>
    <r>
      <rPr>
        <sz val="11"/>
        <color theme="1"/>
        <rFont val="Calibri"/>
        <family val="2"/>
        <scheme val="minor"/>
      </rPr>
      <t>&lt;</t>
    </r>
  </si>
  <si>
    <r>
      <t xml:space="preserve"> &lt; </t>
    </r>
    <r>
      <rPr>
        <sz val="11"/>
        <color theme="1"/>
        <rFont val="Symbol"/>
        <family val="1"/>
        <charset val="2"/>
      </rPr>
      <t>m2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2&lt;</t>
    </r>
  </si>
  <si>
    <r>
      <t xml:space="preserve"> &lt; </t>
    </r>
    <r>
      <rPr>
        <sz val="11"/>
        <color theme="1"/>
        <rFont val="Symbol"/>
        <family val="1"/>
        <charset val="2"/>
      </rPr>
      <t>m4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m4</t>
    </r>
    <r>
      <rPr>
        <sz val="11"/>
        <color theme="1"/>
        <rFont val="Calibri"/>
        <family val="2"/>
        <scheme val="minor"/>
      </rPr>
      <t>&lt;</t>
    </r>
  </si>
  <si>
    <r>
      <t xml:space="preserve"> &lt; </t>
    </r>
    <r>
      <rPr>
        <sz val="11"/>
        <color theme="1"/>
        <rFont val="Symbol"/>
        <family val="1"/>
        <charset val="2"/>
      </rPr>
      <t>m5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m5</t>
    </r>
    <r>
      <rPr>
        <sz val="11"/>
        <color theme="1"/>
        <rFont val="Calibri"/>
        <family val="2"/>
        <scheme val="minor"/>
      </rPr>
      <t>&lt;</t>
    </r>
  </si>
  <si>
    <r>
      <t xml:space="preserve"> &lt; </t>
    </r>
    <r>
      <rPr>
        <sz val="11"/>
        <color theme="1"/>
        <rFont val="Symbol"/>
        <family val="1"/>
        <charset val="2"/>
      </rPr>
      <t>m6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m6</t>
    </r>
    <r>
      <rPr>
        <sz val="11"/>
        <color theme="1"/>
        <rFont val="Calibri"/>
        <family val="2"/>
        <scheme val="minor"/>
      </rPr>
      <t>&lt;</t>
    </r>
  </si>
  <si>
    <t>Turno 1  -  Turno 3</t>
  </si>
  <si>
    <t>MANOVA for universidad</t>
  </si>
  <si>
    <t>s = 2    m = 1.5    n = 118.0</t>
  </si>
  <si>
    <t>Wilks'              0.91647  1.768   12    476  0.051</t>
  </si>
  <si>
    <t>Lawley-Hotelling    0.08934  1.764   12    474  0.051</t>
  </si>
  <si>
    <t>Pillai's            0.08519  1.772   12    478  0.050</t>
  </si>
  <si>
    <t>Roy's               0.05837</t>
  </si>
  <si>
    <t>SSCP Matrix (adjusted) for universidad</t>
  </si>
  <si>
    <t xml:space="preserve">         x1       x2      x3       x4      x5       x6</t>
  </si>
  <si>
    <t>x1  21815.4  4701.18  290.44  2542.07   62.32  1433.64</t>
  </si>
  <si>
    <t>x2   4701.2  1091.36  116.69   620.04   50.00   144.50</t>
  </si>
  <si>
    <t>x3    290.4   116.69   41.27    83.77   26.11   -94.59</t>
  </si>
  <si>
    <t>x4   2542.1   620.04   83.77   362.88   41.01    15.29</t>
  </si>
  <si>
    <t>x5     62.3    50.00   26.11    41.01   17.27   -72.75</t>
  </si>
  <si>
    <t>x6   1433.6   144.50  -94.59    15.29  -72.75   439.74</t>
  </si>
  <si>
    <t xml:space="preserve">         x1      x2      x3      x4      x5      x6</t>
  </si>
  <si>
    <t>x1  1876679  149741  136807  111677  133892  130415</t>
  </si>
  <si>
    <t>x2   149741   23623    8113    8539    8198    7073</t>
  </si>
  <si>
    <t>x3   136807    8113   21734    6336    8451    5757</t>
  </si>
  <si>
    <t>x4   111677    8539    6336   25484    3772    4916</t>
  </si>
  <si>
    <t>x5   133892    8198    8451    3772   19911    5298</t>
  </si>
  <si>
    <t>x6   130415    7073    5757    4916    5298   19730</t>
  </si>
  <si>
    <t>El p-valor es 5%, "esta en la raya", en estos casos se prefiere no rechazar Ho.</t>
  </si>
  <si>
    <t>para las tres universidades.</t>
  </si>
  <si>
    <t>Luego, no hay suficiente evidencia de que los vectores de medias no sean iguales</t>
  </si>
  <si>
    <t>no sean iguales.  (Tambien esta "en la raya")</t>
  </si>
  <si>
    <t>Luego, no se tiene suficiente evidencia de que los vectores de medias</t>
  </si>
  <si>
    <t>n1 = 72</t>
  </si>
  <si>
    <t>n2 = 86</t>
  </si>
  <si>
    <t>n3 = 88</t>
  </si>
  <si>
    <t>Univ. A</t>
  </si>
  <si>
    <t>Univ. B</t>
  </si>
  <si>
    <t>Univ. C</t>
  </si>
  <si>
    <t>Univ. A - Univ. B</t>
  </si>
  <si>
    <t>Univ. A - Univ. C</t>
  </si>
  <si>
    <t>Univ. B - Univ. C</t>
  </si>
  <si>
    <t>Solo difieren las universidades A y B en la media de habilidades verbales.</t>
  </si>
  <si>
    <t>Resultado extraño, se esparaba que al menos un intervalo no contenga al cero.</t>
  </si>
  <si>
    <t>$`1`</t>
  </si>
  <si>
    <t>$`2`</t>
  </si>
  <si>
    <t>$`3`</t>
  </si>
  <si>
    <t>x1</t>
  </si>
  <si>
    <t>x2</t>
  </si>
  <si>
    <t>x3</t>
  </si>
  <si>
    <t>n1=30</t>
  </si>
  <si>
    <t>n2=30</t>
  </si>
  <si>
    <t>n3=40</t>
  </si>
  <si>
    <t>det(1)=</t>
  </si>
  <si>
    <t>det(2)=</t>
  </si>
  <si>
    <t>det(3)=</t>
  </si>
  <si>
    <t>S(pond)</t>
  </si>
  <si>
    <t>N-k=100-3=97</t>
  </si>
  <si>
    <t>det(S(pond)) =</t>
  </si>
  <si>
    <t>M=</t>
  </si>
  <si>
    <t>p=</t>
  </si>
  <si>
    <t>k=</t>
  </si>
  <si>
    <t>f1=</t>
  </si>
  <si>
    <t>f2=</t>
  </si>
  <si>
    <r>
      <rPr>
        <b/>
        <sz val="11"/>
        <color theme="1"/>
        <rFont val="Symbol"/>
        <family val="1"/>
        <charset val="2"/>
      </rPr>
      <t xml:space="preserve">r </t>
    </r>
    <r>
      <rPr>
        <b/>
        <sz val="11"/>
        <color theme="1"/>
        <rFont val="Calibri"/>
        <family val="2"/>
        <scheme val="minor"/>
      </rPr>
      <t>=</t>
    </r>
  </si>
  <si>
    <r>
      <rPr>
        <b/>
        <sz val="11"/>
        <color theme="1"/>
        <rFont val="Symbol"/>
        <family val="1"/>
        <charset val="2"/>
      </rPr>
      <t xml:space="preserve">g </t>
    </r>
    <r>
      <rPr>
        <b/>
        <sz val="11"/>
        <color theme="1"/>
        <rFont val="Calibri"/>
        <family val="2"/>
        <scheme val="minor"/>
      </rPr>
      <t>=</t>
    </r>
  </si>
  <si>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Calibri"/>
        <family val="2"/>
        <scheme val="minor"/>
      </rPr>
      <t xml:space="preserve">  =</t>
    </r>
  </si>
  <si>
    <r>
      <rPr>
        <b/>
        <sz val="11"/>
        <color theme="1"/>
        <rFont val="Symbol"/>
        <family val="1"/>
        <charset val="2"/>
      </rPr>
      <t>g</t>
    </r>
    <r>
      <rPr>
        <b/>
        <sz val="11"/>
        <color theme="1"/>
        <rFont val="Calibri"/>
        <family val="2"/>
        <scheme val="minor"/>
      </rPr>
      <t>*M  =</t>
    </r>
  </si>
  <si>
    <t>p-valor =</t>
  </si>
  <si>
    <t>No es necesario probar la igualdad de matrices de covarianzas, ya que usamos teoría de muestra grande.</t>
  </si>
  <si>
    <t>&gt; res</t>
  </si>
  <si>
    <t>Box's M-test for Homogeneity of Co</t>
  </si>
  <si>
    <t>x4</t>
  </si>
  <si>
    <t>x5</t>
  </si>
  <si>
    <t>x6</t>
  </si>
  <si>
    <t>Se infiere que las matrices de covarianzas NO son iguales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</si>
</sst>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2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5" fillId="0" borderId="0" xfId="0" applyFont="1"/>
    <xf numFmtId="0" fontId="0" fillId="0" borderId="0" xfId="0"/>
    <xf numFmtId="0" fontId="6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"/>
  <sheetViews>
    <sheetView topLeftCell="A3" workbookViewId="0">
      <selection activeCell="M16" sqref="M16"/>
    </sheetView>
  </sheetViews>
  <sheetFormatPr baseColWidth="10" defaultColWidth="9.140625" defaultRowHeight="15" x14ac:dyDescent="0.25"/>
  <cols>
    <col min="5" max="5" width="11.140625" customWidth="1"/>
  </cols>
  <sheetData>
    <row r="1" spans="2:16" x14ac:dyDescent="0.25">
      <c r="D1" s="5" t="s">
        <v>2</v>
      </c>
      <c r="L1" s="5" t="s">
        <v>4</v>
      </c>
    </row>
    <row r="2" spans="2:16" x14ac:dyDescent="0.25">
      <c r="B2" t="s">
        <v>0</v>
      </c>
      <c r="K2" t="s">
        <v>5</v>
      </c>
    </row>
    <row r="3" spans="2:16" x14ac:dyDescent="0.25">
      <c r="C3" s="1">
        <v>469.32</v>
      </c>
      <c r="E3" s="6">
        <v>4627.179071094919</v>
      </c>
      <c r="F3" s="7">
        <v>-35.436740925423685</v>
      </c>
      <c r="G3" s="7">
        <v>-306.98426171525409</v>
      </c>
      <c r="H3" s="8">
        <v>59.876157615254229</v>
      </c>
      <c r="K3" s="1">
        <v>465.05</v>
      </c>
      <c r="M3" s="6">
        <v>5387.0728241498946</v>
      </c>
      <c r="N3" s="7">
        <v>-9.491065216563058</v>
      </c>
      <c r="O3" s="7">
        <v>-407.46562740041401</v>
      </c>
      <c r="P3" s="8">
        <v>-187.18149260786745</v>
      </c>
    </row>
    <row r="4" spans="2:16" x14ac:dyDescent="0.25">
      <c r="C4" s="2">
        <v>84.525999999999996</v>
      </c>
      <c r="E4" s="9">
        <v>-35.436740925423685</v>
      </c>
      <c r="F4" s="10">
        <v>58.220926535593172</v>
      </c>
      <c r="G4" s="10">
        <v>-1.2565733694915286</v>
      </c>
      <c r="H4" s="11">
        <v>8.6824453423728922</v>
      </c>
      <c r="K4" s="2">
        <v>81.352000000000004</v>
      </c>
      <c r="M4" s="9">
        <v>-9.491065216563058</v>
      </c>
      <c r="N4" s="10">
        <v>56.742368294823997</v>
      </c>
      <c r="O4" s="10">
        <v>12.074158003312638</v>
      </c>
      <c r="P4" s="11">
        <v>12.980544497722573</v>
      </c>
    </row>
    <row r="5" spans="2:16" x14ac:dyDescent="0.25">
      <c r="B5" s="4" t="s">
        <v>1</v>
      </c>
      <c r="C5" s="2">
        <v>26.18</v>
      </c>
      <c r="D5" s="4" t="s">
        <v>3</v>
      </c>
      <c r="E5" s="9">
        <v>-306.98426171525409</v>
      </c>
      <c r="F5" s="10">
        <v>-1.2565733694915286</v>
      </c>
      <c r="G5" s="10">
        <v>153.53962829491527</v>
      </c>
      <c r="H5" s="11">
        <v>-18.095878306779664</v>
      </c>
      <c r="J5" t="s">
        <v>6</v>
      </c>
      <c r="K5" s="2">
        <v>27.53</v>
      </c>
      <c r="L5" s="4" t="s">
        <v>7</v>
      </c>
      <c r="M5" s="9">
        <v>-407.46562740041401</v>
      </c>
      <c r="N5" s="10">
        <v>12.074158003312638</v>
      </c>
      <c r="O5" s="10">
        <v>221.05600102877841</v>
      </c>
      <c r="P5" s="11">
        <v>17.333596126501032</v>
      </c>
    </row>
    <row r="6" spans="2:16" x14ac:dyDescent="0.25">
      <c r="C6" s="3">
        <v>39.33</v>
      </c>
      <c r="E6" s="12">
        <v>59.876157615254229</v>
      </c>
      <c r="F6" s="13">
        <v>8.6824453423728922</v>
      </c>
      <c r="G6" s="13">
        <v>-18.095878306779664</v>
      </c>
      <c r="H6" s="14">
        <v>94.984208694632756</v>
      </c>
      <c r="K6" s="3">
        <v>38.590000000000003</v>
      </c>
      <c r="M6" s="12">
        <v>-187.18149260786745</v>
      </c>
      <c r="N6" s="13">
        <v>12.980544497722573</v>
      </c>
      <c r="O6" s="13">
        <v>17.333596126501032</v>
      </c>
      <c r="P6" s="14">
        <v>76.922392577432674</v>
      </c>
    </row>
    <row r="8" spans="2:16" x14ac:dyDescent="0.25">
      <c r="B8" t="s">
        <v>15</v>
      </c>
    </row>
    <row r="10" spans="2:16" x14ac:dyDescent="0.25">
      <c r="B10" t="s">
        <v>8</v>
      </c>
      <c r="E10" s="15">
        <f>(1/60)*E3+(1/70)*M3</f>
        <v>154.07783438705667</v>
      </c>
      <c r="F10" s="16">
        <f t="shared" ref="F10:H10" si="0">(1/60)*F3+(1/70)*N3</f>
        <v>-0.72619899470796223</v>
      </c>
      <c r="G10" s="16">
        <f t="shared" si="0"/>
        <v>-10.93734189621253</v>
      </c>
      <c r="H10" s="17">
        <f t="shared" si="0"/>
        <v>-1.6760853627152978</v>
      </c>
      <c r="L10" s="15">
        <f t="array" ref="L10:O13">MINVERSE(E10:H13)</f>
        <v>7.5788914685544408E-3</v>
      </c>
      <c r="M10" s="16">
        <v>9.4410414955492582E-4</v>
      </c>
      <c r="N10" s="16">
        <v>1.452088885209322E-2</v>
      </c>
      <c r="O10" s="17">
        <v>4.9124294120187562E-3</v>
      </c>
    </row>
    <row r="11" spans="2:16" ht="17.25" x14ac:dyDescent="0.25">
      <c r="D11" s="4" t="s">
        <v>22</v>
      </c>
      <c r="E11" s="18">
        <f t="shared" ref="E11:E13" si="1">(1/60)*E4+(1/70)*M4</f>
        <v>-0.72619899470796223</v>
      </c>
      <c r="F11" s="19">
        <f t="shared" ref="F11:F13" si="2">(1/60)*F4+(1/70)*N4</f>
        <v>1.780954036947848</v>
      </c>
      <c r="G11" s="19">
        <f t="shared" ref="G11:G13" si="3">(1/60)*G4+(1/70)*O4</f>
        <v>0.15154508198436933</v>
      </c>
      <c r="H11" s="20">
        <f t="shared" ref="H11:H13" si="4">(1/60)*H4+(1/70)*P4</f>
        <v>0.33014377234034686</v>
      </c>
      <c r="K11" s="4" t="s">
        <v>9</v>
      </c>
      <c r="L11" s="18">
        <v>9.4410414955492614E-4</v>
      </c>
      <c r="M11" s="19">
        <v>0.57617569023670934</v>
      </c>
      <c r="N11" s="19">
        <v>-1.4133854731504629E-2</v>
      </c>
      <c r="O11" s="20">
        <v>-7.0620438164429089E-2</v>
      </c>
    </row>
    <row r="12" spans="2:16" x14ac:dyDescent="0.25">
      <c r="E12" s="18">
        <f t="shared" si="1"/>
        <v>-10.93734189621253</v>
      </c>
      <c r="F12" s="19">
        <f t="shared" si="2"/>
        <v>0.15154508198436933</v>
      </c>
      <c r="G12" s="19">
        <f t="shared" si="3"/>
        <v>5.7169366767549459</v>
      </c>
      <c r="H12" s="20">
        <f t="shared" si="4"/>
        <v>-5.3975169972503484E-2</v>
      </c>
      <c r="L12" s="18">
        <v>1.452088885209322E-2</v>
      </c>
      <c r="M12" s="19">
        <v>-1.4133854731504629E-2</v>
      </c>
      <c r="N12" s="19">
        <v>0.2032148290302887</v>
      </c>
      <c r="O12" s="20">
        <v>1.4904393221315712E-2</v>
      </c>
    </row>
    <row r="13" spans="2:16" x14ac:dyDescent="0.25">
      <c r="E13" s="21">
        <f t="shared" si="1"/>
        <v>-1.6760853627152978</v>
      </c>
      <c r="F13" s="22">
        <f t="shared" si="2"/>
        <v>0.33014377234034686</v>
      </c>
      <c r="G13" s="22">
        <f t="shared" si="3"/>
        <v>-5.3975169972503484E-2</v>
      </c>
      <c r="H13" s="23">
        <f t="shared" si="4"/>
        <v>2.6819614674452987</v>
      </c>
      <c r="L13" s="21">
        <v>4.9124294120187562E-3</v>
      </c>
      <c r="M13" s="22">
        <v>-7.0620438164429089E-2</v>
      </c>
      <c r="N13" s="22">
        <v>1.4904393221315712E-2</v>
      </c>
      <c r="O13" s="23">
        <v>0.3849246264651276</v>
      </c>
    </row>
    <row r="15" spans="2:16" x14ac:dyDescent="0.25">
      <c r="D15" s="1">
        <f>C3-K3</f>
        <v>4.2699999999999818</v>
      </c>
      <c r="E15">
        <f>D16</f>
        <v>3.1739999999999924</v>
      </c>
      <c r="F15">
        <f>D17</f>
        <v>-1.3500000000000014</v>
      </c>
      <c r="G15">
        <f>D18</f>
        <v>0.73999999999999488</v>
      </c>
    </row>
    <row r="16" spans="2:16" x14ac:dyDescent="0.25">
      <c r="C16" s="4" t="s">
        <v>10</v>
      </c>
      <c r="D16" s="2">
        <f t="shared" ref="D16:D18" si="5">C4-K4</f>
        <v>3.1739999999999924</v>
      </c>
      <c r="I16" s="4" t="s">
        <v>11</v>
      </c>
      <c r="J16">
        <f>MMULT(MMULT(D15:G15,L10:O13),D15:D18)</f>
        <v>6.1727103701378701</v>
      </c>
      <c r="L16" s="4" t="s">
        <v>12</v>
      </c>
      <c r="M16">
        <f>CHIINV(0.05,4)</f>
        <v>9.4877290367811575</v>
      </c>
    </row>
    <row r="17" spans="2:8" x14ac:dyDescent="0.25">
      <c r="D17" s="2">
        <f t="shared" si="5"/>
        <v>-1.3500000000000014</v>
      </c>
      <c r="H17" t="s">
        <v>13</v>
      </c>
    </row>
    <row r="18" spans="2:8" x14ac:dyDescent="0.25">
      <c r="D18" s="3">
        <f t="shared" si="5"/>
        <v>0.73999999999999488</v>
      </c>
    </row>
    <row r="22" spans="2:8" x14ac:dyDescent="0.25">
      <c r="B22" t="s">
        <v>14</v>
      </c>
      <c r="E22" s="24" t="s">
        <v>21</v>
      </c>
    </row>
    <row r="23" spans="2:8" x14ac:dyDescent="0.25">
      <c r="D23">
        <f>$D15-SQRT(CHIINV(0.05,4)*$E10)</f>
        <v>-33.964130606546256</v>
      </c>
      <c r="E23" s="24" t="s">
        <v>16</v>
      </c>
      <c r="F23">
        <f>$D15+SQRT(CHIINV(0.05,4)*$E10)</f>
        <v>42.504130606546219</v>
      </c>
      <c r="H23" t="s">
        <v>23</v>
      </c>
    </row>
    <row r="24" spans="2:8" x14ac:dyDescent="0.25">
      <c r="D24">
        <f>$D16-SQRT(CHIINV(0.05,4)*$F11)</f>
        <v>-0.93662152594018089</v>
      </c>
      <c r="E24" s="24" t="s">
        <v>17</v>
      </c>
      <c r="F24">
        <f>$D16+SQRT(CHIINV(0.05,4)*$F11)</f>
        <v>7.2846215259401657</v>
      </c>
    </row>
    <row r="25" spans="2:8" x14ac:dyDescent="0.25">
      <c r="D25">
        <f>$D17-SQRT(CHIINV(0.05,4)*$G12)</f>
        <v>-8.7148317095156429</v>
      </c>
      <c r="E25" s="24" t="s">
        <v>18</v>
      </c>
      <c r="F25">
        <f>$D17+SQRT(CHIINV(0.05,4)*$G12)</f>
        <v>6.0148317095156392</v>
      </c>
    </row>
    <row r="26" spans="2:8" x14ac:dyDescent="0.25">
      <c r="D26">
        <f>$D18-SQRT(CHIINV(0.05,4)*$H13)</f>
        <v>-4.3043754509561456</v>
      </c>
      <c r="E26" s="24" t="s">
        <v>19</v>
      </c>
      <c r="F26">
        <f>$D18+SQRT(CHIINV(0.05,4)*$H13)</f>
        <v>5.7843754509561354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49"/>
  <sheetViews>
    <sheetView topLeftCell="A30" workbookViewId="0">
      <selection activeCell="H43" sqref="H43"/>
    </sheetView>
  </sheetViews>
  <sheetFormatPr baseColWidth="10" defaultColWidth="9.140625" defaultRowHeight="15" x14ac:dyDescent="0.25"/>
  <cols>
    <col min="5" max="5" width="11.7109375" customWidth="1"/>
  </cols>
  <sheetData>
    <row r="2" spans="1:17" x14ac:dyDescent="0.25">
      <c r="B2" t="s">
        <v>24</v>
      </c>
      <c r="J2" t="s">
        <v>25</v>
      </c>
    </row>
    <row r="4" spans="1:17" x14ac:dyDescent="0.25">
      <c r="B4" s="25">
        <v>124.03</v>
      </c>
      <c r="K4" s="25">
        <v>125.73</v>
      </c>
    </row>
    <row r="5" spans="1:17" x14ac:dyDescent="0.25">
      <c r="B5" s="26">
        <v>133.9</v>
      </c>
      <c r="K5" s="26">
        <v>137.91999999999999</v>
      </c>
    </row>
    <row r="6" spans="1:17" x14ac:dyDescent="0.25">
      <c r="A6" t="s">
        <v>26</v>
      </c>
      <c r="B6" s="26">
        <v>8.9610000000000003</v>
      </c>
      <c r="J6" t="s">
        <v>26</v>
      </c>
      <c r="K6" s="26">
        <v>8.2059999999999995</v>
      </c>
    </row>
    <row r="7" spans="1:17" x14ac:dyDescent="0.25">
      <c r="B7" s="26">
        <v>7.9880000000000004</v>
      </c>
      <c r="K7" s="26">
        <v>8.3670000000000009</v>
      </c>
    </row>
    <row r="8" spans="1:17" x14ac:dyDescent="0.25">
      <c r="B8" s="26">
        <v>51.3</v>
      </c>
      <c r="K8" s="26">
        <v>50.93</v>
      </c>
    </row>
    <row r="9" spans="1:17" x14ac:dyDescent="0.25">
      <c r="B9" s="26">
        <v>39.729999999999997</v>
      </c>
      <c r="K9" s="26">
        <v>40.725999999999999</v>
      </c>
    </row>
    <row r="10" spans="1:17" x14ac:dyDescent="0.25">
      <c r="B10" s="27">
        <v>8.9169999999999998</v>
      </c>
      <c r="K10" s="27">
        <v>9.1790000000000003</v>
      </c>
    </row>
    <row r="12" spans="1:17" x14ac:dyDescent="0.25">
      <c r="B12" s="15">
        <v>599.92092000000002</v>
      </c>
      <c r="C12" s="16">
        <f>B13</f>
        <v>645.84289000000001</v>
      </c>
      <c r="D12" s="16">
        <f>B14</f>
        <v>45.501370000000001</v>
      </c>
      <c r="E12" s="16">
        <f>B15</f>
        <v>39.21181</v>
      </c>
      <c r="F12" s="16">
        <f>B16</f>
        <v>227.31139999999999</v>
      </c>
      <c r="G12" s="16">
        <f>B17</f>
        <v>188.15965</v>
      </c>
      <c r="H12" s="17">
        <f>B18</f>
        <v>43.299010000000003</v>
      </c>
      <c r="K12" s="15">
        <v>575.27043000000003</v>
      </c>
      <c r="L12" s="16">
        <f>K13</f>
        <v>618.91886</v>
      </c>
      <c r="M12" s="16">
        <f>K14</f>
        <v>45.707369999999997</v>
      </c>
      <c r="N12" s="16">
        <f>K15</f>
        <v>38.201949999999997</v>
      </c>
      <c r="O12" s="16">
        <f>K16</f>
        <v>225.8663</v>
      </c>
      <c r="P12" s="16">
        <f>K17</f>
        <v>175.25235000000001</v>
      </c>
      <c r="Q12" s="17">
        <f>K18</f>
        <v>41.494239999999998</v>
      </c>
    </row>
    <row r="13" spans="1:17" x14ac:dyDescent="0.25">
      <c r="B13" s="18">
        <v>645.84289000000001</v>
      </c>
      <c r="C13" s="19">
        <v>696.78679999999997</v>
      </c>
      <c r="D13" s="19">
        <f>C14</f>
        <v>48.461329999999997</v>
      </c>
      <c r="E13" s="19">
        <f>C15</f>
        <v>41.697360000000003</v>
      </c>
      <c r="F13" s="19">
        <f>C16</f>
        <v>244.34511000000001</v>
      </c>
      <c r="G13" s="19">
        <f>C17</f>
        <v>202.89604</v>
      </c>
      <c r="H13" s="20">
        <f>C18</f>
        <v>46.873869999999997</v>
      </c>
      <c r="K13" s="18">
        <v>618.91886</v>
      </c>
      <c r="L13" s="19">
        <v>667.58465000000001</v>
      </c>
      <c r="M13" s="19">
        <f>L14</f>
        <v>48.857999999999997</v>
      </c>
      <c r="N13" s="19">
        <f>L15</f>
        <v>40.403959999999998</v>
      </c>
      <c r="O13" s="19">
        <f>L16</f>
        <v>243.20193</v>
      </c>
      <c r="P13" s="19">
        <f>L17</f>
        <v>189.21062000000001</v>
      </c>
      <c r="Q13" s="20">
        <f>L18</f>
        <v>44.853000000000002</v>
      </c>
    </row>
    <row r="14" spans="1:17" x14ac:dyDescent="0.25">
      <c r="B14" s="18">
        <v>45.501370000000001</v>
      </c>
      <c r="C14" s="19">
        <v>48.461329999999997</v>
      </c>
      <c r="D14" s="19">
        <v>4.8676000000000004</v>
      </c>
      <c r="E14" s="19">
        <f>D15</f>
        <v>4.0449200000000003</v>
      </c>
      <c r="F14" s="19">
        <f>D16</f>
        <v>17.472049999999999</v>
      </c>
      <c r="G14" s="19">
        <f>D17</f>
        <v>14.16381</v>
      </c>
      <c r="H14" s="20">
        <f>D18</f>
        <v>2.8787099999999999</v>
      </c>
      <c r="K14" s="18">
        <v>45.707369999999997</v>
      </c>
      <c r="L14" s="19">
        <v>48.857999999999997</v>
      </c>
      <c r="M14" s="19">
        <v>4.7199900000000001</v>
      </c>
      <c r="N14" s="19">
        <f>M15</f>
        <v>3.9505400000000002</v>
      </c>
      <c r="O14" s="19">
        <f>M16</f>
        <v>18.033439999999999</v>
      </c>
      <c r="P14" s="19">
        <f>M17</f>
        <v>13.291219999999999</v>
      </c>
      <c r="Q14" s="20">
        <f>M18</f>
        <v>3.0199699999999998</v>
      </c>
    </row>
    <row r="15" spans="1:17" x14ac:dyDescent="0.25">
      <c r="A15" s="4" t="s">
        <v>3</v>
      </c>
      <c r="B15" s="18">
        <v>39.21181</v>
      </c>
      <c r="C15" s="19">
        <v>41.697360000000003</v>
      </c>
      <c r="D15" s="19">
        <v>4.0449200000000003</v>
      </c>
      <c r="E15" s="19">
        <v>4.1178299999999997</v>
      </c>
      <c r="F15" s="19">
        <f>E16</f>
        <v>14.73732</v>
      </c>
      <c r="G15" s="19">
        <f>E17</f>
        <v>11.3687</v>
      </c>
      <c r="H15" s="20">
        <f>E18</f>
        <v>2.5971700000000002</v>
      </c>
      <c r="J15" s="4" t="s">
        <v>27</v>
      </c>
      <c r="K15" s="18">
        <v>38.201949999999997</v>
      </c>
      <c r="L15" s="19">
        <v>40.403959999999998</v>
      </c>
      <c r="M15" s="19">
        <v>3.9505400000000002</v>
      </c>
      <c r="N15" s="19">
        <v>4.1772299999999998</v>
      </c>
      <c r="O15" s="19">
        <f>N16</f>
        <v>14.44286</v>
      </c>
      <c r="P15" s="19">
        <f>N17</f>
        <v>10.82841</v>
      </c>
      <c r="Q15" s="20">
        <f>N18</f>
        <v>2.5692200000000001</v>
      </c>
    </row>
    <row r="16" spans="1:17" x14ac:dyDescent="0.25">
      <c r="B16" s="18">
        <v>227.31139999999999</v>
      </c>
      <c r="C16" s="19">
        <v>244.34511000000001</v>
      </c>
      <c r="D16" s="19">
        <v>17.472049999999999</v>
      </c>
      <c r="E16" s="19">
        <v>14.73732</v>
      </c>
      <c r="F16" s="19">
        <v>97.056899999999999</v>
      </c>
      <c r="G16" s="19">
        <f>F17</f>
        <v>70.604950000000002</v>
      </c>
      <c r="H16" s="20">
        <f>F18</f>
        <v>16.079979999999999</v>
      </c>
      <c r="K16" s="18">
        <v>225.8663</v>
      </c>
      <c r="L16" s="19">
        <v>243.20193</v>
      </c>
      <c r="M16" s="19">
        <v>18.033439999999999</v>
      </c>
      <c r="N16" s="19">
        <v>14.44286</v>
      </c>
      <c r="O16" s="19">
        <v>95.498050000000006</v>
      </c>
      <c r="P16" s="19">
        <f>O17</f>
        <v>67.830939999999998</v>
      </c>
      <c r="Q16" s="20">
        <f>O18</f>
        <v>16.084710000000001</v>
      </c>
    </row>
    <row r="17" spans="2:20" x14ac:dyDescent="0.25">
      <c r="B17" s="18">
        <v>188.15965</v>
      </c>
      <c r="C17" s="19">
        <v>202.89604</v>
      </c>
      <c r="D17" s="19">
        <v>14.16381</v>
      </c>
      <c r="E17" s="19">
        <v>11.3687</v>
      </c>
      <c r="F17" s="19">
        <v>70.604950000000002</v>
      </c>
      <c r="G17" s="19">
        <v>63.48021</v>
      </c>
      <c r="H17" s="20">
        <f>G18</f>
        <v>13.68793</v>
      </c>
      <c r="K17" s="18">
        <v>175.25235000000001</v>
      </c>
      <c r="L17" s="19">
        <v>189.21062000000001</v>
      </c>
      <c r="M17" s="19">
        <v>13.291219999999999</v>
      </c>
      <c r="N17" s="19">
        <v>10.82841</v>
      </c>
      <c r="O17" s="19">
        <v>67.830939999999998</v>
      </c>
      <c r="P17" s="19">
        <v>58.567770000000003</v>
      </c>
      <c r="Q17" s="20">
        <f>P18</f>
        <v>12.80255</v>
      </c>
    </row>
    <row r="18" spans="2:20" x14ac:dyDescent="0.25">
      <c r="B18" s="21">
        <v>43.299010000000003</v>
      </c>
      <c r="C18" s="22">
        <v>46.873869999999997</v>
      </c>
      <c r="D18" s="22">
        <v>2.8787099999999999</v>
      </c>
      <c r="E18" s="22">
        <v>2.5971700000000002</v>
      </c>
      <c r="F18" s="22">
        <v>16.079979999999999</v>
      </c>
      <c r="G18" s="22">
        <v>13.68793</v>
      </c>
      <c r="H18" s="23">
        <v>3.31663</v>
      </c>
      <c r="K18" s="21">
        <v>41.494239999999998</v>
      </c>
      <c r="L18" s="22">
        <v>44.853000000000002</v>
      </c>
      <c r="M18" s="22">
        <v>3.0199699999999998</v>
      </c>
      <c r="N18" s="22">
        <v>2.5692200000000001</v>
      </c>
      <c r="O18" s="22">
        <v>16.084710000000001</v>
      </c>
      <c r="P18" s="22">
        <v>12.80255</v>
      </c>
      <c r="Q18" s="23">
        <v>3.14181</v>
      </c>
    </row>
    <row r="21" spans="2:20" x14ac:dyDescent="0.25">
      <c r="B21" t="s">
        <v>28</v>
      </c>
    </row>
    <row r="23" spans="2:20" x14ac:dyDescent="0.25">
      <c r="B23" t="s">
        <v>8</v>
      </c>
      <c r="D23" s="15">
        <f>(1/60)*B12+(1/80)*K12</f>
        <v>17.189562375000001</v>
      </c>
      <c r="E23" s="16">
        <f t="shared" ref="E23:J23" si="0">(1/60)*C12+(1/80)*L12</f>
        <v>18.500533916666669</v>
      </c>
      <c r="F23" s="16">
        <f t="shared" si="0"/>
        <v>1.3296982916666669</v>
      </c>
      <c r="G23" s="16">
        <f t="shared" si="0"/>
        <v>1.1310545416666666</v>
      </c>
      <c r="H23" s="16">
        <f t="shared" si="0"/>
        <v>6.611852083333333</v>
      </c>
      <c r="I23" s="16">
        <f t="shared" si="0"/>
        <v>5.3266485416666667</v>
      </c>
      <c r="J23" s="17">
        <f t="shared" si="0"/>
        <v>1.2403281666666666</v>
      </c>
      <c r="N23" s="15">
        <f t="array" ref="N23:T29">MINVERSE(D23:J29)</f>
        <v>32.668891787583362</v>
      </c>
      <c r="O23" s="16">
        <v>-28.580430827151996</v>
      </c>
      <c r="P23" s="16">
        <v>9.4385027698174792E-2</v>
      </c>
      <c r="Q23" s="16">
        <v>-12.802802414213176</v>
      </c>
      <c r="R23" s="16">
        <v>-2.228351499042283</v>
      </c>
      <c r="S23" s="16">
        <v>-2.3336928401340682</v>
      </c>
      <c r="T23" s="17">
        <v>7.8275518514434159</v>
      </c>
    </row>
    <row r="24" spans="2:20" x14ac:dyDescent="0.25">
      <c r="D24" s="18">
        <f>(1/60)*B13+(1/80)*K13</f>
        <v>18.500533916666669</v>
      </c>
      <c r="E24" s="19">
        <f t="shared" ref="E24:E29" si="1">(1/60)*C13+(1/80)*L13</f>
        <v>19.957921458333331</v>
      </c>
      <c r="F24" s="19">
        <f t="shared" ref="F24:F29" si="2">(1/60)*D13+(1/80)*M13</f>
        <v>1.4184138333333332</v>
      </c>
      <c r="G24" s="19">
        <f t="shared" ref="G24:G29" si="3">(1/60)*E13+(1/80)*N13</f>
        <v>1.2000055000000001</v>
      </c>
      <c r="H24" s="19">
        <f t="shared" ref="H24:H29" si="4">(1/60)*F13+(1/80)*O13</f>
        <v>7.1124426250000008</v>
      </c>
      <c r="I24" s="19">
        <f t="shared" ref="I24:I29" si="5">(1/60)*G13+(1/80)*P13</f>
        <v>5.7467334166666664</v>
      </c>
      <c r="J24" s="20">
        <f t="shared" ref="J24:J29" si="6">(1/60)*H13+(1/80)*Q13</f>
        <v>1.3418936666666665</v>
      </c>
      <c r="N24" s="18">
        <v>-28.580430827151826</v>
      </c>
      <c r="O24" s="19">
        <v>31.354578813202579</v>
      </c>
      <c r="P24" s="19">
        <v>-17.395351612726589</v>
      </c>
      <c r="Q24" s="19">
        <v>14.190372583186317</v>
      </c>
      <c r="R24" s="19">
        <v>-0.63134233517893878</v>
      </c>
      <c r="S24" s="19">
        <v>-0.14641385234498294</v>
      </c>
      <c r="T24" s="20">
        <v>-61.884129700595722</v>
      </c>
    </row>
    <row r="25" spans="2:20" x14ac:dyDescent="0.25">
      <c r="D25" s="18">
        <f t="shared" ref="D25:D29" si="7">(1/60)*B14+(1/80)*K14</f>
        <v>1.3296982916666669</v>
      </c>
      <c r="E25" s="19">
        <f t="shared" si="1"/>
        <v>1.4184138333333332</v>
      </c>
      <c r="F25" s="19">
        <f t="shared" si="2"/>
        <v>0.14012654166666666</v>
      </c>
      <c r="G25" s="19">
        <f t="shared" si="3"/>
        <v>0.11679708333333334</v>
      </c>
      <c r="H25" s="19">
        <f t="shared" si="4"/>
        <v>0.51661883333333325</v>
      </c>
      <c r="I25" s="19">
        <f t="shared" si="5"/>
        <v>0.40220374999999997</v>
      </c>
      <c r="J25" s="20">
        <f t="shared" si="6"/>
        <v>8.5728125000000002E-2</v>
      </c>
      <c r="N25" s="18">
        <v>9.4385027697201501E-2</v>
      </c>
      <c r="O25" s="19">
        <v>-17.395351612725722</v>
      </c>
      <c r="P25" s="19">
        <v>120.92540154471263</v>
      </c>
      <c r="Q25" s="19">
        <v>-58.839172336549858</v>
      </c>
      <c r="R25" s="19">
        <v>1.0025079332570772</v>
      </c>
      <c r="S25" s="19">
        <v>-5.9227851123138313</v>
      </c>
      <c r="T25" s="20">
        <v>202.26665465239682</v>
      </c>
    </row>
    <row r="26" spans="2:20" ht="17.25" x14ac:dyDescent="0.25">
      <c r="C26" s="4" t="s">
        <v>29</v>
      </c>
      <c r="D26" s="18">
        <f t="shared" si="7"/>
        <v>1.1310545416666666</v>
      </c>
      <c r="E26" s="19">
        <f t="shared" si="1"/>
        <v>1.2000055000000001</v>
      </c>
      <c r="F26" s="19">
        <f t="shared" si="2"/>
        <v>0.11679708333333334</v>
      </c>
      <c r="G26" s="19">
        <f t="shared" si="3"/>
        <v>0.12084587499999999</v>
      </c>
      <c r="H26" s="19">
        <f t="shared" si="4"/>
        <v>0.42615775</v>
      </c>
      <c r="I26" s="19">
        <f t="shared" si="5"/>
        <v>0.32483345833333332</v>
      </c>
      <c r="J26" s="20">
        <f t="shared" si="6"/>
        <v>7.5401416666666665E-2</v>
      </c>
      <c r="M26" s="4" t="s">
        <v>30</v>
      </c>
      <c r="N26" s="18">
        <v>-12.802802414212703</v>
      </c>
      <c r="O26" s="19">
        <v>14.190372583185958</v>
      </c>
      <c r="P26" s="19">
        <v>-58.839172336550206</v>
      </c>
      <c r="Q26" s="19">
        <v>59.40727507440333</v>
      </c>
      <c r="R26" s="19">
        <v>1.9402637280956727</v>
      </c>
      <c r="S26" s="19">
        <v>7.5681597172211639</v>
      </c>
      <c r="T26" s="20">
        <v>-68.168316982030603</v>
      </c>
    </row>
    <row r="27" spans="2:20" x14ac:dyDescent="0.25">
      <c r="D27" s="18">
        <f t="shared" si="7"/>
        <v>6.611852083333333</v>
      </c>
      <c r="E27" s="19">
        <f t="shared" si="1"/>
        <v>7.1124426250000008</v>
      </c>
      <c r="F27" s="19">
        <f t="shared" si="2"/>
        <v>0.51661883333333325</v>
      </c>
      <c r="G27" s="19">
        <f t="shared" si="3"/>
        <v>0.42615775</v>
      </c>
      <c r="H27" s="19">
        <f t="shared" si="4"/>
        <v>2.8113406250000001</v>
      </c>
      <c r="I27" s="19">
        <f t="shared" si="5"/>
        <v>2.024635916666667</v>
      </c>
      <c r="J27" s="20">
        <f t="shared" si="6"/>
        <v>0.46905854166666666</v>
      </c>
      <c r="N27" s="18">
        <v>-2.2283514990423359</v>
      </c>
      <c r="O27" s="19">
        <v>-0.63134233517888383</v>
      </c>
      <c r="P27" s="19">
        <v>1.0025079332570175</v>
      </c>
      <c r="Q27" s="19">
        <v>1.9402637280957271</v>
      </c>
      <c r="R27" s="19">
        <v>4.1845796458545594</v>
      </c>
      <c r="S27" s="19">
        <v>0.90940483579579379</v>
      </c>
      <c r="T27" s="20">
        <v>11.243055641534292</v>
      </c>
    </row>
    <row r="28" spans="2:20" x14ac:dyDescent="0.25">
      <c r="D28" s="18">
        <f t="shared" si="7"/>
        <v>5.3266485416666667</v>
      </c>
      <c r="E28" s="19">
        <f t="shared" si="1"/>
        <v>5.7467334166666664</v>
      </c>
      <c r="F28" s="19">
        <f t="shared" si="2"/>
        <v>0.40220374999999997</v>
      </c>
      <c r="G28" s="19">
        <f t="shared" si="3"/>
        <v>0.32483345833333332</v>
      </c>
      <c r="H28" s="19">
        <f t="shared" si="4"/>
        <v>2.024635916666667</v>
      </c>
      <c r="I28" s="19">
        <f t="shared" si="5"/>
        <v>1.790100625</v>
      </c>
      <c r="J28" s="20">
        <f t="shared" si="6"/>
        <v>0.38816404166666668</v>
      </c>
      <c r="N28" s="18">
        <v>-2.3336928401338519</v>
      </c>
      <c r="O28" s="19">
        <v>-0.1464138523451686</v>
      </c>
      <c r="P28" s="19">
        <v>-5.9227851123138748</v>
      </c>
      <c r="Q28" s="19">
        <v>7.5681597172211017</v>
      </c>
      <c r="R28" s="19">
        <v>0.90940483579577769</v>
      </c>
      <c r="S28" s="19">
        <v>8.5192635613049745</v>
      </c>
      <c r="T28" s="20">
        <v>-7.4597710714177197</v>
      </c>
    </row>
    <row r="29" spans="2:20" x14ac:dyDescent="0.25">
      <c r="D29" s="21">
        <f t="shared" si="7"/>
        <v>1.2403281666666666</v>
      </c>
      <c r="E29" s="22">
        <f t="shared" si="1"/>
        <v>1.3418936666666665</v>
      </c>
      <c r="F29" s="22">
        <f t="shared" si="2"/>
        <v>8.5728125000000002E-2</v>
      </c>
      <c r="G29" s="22">
        <f t="shared" si="3"/>
        <v>7.5401416666666665E-2</v>
      </c>
      <c r="H29" s="22">
        <f t="shared" si="4"/>
        <v>0.46905854166666666</v>
      </c>
      <c r="I29" s="22">
        <f t="shared" si="5"/>
        <v>0.38816404166666668</v>
      </c>
      <c r="J29" s="23">
        <f t="shared" si="6"/>
        <v>9.454979166666666E-2</v>
      </c>
      <c r="N29" s="21">
        <v>7.8275518514407256</v>
      </c>
      <c r="O29" s="22">
        <v>-61.884129700593348</v>
      </c>
      <c r="P29" s="22">
        <v>202.26665465239711</v>
      </c>
      <c r="Q29" s="22">
        <v>-68.168316982029779</v>
      </c>
      <c r="R29" s="22">
        <v>11.243055641534429</v>
      </c>
      <c r="S29" s="22">
        <v>-7.4597710714176833</v>
      </c>
      <c r="T29" s="23">
        <v>631.99715035262989</v>
      </c>
    </row>
    <row r="32" spans="2:20" x14ac:dyDescent="0.25">
      <c r="D32" s="25">
        <f>B4-K4</f>
        <v>-1.7000000000000028</v>
      </c>
      <c r="E32" s="28">
        <f>D33</f>
        <v>-4.0199999999999818</v>
      </c>
      <c r="F32" s="28">
        <f>D34</f>
        <v>0.75500000000000078</v>
      </c>
      <c r="G32" s="28">
        <f>D35</f>
        <v>-0.37900000000000045</v>
      </c>
      <c r="H32" s="28">
        <f>D36</f>
        <v>0.36999999999999744</v>
      </c>
      <c r="I32" s="28">
        <f>D37</f>
        <v>-0.99600000000000222</v>
      </c>
      <c r="J32" s="28">
        <f>D38</f>
        <v>-0.26200000000000045</v>
      </c>
    </row>
    <row r="33" spans="2:12" x14ac:dyDescent="0.25">
      <c r="D33" s="26">
        <f t="shared" ref="D33:D38" si="8">B5-K5</f>
        <v>-4.0199999999999818</v>
      </c>
    </row>
    <row r="34" spans="2:12" x14ac:dyDescent="0.25">
      <c r="D34" s="26">
        <f t="shared" si="8"/>
        <v>0.75500000000000078</v>
      </c>
    </row>
    <row r="35" spans="2:12" x14ac:dyDescent="0.25">
      <c r="C35" s="4" t="s">
        <v>10</v>
      </c>
      <c r="D35" s="26">
        <f t="shared" si="8"/>
        <v>-0.37900000000000045</v>
      </c>
      <c r="G35" s="4" t="s">
        <v>11</v>
      </c>
      <c r="H35">
        <f>MMULT(MMULT(D32:J32,N23:T29),D32:D38)</f>
        <v>292.67219443363001</v>
      </c>
      <c r="K35" s="4" t="s">
        <v>12</v>
      </c>
      <c r="L35">
        <f>CHIINV(0.05,7)</f>
        <v>14.067140449340167</v>
      </c>
    </row>
    <row r="36" spans="2:12" x14ac:dyDescent="0.25">
      <c r="D36" s="26">
        <f t="shared" si="8"/>
        <v>0.36999999999999744</v>
      </c>
      <c r="G36" t="s">
        <v>31</v>
      </c>
    </row>
    <row r="37" spans="2:12" x14ac:dyDescent="0.25">
      <c r="D37" s="26">
        <f t="shared" si="8"/>
        <v>-0.99600000000000222</v>
      </c>
    </row>
    <row r="38" spans="2:12" x14ac:dyDescent="0.25">
      <c r="D38" s="27">
        <f t="shared" si="8"/>
        <v>-0.26200000000000045</v>
      </c>
    </row>
    <row r="42" spans="2:12" x14ac:dyDescent="0.25">
      <c r="B42" t="s">
        <v>14</v>
      </c>
      <c r="E42" s="24" t="s">
        <v>32</v>
      </c>
      <c r="H42" s="31" t="s">
        <v>127</v>
      </c>
    </row>
    <row r="43" spans="2:12" x14ac:dyDescent="0.25">
      <c r="D43">
        <f>$D32-SQRT(CHIINV(0.05,7)*$D23)</f>
        <v>-17.250176468188982</v>
      </c>
      <c r="E43" s="24" t="s">
        <v>16</v>
      </c>
      <c r="F43">
        <f>$D32+SQRT(CHIINV(0.05,7)*$D23)</f>
        <v>13.850176468188979</v>
      </c>
    </row>
    <row r="44" spans="2:12" x14ac:dyDescent="0.25">
      <c r="D44">
        <f>$D33-SQRT(CHIINV(0.05,7)*$E24)</f>
        <v>-20.775622466243213</v>
      </c>
      <c r="E44" s="24" t="s">
        <v>17</v>
      </c>
      <c r="F44">
        <f>$D33+SQRT(CHIINV(0.05,7)*$E24)</f>
        <v>12.73562246624325</v>
      </c>
    </row>
    <row r="45" spans="2:12" x14ac:dyDescent="0.25">
      <c r="D45">
        <f>$D34-SQRT(CHIINV(0.05,7)*$F25)</f>
        <v>-0.64898708765619162</v>
      </c>
      <c r="E45" s="24" t="s">
        <v>18</v>
      </c>
      <c r="F45">
        <f>$D34+SQRT(CHIINV(0.05,7)*$F25)</f>
        <v>2.1589870876561932</v>
      </c>
    </row>
    <row r="46" spans="2:12" x14ac:dyDescent="0.25">
      <c r="D46">
        <f>$D35-SQRT(CHIINV(0.05,7)*$G26)</f>
        <v>-1.6828235679525074</v>
      </c>
      <c r="E46" s="24" t="s">
        <v>19</v>
      </c>
      <c r="F46">
        <f>$D35+SQRT(CHIINV(0.05,7)*$G26)</f>
        <v>0.92482356795250653</v>
      </c>
    </row>
    <row r="47" spans="2:12" x14ac:dyDescent="0.25">
      <c r="D47">
        <f>$D36-SQRT(CHIINV(0.05,7)*$H27)</f>
        <v>-5.9186821690089255</v>
      </c>
      <c r="E47" s="24" t="s">
        <v>20</v>
      </c>
      <c r="F47">
        <f>$D36+SQRT(CHIINV(0.05,7)*$H27)</f>
        <v>6.6586821690089204</v>
      </c>
    </row>
    <row r="48" spans="2:12" x14ac:dyDescent="0.25">
      <c r="D48">
        <f>$D37-SQRT(CHIINV(0.05,7)*$I28)</f>
        <v>-6.0141268328258342</v>
      </c>
      <c r="E48" s="24" t="s">
        <v>33</v>
      </c>
      <c r="F48">
        <f>$D37+SQRT(CHIINV(0.05,7)*$I28)</f>
        <v>4.0221268328258297</v>
      </c>
    </row>
    <row r="49" spans="4:6" x14ac:dyDescent="0.25">
      <c r="D49">
        <f>$D38-SQRT(CHIINV(0.05,7)*$J29)</f>
        <v>-1.4152758554790148</v>
      </c>
      <c r="E49" s="24" t="s">
        <v>34</v>
      </c>
      <c r="F49">
        <f>$D38+SQRT(CHIINV(0.05,7)*$J29)</f>
        <v>0.89127585547901389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44"/>
  <sheetViews>
    <sheetView workbookViewId="0">
      <selection activeCell="N11" sqref="N11"/>
    </sheetView>
  </sheetViews>
  <sheetFormatPr baseColWidth="10" defaultColWidth="9.140625" defaultRowHeight="15" x14ac:dyDescent="0.25"/>
  <sheetData>
    <row r="1" spans="2:14" x14ac:dyDescent="0.25">
      <c r="B1" s="29" t="s">
        <v>35</v>
      </c>
    </row>
    <row r="2" spans="2:14" x14ac:dyDescent="0.25">
      <c r="B2" s="29"/>
    </row>
    <row r="3" spans="2:14" x14ac:dyDescent="0.25">
      <c r="B3" s="29" t="s">
        <v>36</v>
      </c>
    </row>
    <row r="4" spans="2:14" x14ac:dyDescent="0.25">
      <c r="B4" s="29" t="s">
        <v>37</v>
      </c>
    </row>
    <row r="5" spans="2:14" x14ac:dyDescent="0.25">
      <c r="B5" s="29"/>
    </row>
    <row r="6" spans="2:14" x14ac:dyDescent="0.25">
      <c r="B6" s="29" t="s">
        <v>38</v>
      </c>
    </row>
    <row r="7" spans="2:14" x14ac:dyDescent="0.25">
      <c r="B7" s="29" t="s">
        <v>39</v>
      </c>
      <c r="K7" t="s">
        <v>68</v>
      </c>
    </row>
    <row r="8" spans="2:14" x14ac:dyDescent="0.25">
      <c r="B8" s="29" t="s">
        <v>40</v>
      </c>
      <c r="K8" t="s">
        <v>69</v>
      </c>
    </row>
    <row r="9" spans="2:14" x14ac:dyDescent="0.25">
      <c r="B9" s="29" t="s">
        <v>41</v>
      </c>
    </row>
    <row r="10" spans="2:14" x14ac:dyDescent="0.25">
      <c r="B10" s="29" t="s">
        <v>42</v>
      </c>
    </row>
    <row r="11" spans="2:14" x14ac:dyDescent="0.25">
      <c r="B11" s="29" t="s">
        <v>43</v>
      </c>
      <c r="M11" s="4" t="s">
        <v>71</v>
      </c>
      <c r="N11">
        <f>-(100-1-(6+3)/2)*LN(0.86651)</f>
        <v>13.540113960549993</v>
      </c>
    </row>
    <row r="12" spans="2:14" x14ac:dyDescent="0.25">
      <c r="B12" s="29"/>
      <c r="M12" s="4" t="s">
        <v>70</v>
      </c>
      <c r="N12">
        <f>CHIINV(0.05,6*2)</f>
        <v>21.026069817483066</v>
      </c>
    </row>
    <row r="13" spans="2:14" x14ac:dyDescent="0.25">
      <c r="B13" s="29"/>
    </row>
    <row r="14" spans="2:14" x14ac:dyDescent="0.25">
      <c r="B14" s="29" t="s">
        <v>44</v>
      </c>
      <c r="K14" t="s">
        <v>72</v>
      </c>
    </row>
    <row r="15" spans="2:14" x14ac:dyDescent="0.25">
      <c r="B15" s="29"/>
    </row>
    <row r="16" spans="2:14" x14ac:dyDescent="0.25">
      <c r="B16" s="29" t="s">
        <v>45</v>
      </c>
    </row>
    <row r="17" spans="2:2" x14ac:dyDescent="0.25">
      <c r="B17" s="29" t="s">
        <v>46</v>
      </c>
    </row>
    <row r="18" spans="2:2" x14ac:dyDescent="0.25">
      <c r="B18" s="29" t="s">
        <v>47</v>
      </c>
    </row>
    <row r="19" spans="2:2" x14ac:dyDescent="0.25">
      <c r="B19" s="29" t="s">
        <v>48</v>
      </c>
    </row>
    <row r="20" spans="2:2" x14ac:dyDescent="0.25">
      <c r="B20" s="29" t="s">
        <v>49</v>
      </c>
    </row>
    <row r="21" spans="2:2" x14ac:dyDescent="0.25">
      <c r="B21" s="29" t="s">
        <v>50</v>
      </c>
    </row>
    <row r="22" spans="2:2" x14ac:dyDescent="0.25">
      <c r="B22" s="29" t="s">
        <v>51</v>
      </c>
    </row>
    <row r="23" spans="2:2" x14ac:dyDescent="0.25">
      <c r="B23" s="29"/>
    </row>
    <row r="24" spans="2:2" x14ac:dyDescent="0.25">
      <c r="B24" s="29"/>
    </row>
    <row r="25" spans="2:2" x14ac:dyDescent="0.25">
      <c r="B25" s="29" t="s">
        <v>52</v>
      </c>
    </row>
    <row r="26" spans="2:2" x14ac:dyDescent="0.25">
      <c r="B26" s="29"/>
    </row>
    <row r="27" spans="2:2" x14ac:dyDescent="0.25">
      <c r="B27" s="29" t="s">
        <v>53</v>
      </c>
    </row>
    <row r="28" spans="2:2" x14ac:dyDescent="0.25">
      <c r="B28" s="29" t="s">
        <v>54</v>
      </c>
    </row>
    <row r="29" spans="2:2" x14ac:dyDescent="0.25">
      <c r="B29" s="29" t="s">
        <v>55</v>
      </c>
    </row>
    <row r="30" spans="2:2" x14ac:dyDescent="0.25">
      <c r="B30" s="29" t="s">
        <v>56</v>
      </c>
    </row>
    <row r="31" spans="2:2" x14ac:dyDescent="0.25">
      <c r="B31" s="29" t="s">
        <v>57</v>
      </c>
    </row>
    <row r="32" spans="2:2" x14ac:dyDescent="0.25">
      <c r="B32" s="29" t="s">
        <v>58</v>
      </c>
    </row>
    <row r="33" spans="2:2" x14ac:dyDescent="0.25">
      <c r="B33" s="29" t="s">
        <v>59</v>
      </c>
    </row>
    <row r="34" spans="2:2" x14ac:dyDescent="0.25">
      <c r="B34" s="29"/>
    </row>
    <row r="35" spans="2:2" x14ac:dyDescent="0.25">
      <c r="B35" s="29"/>
    </row>
    <row r="36" spans="2:2" x14ac:dyDescent="0.25">
      <c r="B36" s="29" t="s">
        <v>60</v>
      </c>
    </row>
    <row r="37" spans="2:2" x14ac:dyDescent="0.25">
      <c r="B37" s="29"/>
    </row>
    <row r="38" spans="2:2" x14ac:dyDescent="0.25">
      <c r="B38" s="29" t="s">
        <v>61</v>
      </c>
    </row>
    <row r="39" spans="2:2" x14ac:dyDescent="0.25">
      <c r="B39" s="29" t="s">
        <v>62</v>
      </c>
    </row>
    <row r="40" spans="2:2" x14ac:dyDescent="0.25">
      <c r="B40" s="29" t="s">
        <v>63</v>
      </c>
    </row>
    <row r="41" spans="2:2" x14ac:dyDescent="0.25">
      <c r="B41" s="29" t="s">
        <v>64</v>
      </c>
    </row>
    <row r="42" spans="2:2" x14ac:dyDescent="0.25">
      <c r="B42" s="29" t="s">
        <v>65</v>
      </c>
    </row>
    <row r="43" spans="2:2" x14ac:dyDescent="0.25">
      <c r="B43" s="29" t="s">
        <v>66</v>
      </c>
    </row>
    <row r="44" spans="2:2" x14ac:dyDescent="0.25">
      <c r="B44" s="2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23"/>
  <sheetViews>
    <sheetView workbookViewId="0">
      <selection activeCell="I20" sqref="I20"/>
    </sheetView>
  </sheetViews>
  <sheetFormatPr baseColWidth="10" defaultColWidth="9.140625" defaultRowHeight="15" x14ac:dyDescent="0.25"/>
  <cols>
    <col min="4" max="4" width="11.42578125" customWidth="1"/>
    <col min="6" max="6" width="8.5703125" customWidth="1"/>
    <col min="8" max="8" width="11.42578125" customWidth="1"/>
    <col min="13" max="13" width="10.140625" customWidth="1"/>
    <col min="17" max="17" width="11.85546875" bestFit="1" customWidth="1"/>
  </cols>
  <sheetData>
    <row r="2" spans="2:16" x14ac:dyDescent="0.25">
      <c r="C2" s="15">
        <v>103.23</v>
      </c>
      <c r="D2" s="16">
        <f>C3</f>
        <v>-13.85</v>
      </c>
      <c r="E2" s="16">
        <f>C4</f>
        <v>-10.43</v>
      </c>
      <c r="F2" s="16">
        <f>C5</f>
        <v>47.52</v>
      </c>
      <c r="G2" s="16">
        <f>C6</f>
        <v>272.35000000000002</v>
      </c>
      <c r="H2" s="17">
        <f>C7</f>
        <v>8.83</v>
      </c>
      <c r="K2" s="15">
        <f>C2/97</f>
        <v>1.0642268041237113</v>
      </c>
      <c r="L2" s="16">
        <f t="shared" ref="L2:P2" si="0">D2/97</f>
        <v>-0.14278350515463917</v>
      </c>
      <c r="M2" s="16">
        <f t="shared" si="0"/>
        <v>-0.10752577319587629</v>
      </c>
      <c r="N2" s="16">
        <f t="shared" si="0"/>
        <v>0.48989690721649487</v>
      </c>
      <c r="O2" s="16">
        <f t="shared" si="0"/>
        <v>2.8077319587628868</v>
      </c>
      <c r="P2" s="17">
        <f t="shared" si="0"/>
        <v>9.1030927835051553E-2</v>
      </c>
    </row>
    <row r="3" spans="2:16" x14ac:dyDescent="0.25">
      <c r="C3" s="18">
        <v>-13.85</v>
      </c>
      <c r="D3" s="19">
        <v>170.3</v>
      </c>
      <c r="E3" s="19">
        <f>D4</f>
        <v>316</v>
      </c>
      <c r="F3" s="19">
        <v>-40.200000000000003</v>
      </c>
      <c r="G3" s="19">
        <f>D6</f>
        <v>1284.3</v>
      </c>
      <c r="H3" s="20">
        <f>D7</f>
        <v>-180.7</v>
      </c>
      <c r="K3" s="18">
        <f t="shared" ref="K3:K7" si="1">C3/97</f>
        <v>-0.14278350515463917</v>
      </c>
      <c r="L3" s="19">
        <f t="shared" ref="L3:L7" si="2">D3/97</f>
        <v>1.7556701030927837</v>
      </c>
      <c r="M3" s="19">
        <f t="shared" ref="M3:M7" si="3">E3/97</f>
        <v>3.2577319587628866</v>
      </c>
      <c r="N3" s="19">
        <f t="shared" ref="N3:N7" si="4">F3/97</f>
        <v>-0.41443298969072168</v>
      </c>
      <c r="O3" s="19">
        <f t="shared" ref="O3:O7" si="5">G3/97</f>
        <v>13.240206185567009</v>
      </c>
      <c r="P3" s="20">
        <f t="shared" ref="P3:P7" si="6">H3/97</f>
        <v>-1.8628865979381442</v>
      </c>
    </row>
    <row r="4" spans="2:16" x14ac:dyDescent="0.25">
      <c r="B4" s="4" t="s">
        <v>73</v>
      </c>
      <c r="C4" s="18">
        <v>-10.43</v>
      </c>
      <c r="D4" s="19">
        <v>316</v>
      </c>
      <c r="E4" s="19">
        <v>2586.6999999999998</v>
      </c>
      <c r="F4" s="19">
        <v>-507.2</v>
      </c>
      <c r="G4" s="19">
        <f>E6</f>
        <v>3758.9</v>
      </c>
      <c r="H4" s="20">
        <v>-539</v>
      </c>
      <c r="J4" s="4" t="s">
        <v>74</v>
      </c>
      <c r="K4" s="18">
        <f t="shared" si="1"/>
        <v>-0.10752577319587629</v>
      </c>
      <c r="L4" s="19">
        <f t="shared" si="2"/>
        <v>3.2577319587628866</v>
      </c>
      <c r="M4" s="19">
        <f t="shared" si="3"/>
        <v>26.66701030927835</v>
      </c>
      <c r="N4" s="19">
        <f t="shared" si="4"/>
        <v>-5.2288659793814434</v>
      </c>
      <c r="O4" s="19">
        <f t="shared" si="5"/>
        <v>38.751546391752576</v>
      </c>
      <c r="P4" s="20">
        <f t="shared" si="6"/>
        <v>-5.5567010309278349</v>
      </c>
    </row>
    <row r="5" spans="2:16" x14ac:dyDescent="0.25">
      <c r="C5" s="18">
        <v>47.52</v>
      </c>
      <c r="D5" s="19">
        <v>-40.200000000000003</v>
      </c>
      <c r="E5" s="19">
        <v>-507.2</v>
      </c>
      <c r="F5" s="19">
        <v>53906.5</v>
      </c>
      <c r="G5" s="19">
        <v>34607</v>
      </c>
      <c r="H5" s="20">
        <f>F7</f>
        <v>-90.2</v>
      </c>
      <c r="K5" s="18">
        <f t="shared" si="1"/>
        <v>0.48989690721649487</v>
      </c>
      <c r="L5" s="19">
        <f t="shared" si="2"/>
        <v>-0.41443298969072168</v>
      </c>
      <c r="M5" s="19">
        <f t="shared" si="3"/>
        <v>-5.2288659793814434</v>
      </c>
      <c r="N5" s="19">
        <f t="shared" si="4"/>
        <v>555.73711340206182</v>
      </c>
      <c r="O5" s="19">
        <f t="shared" si="5"/>
        <v>356.77319587628864</v>
      </c>
      <c r="P5" s="20">
        <f t="shared" si="6"/>
        <v>-0.92989690721649487</v>
      </c>
    </row>
    <row r="6" spans="2:16" x14ac:dyDescent="0.25">
      <c r="C6" s="18">
        <v>272.35000000000002</v>
      </c>
      <c r="D6" s="19">
        <v>1284.3</v>
      </c>
      <c r="E6" s="19">
        <v>3758.9</v>
      </c>
      <c r="F6" s="19">
        <v>34607</v>
      </c>
      <c r="G6" s="19">
        <v>113787</v>
      </c>
      <c r="H6" s="20">
        <v>-2362</v>
      </c>
      <c r="K6" s="18">
        <f t="shared" si="1"/>
        <v>2.8077319587628868</v>
      </c>
      <c r="L6" s="19">
        <f t="shared" si="2"/>
        <v>13.240206185567009</v>
      </c>
      <c r="M6" s="19">
        <f t="shared" si="3"/>
        <v>38.751546391752576</v>
      </c>
      <c r="N6" s="19">
        <f t="shared" si="4"/>
        <v>356.77319587628864</v>
      </c>
      <c r="O6" s="19">
        <f t="shared" si="5"/>
        <v>1173.0618556701031</v>
      </c>
      <c r="P6" s="20">
        <f t="shared" si="6"/>
        <v>-24.350515463917525</v>
      </c>
    </row>
    <row r="7" spans="2:16" x14ac:dyDescent="0.25">
      <c r="C7" s="21">
        <v>8.83</v>
      </c>
      <c r="D7" s="22">
        <v>-180.7</v>
      </c>
      <c r="E7" s="22">
        <v>-539</v>
      </c>
      <c r="F7" s="22">
        <v>-90.2</v>
      </c>
      <c r="G7" s="22">
        <v>-2362</v>
      </c>
      <c r="H7" s="23">
        <v>337</v>
      </c>
      <c r="K7" s="21">
        <f t="shared" si="1"/>
        <v>9.1030927835051553E-2</v>
      </c>
      <c r="L7" s="22">
        <f t="shared" si="2"/>
        <v>-1.8628865979381442</v>
      </c>
      <c r="M7" s="22">
        <f t="shared" si="3"/>
        <v>-5.5567010309278349</v>
      </c>
      <c r="N7" s="22">
        <f t="shared" si="4"/>
        <v>-0.92989690721649487</v>
      </c>
      <c r="O7" s="22">
        <f t="shared" si="5"/>
        <v>-24.350515463917525</v>
      </c>
      <c r="P7" s="23">
        <f t="shared" si="6"/>
        <v>3.4742268041237114</v>
      </c>
    </row>
    <row r="9" spans="2:16" x14ac:dyDescent="0.25">
      <c r="C9" t="s">
        <v>78</v>
      </c>
      <c r="F9" t="s">
        <v>79</v>
      </c>
      <c r="I9" t="s">
        <v>80</v>
      </c>
    </row>
    <row r="10" spans="2:16" x14ac:dyDescent="0.25">
      <c r="C10" s="1">
        <v>34.887</v>
      </c>
      <c r="F10" s="1">
        <v>34.75</v>
      </c>
      <c r="I10" s="1">
        <v>34.75</v>
      </c>
    </row>
    <row r="11" spans="2:16" x14ac:dyDescent="0.25">
      <c r="C11" s="2">
        <v>37.697000000000003</v>
      </c>
      <c r="F11" s="2">
        <v>38.17</v>
      </c>
      <c r="I11" s="2">
        <v>37.85</v>
      </c>
    </row>
    <row r="12" spans="2:16" x14ac:dyDescent="0.25">
      <c r="B12" t="s">
        <v>76</v>
      </c>
      <c r="C12" s="2">
        <v>32.799999999999997</v>
      </c>
      <c r="E12" t="s">
        <v>6</v>
      </c>
      <c r="F12" s="2">
        <v>32.5</v>
      </c>
      <c r="H12" t="s">
        <v>77</v>
      </c>
      <c r="I12" s="2">
        <v>30.3</v>
      </c>
    </row>
    <row r="13" spans="2:16" x14ac:dyDescent="0.25">
      <c r="C13" s="2">
        <v>102.3</v>
      </c>
      <c r="F13" s="2">
        <v>105.67</v>
      </c>
      <c r="I13" s="2">
        <v>103.25</v>
      </c>
    </row>
    <row r="14" spans="2:16" x14ac:dyDescent="0.25">
      <c r="C14" s="2">
        <v>89</v>
      </c>
      <c r="F14" s="2">
        <v>81.7</v>
      </c>
      <c r="I14" s="2">
        <v>87.3</v>
      </c>
    </row>
    <row r="15" spans="2:16" x14ac:dyDescent="0.25">
      <c r="B15" t="s">
        <v>81</v>
      </c>
      <c r="C15" s="3">
        <v>49.683</v>
      </c>
      <c r="E15" t="s">
        <v>82</v>
      </c>
      <c r="F15" s="3">
        <v>49.414999999999999</v>
      </c>
      <c r="H15" t="s">
        <v>83</v>
      </c>
      <c r="I15" s="3">
        <v>50.13</v>
      </c>
    </row>
    <row r="17" spans="3:14" x14ac:dyDescent="0.25">
      <c r="D17" s="24" t="s">
        <v>75</v>
      </c>
      <c r="H17" s="24" t="s">
        <v>90</v>
      </c>
      <c r="M17" s="24" t="s">
        <v>90</v>
      </c>
    </row>
    <row r="18" spans="3:14" x14ac:dyDescent="0.25">
      <c r="C18">
        <f>($C10-$F10)-(-_xlfn.T.INV(0.05/(6*3*2),97))*SQRT((2/30)*$K2)</f>
        <v>-0.68069082028034111</v>
      </c>
      <c r="D18" s="24" t="s">
        <v>84</v>
      </c>
      <c r="E18">
        <f>($C10-$F10)+(-_xlfn.T.INV(0.05/(6*3*2),97))*SQRT((2/30)*$K2)</f>
        <v>0.95469082028034202</v>
      </c>
      <c r="G18">
        <f>($C10-$I10)-TINV(2*0.05/(6*3*2),97)*SQRT((1/30+1/40)*$K2)</f>
        <v>-0.62787972444979545</v>
      </c>
      <c r="H18" s="24" t="s">
        <v>84</v>
      </c>
      <c r="I18">
        <f>($C10-$I10)+TINV(2*0.05/(6*3*2),97)*SQRT((1/30+1/40)*$K2)</f>
        <v>0.90187972444979636</v>
      </c>
      <c r="L18">
        <f>($F10-$I10)-TINV(2*0.05/(6*3*2),97)*SQRT((1/30+1/40)*$K2)</f>
        <v>-0.76487972444979591</v>
      </c>
      <c r="M18" s="24" t="s">
        <v>84</v>
      </c>
      <c r="N18">
        <f>($F10-$I10)+TINV(2*0.05/(6*3*2),97)*SQRT((1/30+1/40)*$K2)</f>
        <v>0.76487972444979591</v>
      </c>
    </row>
    <row r="19" spans="3:14" x14ac:dyDescent="0.25">
      <c r="C19">
        <f>($C11-$F11)-TINV(2*0.05/(6*3*2),97)*SQRT((2/30)*$L3)</f>
        <v>-1.5232519160595852</v>
      </c>
      <c r="D19" s="24" t="s">
        <v>86</v>
      </c>
      <c r="E19">
        <f>($C11-$F11)+TINV(2*0.05/(6*3*2),97)*SQRT((2/30)*$L3)</f>
        <v>0.57725191605958726</v>
      </c>
      <c r="G19">
        <f>($C11-$I11)-TINV(2*0.05/(6*3*2),97)*SQRT((1/30+1/40)*$L3)</f>
        <v>-1.1354207099244578</v>
      </c>
      <c r="H19" s="24" t="s">
        <v>86</v>
      </c>
      <c r="I19">
        <f>($C11-$I11)+TINV(2*0.05/(6*3*2),97)*SQRT((1/30+1/40)*$L3)</f>
        <v>0.82942070992446038</v>
      </c>
      <c r="L19">
        <f>($F11-$I11)-TINV(2*0.05/(6*3*2),97)*SQRT((1/30+1/40)*$L3)</f>
        <v>-0.66242070992445878</v>
      </c>
      <c r="M19" s="24" t="s">
        <v>86</v>
      </c>
      <c r="N19">
        <f>($F11-$I11)+TINV(2*0.05/(6*3*2),97)*SQRT((1/30+1/40)*$L3)</f>
        <v>1.3024207099244594</v>
      </c>
    </row>
    <row r="20" spans="3:14" x14ac:dyDescent="0.25">
      <c r="C20">
        <f>($C12-$F12)-TINV(2*0.05/(6*3*2),97)*SQRT((2/30)*$M4)</f>
        <v>-3.7931644175463344</v>
      </c>
      <c r="D20" s="24" t="s">
        <v>85</v>
      </c>
      <c r="E20">
        <f>($C12-$F12)+TINV(2*0.05/(6*3*2),97)*SQRT((2/30)*$M4)</f>
        <v>4.3931644175463287</v>
      </c>
      <c r="G20">
        <f>($C12-$I12)-TINV(2*0.05/(6*3*2),97)*SQRT((1/30+1/40)*$M4)</f>
        <v>-1.3288047195481258</v>
      </c>
      <c r="H20" s="24" t="s">
        <v>85</v>
      </c>
      <c r="I20">
        <f>($C12-$I12)+TINV(2*0.05/(6*3*2),97)*SQRT((1/30+1/40)*$M4)</f>
        <v>6.3288047195481187</v>
      </c>
      <c r="L20">
        <f>($F12-$I12)-TINV(2*0.05/(6*3*2),97)*SQRT((1/30+1/40)*$M4)</f>
        <v>-1.628804719548123</v>
      </c>
      <c r="M20" s="24" t="s">
        <v>85</v>
      </c>
      <c r="N20">
        <f>($F12-$I12)+TINV(2*0.05/(6*3*2),97)*SQRT((1/30+1/40)*$M4)</f>
        <v>6.0288047195481216</v>
      </c>
    </row>
    <row r="21" spans="3:14" x14ac:dyDescent="0.25">
      <c r="C21">
        <f>($C13-$F13)-TINV(2*0.05/(6*3*2),97)*SQRT((2/30)*$N5)</f>
        <v>-22.055586163947158</v>
      </c>
      <c r="D21" s="24" t="s">
        <v>87</v>
      </c>
      <c r="E21">
        <f>($C13-$F13)+TINV(2*0.05/(6*3*2),97)*SQRT((2/30)*$N5)</f>
        <v>15.315586163947149</v>
      </c>
      <c r="G21">
        <f>($C13-$I13)-TINV(2*0.05/(6*3*2),97)*SQRT((1/30+1/40)*$N5)</f>
        <v>-18.428765374133462</v>
      </c>
      <c r="H21" s="24" t="s">
        <v>87</v>
      </c>
      <c r="I21">
        <f>($C13-$I13)+TINV(2*0.05/(6*3*2),97)*SQRT((1/30+1/40)*$N5)</f>
        <v>16.528765374133457</v>
      </c>
      <c r="L21">
        <f>($F13-$I13)-TINV(2*0.05/(6*3*2),97)*SQRT((1/30+1/40)*$N5)</f>
        <v>-15.058765374133458</v>
      </c>
      <c r="M21" s="24" t="s">
        <v>87</v>
      </c>
      <c r="N21">
        <f>($F13-$I13)+TINV(2*0.05/(6*3*2),97)*SQRT((1/30+1/40)*$N5)</f>
        <v>19.898765374133461</v>
      </c>
    </row>
    <row r="22" spans="3:14" x14ac:dyDescent="0.25">
      <c r="C22">
        <f>($C14-$F14)-TINV(2*0.05/(6*3*2),97)*SQRT((2/30)*$O6)</f>
        <v>-19.847665052707992</v>
      </c>
      <c r="D22" s="24" t="s">
        <v>88</v>
      </c>
      <c r="E22">
        <f>($C14-$F14)+TINV(2*0.05/(6*3*2),97)*SQRT((2/30)*$O6)</f>
        <v>34.44766505270799</v>
      </c>
      <c r="G22">
        <f>($C14-$I14)-TINV(2*0.05/(6*3*2),97)*SQRT((1/30+1/40)*$O6)</f>
        <v>-23.694315369532404</v>
      </c>
      <c r="H22" s="24" t="s">
        <v>88</v>
      </c>
      <c r="I22">
        <f>($C14-$I14)+TINV(2*0.05/(6*3*2),97)*SQRT((1/30+1/40)*$O6)</f>
        <v>27.09431536953241</v>
      </c>
      <c r="L22">
        <f>($F14-$I14)-TINV(2*0.05/(6*3*2),97)*SQRT((1/30+1/40)*$O6)</f>
        <v>-30.994315369532401</v>
      </c>
      <c r="M22" s="24" t="s">
        <v>88</v>
      </c>
      <c r="N22">
        <f>($F14-$I14)+TINV(2*0.05/(6*3*2),97)*SQRT((1/30+1/40)*$O6)</f>
        <v>19.794315369532413</v>
      </c>
    </row>
    <row r="23" spans="3:14" x14ac:dyDescent="0.25">
      <c r="C23">
        <f>($C15-$F15)-TINV(2*0.05/(6*3*2),97)*SQRT((2/30)*$P7)</f>
        <v>-1.2094102541952207</v>
      </c>
      <c r="D23" s="24" t="s">
        <v>89</v>
      </c>
      <c r="E23">
        <f>($C15-$F15)+TINV(2*0.05/(6*3*2),97)*SQRT((2/30)*$P7)</f>
        <v>1.7454102541952221</v>
      </c>
      <c r="G23">
        <f>($C15-$I15)-TINV(2*0.05/(6*3*2),97)*SQRT((1/30+1/40)*$P7)</f>
        <v>-1.8289907477262819</v>
      </c>
      <c r="H23" s="24" t="s">
        <v>89</v>
      </c>
      <c r="I23">
        <f>($C15-$I15)+TINV(2*0.05/(6*3*2),97)*SQRT((1/30+1/40)*$P7)</f>
        <v>0.93499074772627644</v>
      </c>
      <c r="L23">
        <f>($F15-$I15)-TINV(2*0.05/(6*3*2),97)*SQRT((1/30+1/40)*$P7)</f>
        <v>-2.0969907477262826</v>
      </c>
      <c r="M23" s="24" t="s">
        <v>89</v>
      </c>
      <c r="N23">
        <f>($F15-$I15)+TINV(2*0.05/(6*3*2),97)*SQRT((1/30+1/40)*$P7)</f>
        <v>0.66699074772627576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B925-2636-40C3-ACE3-CB28D54DAD7E}">
  <dimension ref="B5:P67"/>
  <sheetViews>
    <sheetView tabSelected="1" workbookViewId="0">
      <selection activeCell="O32" sqref="O32"/>
    </sheetView>
  </sheetViews>
  <sheetFormatPr baseColWidth="10" defaultRowHeight="15" x14ac:dyDescent="0.25"/>
  <cols>
    <col min="7" max="9" width="11.42578125" style="30"/>
  </cols>
  <sheetData>
    <row r="5" spans="2:16" x14ac:dyDescent="0.25">
      <c r="B5" t="s">
        <v>128</v>
      </c>
      <c r="C5" s="5" t="s">
        <v>134</v>
      </c>
      <c r="D5" s="5" t="s">
        <v>137</v>
      </c>
      <c r="E5" s="5">
        <f>MDETERM(C7:H12)</f>
        <v>31932501.774006736</v>
      </c>
      <c r="J5" t="s">
        <v>141</v>
      </c>
    </row>
    <row r="6" spans="2:16" x14ac:dyDescent="0.25">
      <c r="C6" t="s">
        <v>131</v>
      </c>
      <c r="D6" t="s">
        <v>132</v>
      </c>
      <c r="E6" t="s">
        <v>133</v>
      </c>
      <c r="F6" t="s">
        <v>156</v>
      </c>
      <c r="G6" t="s">
        <v>157</v>
      </c>
      <c r="H6" t="s">
        <v>158</v>
      </c>
    </row>
    <row r="7" spans="2:16" x14ac:dyDescent="0.25">
      <c r="B7" t="s">
        <v>131</v>
      </c>
      <c r="C7">
        <v>0.46602300000000002</v>
      </c>
      <c r="D7">
        <v>-0.17901149999999999</v>
      </c>
      <c r="E7">
        <v>-0.79931030000000003</v>
      </c>
      <c r="F7">
        <v>0.61793100000000001</v>
      </c>
      <c r="G7">
        <v>2.6793100000000001</v>
      </c>
      <c r="H7">
        <v>0.14862300000000001</v>
      </c>
    </row>
    <row r="8" spans="2:16" x14ac:dyDescent="0.25">
      <c r="B8" t="s">
        <v>132</v>
      </c>
      <c r="C8">
        <v>-0.17901149999999999</v>
      </c>
      <c r="D8">
        <v>2.7292988999999999</v>
      </c>
      <c r="E8">
        <v>4.0131034000000003</v>
      </c>
      <c r="F8">
        <v>1.366552</v>
      </c>
      <c r="G8">
        <v>18.279309999999999</v>
      </c>
      <c r="H8">
        <v>-3.0274740000000002</v>
      </c>
    </row>
    <row r="9" spans="2:16" x14ac:dyDescent="0.25">
      <c r="B9" t="s">
        <v>133</v>
      </c>
      <c r="C9">
        <v>-0.79931030000000003</v>
      </c>
      <c r="D9">
        <v>4.0131034000000003</v>
      </c>
      <c r="E9">
        <v>27.475862100000001</v>
      </c>
      <c r="F9">
        <v>-14.696552000000001</v>
      </c>
      <c r="G9">
        <v>-3.137931</v>
      </c>
      <c r="H9">
        <v>-8.1408280000000008</v>
      </c>
    </row>
    <row r="10" spans="2:16" s="30" customFormat="1" x14ac:dyDescent="0.25">
      <c r="B10" t="s">
        <v>156</v>
      </c>
      <c r="C10">
        <v>0.61793100000000001</v>
      </c>
      <c r="D10">
        <v>1.3665517</v>
      </c>
      <c r="E10">
        <v>-14.696551700000001</v>
      </c>
      <c r="F10">
        <v>785.04482800000005</v>
      </c>
      <c r="G10">
        <v>1035.5517239999999</v>
      </c>
      <c r="H10">
        <v>-9.5994480000000006</v>
      </c>
    </row>
    <row r="11" spans="2:16" s="30" customFormat="1" x14ac:dyDescent="0.25">
      <c r="B11" t="s">
        <v>157</v>
      </c>
      <c r="C11">
        <v>2.6793103</v>
      </c>
      <c r="D11">
        <v>18.279310299999999</v>
      </c>
      <c r="E11">
        <v>-3.137931</v>
      </c>
      <c r="F11">
        <v>1035.5517239999999</v>
      </c>
      <c r="G11">
        <v>2326.7586209999999</v>
      </c>
      <c r="H11">
        <v>-39.331034000000002</v>
      </c>
    </row>
    <row r="12" spans="2:16" s="30" customFormat="1" x14ac:dyDescent="0.25">
      <c r="B12" t="s">
        <v>158</v>
      </c>
      <c r="C12">
        <v>0.14862300000000001</v>
      </c>
      <c r="D12">
        <v>-3.0274736</v>
      </c>
      <c r="E12">
        <v>-8.1408275999999997</v>
      </c>
      <c r="F12">
        <v>-9.5994480000000006</v>
      </c>
      <c r="G12">
        <v>-39.331034000000002</v>
      </c>
      <c r="H12">
        <v>6.1819240000000004</v>
      </c>
    </row>
    <row r="13" spans="2:16" x14ac:dyDescent="0.25">
      <c r="K13">
        <f>(29*C7+29*C16+39*C25)/97</f>
        <v>1.0642233715463918</v>
      </c>
      <c r="L13" s="30">
        <f t="shared" ref="L13:M13" si="0">(29*D7+29*D16+39*D25)/97</f>
        <v>-0.1427457237113402</v>
      </c>
      <c r="M13" s="30">
        <f t="shared" si="0"/>
        <v>-0.10752574762886601</v>
      </c>
      <c r="N13" s="30">
        <f>(29*F7+29*F16+39*F25)/97</f>
        <v>0.48989690721649487</v>
      </c>
      <c r="O13" s="30">
        <f t="shared" ref="O13" si="1">(29*G7+29*G16+39*G25)/97</f>
        <v>2.8077318000000004</v>
      </c>
      <c r="P13" s="30">
        <f t="shared" ref="P13" si="2">(29*H7+29*H16+39*H25)/97</f>
        <v>9.1036761443298989E-2</v>
      </c>
    </row>
    <row r="14" spans="2:16" x14ac:dyDescent="0.25">
      <c r="B14" t="s">
        <v>129</v>
      </c>
      <c r="C14" s="5" t="s">
        <v>135</v>
      </c>
      <c r="D14" s="5" t="s">
        <v>138</v>
      </c>
      <c r="E14" s="5">
        <f>MDETERM(C16:H21)</f>
        <v>11248423.164728951</v>
      </c>
      <c r="J14" t="s">
        <v>140</v>
      </c>
      <c r="K14" s="30">
        <f t="shared" ref="K14:K18" si="3">(29*C8+29*C17+39*C26)/97</f>
        <v>-0.14274570670103093</v>
      </c>
      <c r="L14" s="30">
        <f t="shared" ref="L14:L18" si="4">(29*D8+29*D17+39*D26)/97</f>
        <v>1.7551821350515464</v>
      </c>
      <c r="M14" s="30">
        <f t="shared" ref="M14:N18" si="5">(29*E8+29*E17+39*E26)/97</f>
        <v>3.2580412380412369</v>
      </c>
      <c r="N14" s="30">
        <f t="shared" si="5"/>
        <v>-0.41412357010309314</v>
      </c>
      <c r="O14" s="30">
        <f t="shared" ref="O14:O18" si="6">(29*G8+29*G17+39*G26)/97</f>
        <v>13.240515463917525</v>
      </c>
      <c r="P14" s="30">
        <f t="shared" ref="P14:P18" si="7">(29*H8+29*H17+39*H26)/97</f>
        <v>-1.8628458490721651</v>
      </c>
    </row>
    <row r="15" spans="2:16" x14ac:dyDescent="0.25">
      <c r="C15" t="s">
        <v>131</v>
      </c>
      <c r="D15" t="s">
        <v>132</v>
      </c>
      <c r="E15" t="s">
        <v>133</v>
      </c>
      <c r="F15" t="s">
        <v>156</v>
      </c>
      <c r="G15" t="s">
        <v>157</v>
      </c>
      <c r="H15" t="s">
        <v>158</v>
      </c>
      <c r="K15" s="30">
        <f t="shared" si="3"/>
        <v>-0.10752575969072169</v>
      </c>
      <c r="L15" s="30">
        <f t="shared" si="4"/>
        <v>3.2580412350515466</v>
      </c>
      <c r="M15" s="30">
        <f t="shared" si="5"/>
        <v>26.667010310824743</v>
      </c>
      <c r="N15" s="30">
        <f t="shared" ref="N15:N18" si="8">(29*F9+29*F18+39*F27)/97</f>
        <v>-5.2288658958762886</v>
      </c>
      <c r="O15" s="30">
        <f t="shared" si="6"/>
        <v>38.751546551546397</v>
      </c>
      <c r="P15" s="30">
        <f t="shared" si="7"/>
        <v>-5.5566083844329892</v>
      </c>
    </row>
    <row r="16" spans="2:16" x14ac:dyDescent="0.25">
      <c r="B16" t="s">
        <v>131</v>
      </c>
      <c r="C16">
        <v>1.5349999999999999</v>
      </c>
      <c r="D16">
        <v>-0.11086210000000001</v>
      </c>
      <c r="E16">
        <v>-5.3448280000000001E-2</v>
      </c>
      <c r="F16">
        <v>2.8379310000000002</v>
      </c>
      <c r="G16">
        <v>2.5051724000000002</v>
      </c>
      <c r="H16">
        <v>0.1807241</v>
      </c>
      <c r="K16" s="30">
        <f t="shared" si="3"/>
        <v>0.48989689608247422</v>
      </c>
      <c r="L16" s="30">
        <f t="shared" si="4"/>
        <v>-0.41412374020618609</v>
      </c>
      <c r="M16" s="30">
        <f t="shared" si="5"/>
        <v>-5.2288659670103108</v>
      </c>
      <c r="N16" s="30">
        <f t="shared" si="8"/>
        <v>555.73677001443298</v>
      </c>
      <c r="O16" s="30">
        <f t="shared" si="6"/>
        <v>356.773195785567</v>
      </c>
      <c r="P16" s="30">
        <f t="shared" si="7"/>
        <v>-0.9303590187628874</v>
      </c>
    </row>
    <row r="17" spans="2:16" x14ac:dyDescent="0.25">
      <c r="B17" t="s">
        <v>132</v>
      </c>
      <c r="C17">
        <v>-0.11086206999999999</v>
      </c>
      <c r="D17">
        <v>1.3759655</v>
      </c>
      <c r="E17">
        <v>2.90517241</v>
      </c>
      <c r="F17">
        <v>-11.5206897</v>
      </c>
      <c r="G17">
        <v>8.4320690000000003</v>
      </c>
      <c r="H17">
        <v>-1.2580966</v>
      </c>
      <c r="K17" s="30">
        <f t="shared" si="3"/>
        <v>2.8077319449484532</v>
      </c>
      <c r="L17" s="30">
        <f t="shared" si="4"/>
        <v>13.240515473195876</v>
      </c>
      <c r="M17" s="30">
        <f t="shared" si="5"/>
        <v>38.751546396701031</v>
      </c>
      <c r="N17" s="30">
        <f t="shared" si="8"/>
        <v>356.773195785567</v>
      </c>
      <c r="O17" s="30">
        <f t="shared" si="6"/>
        <v>1173.0587630443299</v>
      </c>
      <c r="P17" s="30">
        <f t="shared" si="7"/>
        <v>-24.351288519896908</v>
      </c>
    </row>
    <row r="18" spans="2:16" x14ac:dyDescent="0.25">
      <c r="B18" t="s">
        <v>133</v>
      </c>
      <c r="C18">
        <v>-5.3448280000000001E-2</v>
      </c>
      <c r="D18">
        <v>2.9051724000000001</v>
      </c>
      <c r="E18">
        <v>31.70689655</v>
      </c>
      <c r="F18">
        <v>-22.413793099999999</v>
      </c>
      <c r="G18">
        <v>66.568965500000004</v>
      </c>
      <c r="H18">
        <v>-4.2882759000000004</v>
      </c>
      <c r="K18" s="30">
        <f t="shared" si="3"/>
        <v>9.1036773402061871E-2</v>
      </c>
      <c r="L18" s="30">
        <f t="shared" si="4"/>
        <v>-1.8628457134020617</v>
      </c>
      <c r="M18" s="30">
        <f t="shared" si="5"/>
        <v>-5.5566082488659791</v>
      </c>
      <c r="N18" s="30">
        <f t="shared" si="8"/>
        <v>-0.93035890618556782</v>
      </c>
      <c r="O18" s="30">
        <f t="shared" si="6"/>
        <v>-24.35128865257732</v>
      </c>
      <c r="P18" s="30">
        <f t="shared" si="7"/>
        <v>3.4791921578350515</v>
      </c>
    </row>
    <row r="19" spans="2:16" s="30" customFormat="1" x14ac:dyDescent="0.25">
      <c r="B19" t="s">
        <v>156</v>
      </c>
      <c r="C19">
        <v>2.83793103</v>
      </c>
      <c r="D19">
        <v>-11.5206897</v>
      </c>
      <c r="E19">
        <v>-22.413793099999999</v>
      </c>
      <c r="F19">
        <v>562.5747126</v>
      </c>
      <c r="G19">
        <v>0.31034479999999998</v>
      </c>
      <c r="H19">
        <v>13.8902299</v>
      </c>
    </row>
    <row r="20" spans="2:16" s="30" customFormat="1" x14ac:dyDescent="0.25">
      <c r="B20" t="s">
        <v>157</v>
      </c>
      <c r="C20">
        <v>2.5051724100000001</v>
      </c>
      <c r="D20">
        <v>8.4320690000000003</v>
      </c>
      <c r="E20">
        <v>66.568965520000006</v>
      </c>
      <c r="F20">
        <v>0.31034479999999998</v>
      </c>
      <c r="G20">
        <v>715.45862069999998</v>
      </c>
      <c r="H20">
        <v>-14.4706207</v>
      </c>
    </row>
    <row r="21" spans="2:16" s="30" customFormat="1" x14ac:dyDescent="0.25">
      <c r="B21" t="s">
        <v>158</v>
      </c>
      <c r="C21">
        <v>0.18072414000000001</v>
      </c>
      <c r="D21">
        <v>-1.2580966</v>
      </c>
      <c r="E21">
        <v>-4.2882758599999997</v>
      </c>
      <c r="F21">
        <v>13.8902299</v>
      </c>
      <c r="G21">
        <v>-14.4706207</v>
      </c>
      <c r="H21">
        <v>2.1294670999999998</v>
      </c>
      <c r="J21" s="33" t="s">
        <v>142</v>
      </c>
      <c r="K21">
        <f>MDETERM(K13:P18)</f>
        <v>20815653.495743822</v>
      </c>
      <c r="L21"/>
      <c r="M21"/>
      <c r="N21"/>
      <c r="O21"/>
      <c r="P21"/>
    </row>
    <row r="23" spans="2:16" x14ac:dyDescent="0.25">
      <c r="B23" t="s">
        <v>130</v>
      </c>
      <c r="C23" s="5" t="s">
        <v>136</v>
      </c>
      <c r="D23" s="5" t="s">
        <v>139</v>
      </c>
      <c r="E23" s="5">
        <f>MDETERM(C25:H30)</f>
        <v>2706902.9241508106</v>
      </c>
      <c r="J23" s="30"/>
      <c r="K23" s="30"/>
      <c r="L23" s="30"/>
      <c r="M23" s="30"/>
      <c r="N23" s="30"/>
      <c r="O23" s="30"/>
      <c r="P23" s="30"/>
    </row>
    <row r="24" spans="2:16" x14ac:dyDescent="0.25">
      <c r="C24" t="s">
        <v>131</v>
      </c>
      <c r="D24" t="s">
        <v>132</v>
      </c>
      <c r="E24" t="s">
        <v>133</v>
      </c>
      <c r="F24" t="s">
        <v>156</v>
      </c>
      <c r="G24" t="s">
        <v>157</v>
      </c>
      <c r="H24" t="s">
        <v>158</v>
      </c>
      <c r="J24" s="30"/>
      <c r="K24" s="30"/>
      <c r="L24" s="30"/>
      <c r="M24" s="30"/>
      <c r="N24" s="30"/>
      <c r="O24" s="30"/>
      <c r="P24" s="30"/>
    </row>
    <row r="25" spans="2:16" x14ac:dyDescent="0.25">
      <c r="B25" t="s">
        <v>131</v>
      </c>
      <c r="C25">
        <v>1.15897436</v>
      </c>
      <c r="D25">
        <v>-0.13948720000000001</v>
      </c>
      <c r="E25">
        <v>0.36666670000000001</v>
      </c>
      <c r="F25">
        <v>-1.3512820000000001</v>
      </c>
      <c r="G25">
        <v>3.1282049999999999</v>
      </c>
      <c r="H25">
        <v>-1.8474359999999999E-2</v>
      </c>
      <c r="J25" s="30"/>
      <c r="K25" s="30"/>
      <c r="L25" s="30"/>
      <c r="M25" s="30"/>
      <c r="N25" s="30"/>
      <c r="O25" s="30"/>
      <c r="P25" s="30"/>
    </row>
    <row r="26" spans="2:16" x14ac:dyDescent="0.25">
      <c r="B26" t="s">
        <v>132</v>
      </c>
      <c r="C26">
        <v>-0.13948717999999999</v>
      </c>
      <c r="D26">
        <v>1.3128204999999999</v>
      </c>
      <c r="E26">
        <v>2.9589743999999998</v>
      </c>
      <c r="F26">
        <v>6.5205130000000002</v>
      </c>
      <c r="G26">
        <v>13.069231</v>
      </c>
      <c r="H26">
        <v>-1.4465256399999999</v>
      </c>
      <c r="J26" t="s">
        <v>143</v>
      </c>
      <c r="K26">
        <f>97*LN(K21)-(29*LN(E5)+29*LN(E14)+39*LN(E23))</f>
        <v>84.995293897976126</v>
      </c>
      <c r="M26" s="33" t="s">
        <v>148</v>
      </c>
      <c r="N26">
        <f>1-((2*K27^2+3*K27-1)/(6*(K27+1)*(K28-1)))*(1/29+1/29+1/39-1/97)</f>
        <v>0.91068504115073612</v>
      </c>
    </row>
    <row r="27" spans="2:16" x14ac:dyDescent="0.25">
      <c r="B27" t="s">
        <v>133</v>
      </c>
      <c r="C27">
        <v>0.36666666999999997</v>
      </c>
      <c r="D27">
        <v>2.9589743999999998</v>
      </c>
      <c r="E27">
        <v>22.317948699999999</v>
      </c>
      <c r="F27">
        <v>14.589744</v>
      </c>
      <c r="G27">
        <v>49.215384999999998</v>
      </c>
      <c r="H27">
        <v>-4.57812821</v>
      </c>
      <c r="J27" t="s">
        <v>144</v>
      </c>
      <c r="K27">
        <v>6</v>
      </c>
      <c r="M27" s="33" t="s">
        <v>150</v>
      </c>
      <c r="N27">
        <f>((K27-1)*(K27+2)/(6*(K28-1)))*(1/(29^2)+1/(29^2)+1/(39^2)-1/(97^2))</f>
        <v>9.7643408666694027E-3</v>
      </c>
    </row>
    <row r="28" spans="2:16" x14ac:dyDescent="0.25">
      <c r="B28" t="s">
        <v>156</v>
      </c>
      <c r="C28">
        <v>-1.35128205</v>
      </c>
      <c r="D28">
        <v>6.5205127999999997</v>
      </c>
      <c r="E28">
        <v>14.5897436</v>
      </c>
      <c r="F28">
        <v>380.14102600000001</v>
      </c>
      <c r="G28">
        <v>117.102564</v>
      </c>
      <c r="H28">
        <v>-5.5045512800000003</v>
      </c>
      <c r="J28" t="s">
        <v>145</v>
      </c>
      <c r="K28">
        <v>3</v>
      </c>
    </row>
    <row r="29" spans="2:16" x14ac:dyDescent="0.25">
      <c r="B29" t="s">
        <v>157</v>
      </c>
      <c r="C29">
        <v>3.12820513</v>
      </c>
      <c r="D29">
        <v>13.0692308</v>
      </c>
      <c r="E29">
        <v>49.2153846</v>
      </c>
      <c r="F29">
        <v>117.102564</v>
      </c>
      <c r="G29">
        <v>655.44615399999998</v>
      </c>
      <c r="H29">
        <v>-20.559666669999999</v>
      </c>
      <c r="J29" t="s">
        <v>146</v>
      </c>
      <c r="K29">
        <f>2*6*7/2</f>
        <v>42</v>
      </c>
    </row>
    <row r="30" spans="2:16" x14ac:dyDescent="0.25">
      <c r="B30" t="s">
        <v>158</v>
      </c>
      <c r="C30">
        <v>-1.8474359999999999E-2</v>
      </c>
      <c r="D30">
        <v>-1.4465256</v>
      </c>
      <c r="E30">
        <v>-4.5781282000000001</v>
      </c>
      <c r="F30">
        <v>-5.5045510000000002</v>
      </c>
      <c r="G30">
        <v>-20.559667000000001</v>
      </c>
      <c r="H30">
        <v>2.4731101899999999</v>
      </c>
      <c r="J30" t="s">
        <v>147</v>
      </c>
      <c r="K30">
        <f>(K29+2)/ABS(N27-(1-N26)^2)</f>
        <v>24619.805954818723</v>
      </c>
    </row>
    <row r="31" spans="2:16" x14ac:dyDescent="0.25">
      <c r="J31" s="33" t="s">
        <v>149</v>
      </c>
      <c r="K31">
        <f>(N26-K29/K30)/K29</f>
        <v>2.1642359465882357E-2</v>
      </c>
      <c r="M31" s="5"/>
    </row>
    <row r="32" spans="2:16" x14ac:dyDescent="0.25">
      <c r="J32" s="33" t="s">
        <v>151</v>
      </c>
      <c r="K32">
        <f>K31*K26</f>
        <v>1.8394987034483166</v>
      </c>
    </row>
    <row r="33" spans="2:14" x14ac:dyDescent="0.25">
      <c r="J33" s="33" t="s">
        <v>12</v>
      </c>
      <c r="K33" s="34">
        <f>FINV(0.05,K29,K30)</f>
        <v>1.3844149949281845</v>
      </c>
      <c r="L33" s="5"/>
      <c r="M33" s="33" t="s">
        <v>152</v>
      </c>
      <c r="N33" s="34">
        <f>FDIST(K32,K29,K30)</f>
        <v>7.5556111065396621E-4</v>
      </c>
    </row>
    <row r="35" spans="2:14" x14ac:dyDescent="0.25">
      <c r="K35" s="5" t="s">
        <v>159</v>
      </c>
    </row>
    <row r="38" spans="2:14" x14ac:dyDescent="0.25">
      <c r="B38" t="s">
        <v>128</v>
      </c>
    </row>
    <row r="46" spans="2:14" x14ac:dyDescent="0.25">
      <c r="G46"/>
      <c r="H46"/>
    </row>
    <row r="47" spans="2:14" x14ac:dyDescent="0.25">
      <c r="B47" t="s">
        <v>129</v>
      </c>
      <c r="G47"/>
      <c r="H47"/>
    </row>
    <row r="55" spans="2:8" x14ac:dyDescent="0.25">
      <c r="G55"/>
      <c r="H55"/>
    </row>
    <row r="56" spans="2:8" x14ac:dyDescent="0.25">
      <c r="B56" t="s">
        <v>130</v>
      </c>
      <c r="G56"/>
      <c r="H56"/>
    </row>
    <row r="64" spans="2:8" x14ac:dyDescent="0.25">
      <c r="G64"/>
      <c r="H64"/>
    </row>
    <row r="65" spans="2:8" x14ac:dyDescent="0.25">
      <c r="B65" t="s">
        <v>154</v>
      </c>
      <c r="G65"/>
      <c r="H65"/>
    </row>
    <row r="67" spans="2:8" x14ac:dyDescent="0.25">
      <c r="C67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32"/>
  <sheetViews>
    <sheetView workbookViewId="0">
      <selection activeCell="L16" sqref="L16"/>
    </sheetView>
  </sheetViews>
  <sheetFormatPr baseColWidth="10" defaultColWidth="9.140625" defaultRowHeight="15" x14ac:dyDescent="0.25"/>
  <sheetData>
    <row r="2" spans="2:13" x14ac:dyDescent="0.25">
      <c r="B2" s="29" t="s">
        <v>91</v>
      </c>
    </row>
    <row r="3" spans="2:13" x14ac:dyDescent="0.25">
      <c r="B3" s="29" t="s">
        <v>92</v>
      </c>
    </row>
    <row r="4" spans="2:13" x14ac:dyDescent="0.25">
      <c r="B4" s="29"/>
    </row>
    <row r="5" spans="2:13" x14ac:dyDescent="0.25">
      <c r="B5" s="29" t="s">
        <v>38</v>
      </c>
    </row>
    <row r="6" spans="2:13" x14ac:dyDescent="0.25">
      <c r="B6" s="29" t="s">
        <v>39</v>
      </c>
    </row>
    <row r="7" spans="2:13" x14ac:dyDescent="0.25">
      <c r="B7" s="29" t="s">
        <v>93</v>
      </c>
      <c r="J7" s="30" t="s">
        <v>112</v>
      </c>
    </row>
    <row r="8" spans="2:13" x14ac:dyDescent="0.25">
      <c r="B8" s="29" t="s">
        <v>94</v>
      </c>
      <c r="J8" s="30" t="s">
        <v>114</v>
      </c>
    </row>
    <row r="9" spans="2:13" x14ac:dyDescent="0.25">
      <c r="B9" s="29" t="s">
        <v>95</v>
      </c>
      <c r="J9" s="30" t="s">
        <v>113</v>
      </c>
    </row>
    <row r="10" spans="2:13" x14ac:dyDescent="0.25">
      <c r="B10" s="29" t="s">
        <v>96</v>
      </c>
    </row>
    <row r="11" spans="2:13" x14ac:dyDescent="0.25">
      <c r="B11" s="29"/>
      <c r="L11" s="4" t="s">
        <v>71</v>
      </c>
      <c r="M11">
        <f>-(246-1-(6+3)/2)*LN(0.91647)</f>
        <v>20.977839883693637</v>
      </c>
    </row>
    <row r="12" spans="2:13" x14ac:dyDescent="0.25">
      <c r="B12" s="29"/>
      <c r="L12" s="4" t="s">
        <v>70</v>
      </c>
      <c r="M12">
        <f>CHIINV(0.05,6*2)</f>
        <v>21.026069817483066</v>
      </c>
    </row>
    <row r="13" spans="2:13" x14ac:dyDescent="0.25">
      <c r="B13" s="29" t="s">
        <v>97</v>
      </c>
      <c r="J13" s="30" t="s">
        <v>116</v>
      </c>
    </row>
    <row r="14" spans="2:13" x14ac:dyDescent="0.25">
      <c r="B14" s="29"/>
      <c r="J14" s="30" t="s">
        <v>115</v>
      </c>
    </row>
    <row r="15" spans="2:13" x14ac:dyDescent="0.25">
      <c r="B15" s="29" t="s">
        <v>98</v>
      </c>
    </row>
    <row r="16" spans="2:13" x14ac:dyDescent="0.25">
      <c r="B16" s="29" t="s">
        <v>99</v>
      </c>
    </row>
    <row r="17" spans="2:2" x14ac:dyDescent="0.25">
      <c r="B17" s="29" t="s">
        <v>100</v>
      </c>
    </row>
    <row r="18" spans="2:2" x14ac:dyDescent="0.25">
      <c r="B18" s="29" t="s">
        <v>101</v>
      </c>
    </row>
    <row r="19" spans="2:2" x14ac:dyDescent="0.25">
      <c r="B19" s="29" t="s">
        <v>102</v>
      </c>
    </row>
    <row r="20" spans="2:2" x14ac:dyDescent="0.25">
      <c r="B20" s="29" t="s">
        <v>103</v>
      </c>
    </row>
    <row r="21" spans="2:2" x14ac:dyDescent="0.25">
      <c r="B21" s="29" t="s">
        <v>104</v>
      </c>
    </row>
    <row r="22" spans="2:2" x14ac:dyDescent="0.25">
      <c r="B22" s="29"/>
    </row>
    <row r="23" spans="2:2" x14ac:dyDescent="0.25">
      <c r="B23" s="29"/>
    </row>
    <row r="24" spans="2:2" x14ac:dyDescent="0.25">
      <c r="B24" s="29" t="s">
        <v>52</v>
      </c>
    </row>
    <row r="25" spans="2:2" x14ac:dyDescent="0.25">
      <c r="B25" s="29"/>
    </row>
    <row r="26" spans="2:2" x14ac:dyDescent="0.25">
      <c r="B26" s="29" t="s">
        <v>105</v>
      </c>
    </row>
    <row r="27" spans="2:2" x14ac:dyDescent="0.25">
      <c r="B27" s="29" t="s">
        <v>106</v>
      </c>
    </row>
    <row r="28" spans="2:2" x14ac:dyDescent="0.25">
      <c r="B28" s="29" t="s">
        <v>107</v>
      </c>
    </row>
    <row r="29" spans="2:2" x14ac:dyDescent="0.25">
      <c r="B29" s="29" t="s">
        <v>108</v>
      </c>
    </row>
    <row r="30" spans="2:2" x14ac:dyDescent="0.25">
      <c r="B30" s="29" t="s">
        <v>109</v>
      </c>
    </row>
    <row r="31" spans="2:2" x14ac:dyDescent="0.25">
      <c r="B31" s="29" t="s">
        <v>110</v>
      </c>
    </row>
    <row r="32" spans="2:2" x14ac:dyDescent="0.25">
      <c r="B32" s="2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25"/>
  <sheetViews>
    <sheetView workbookViewId="0">
      <selection activeCell="I18" sqref="I18"/>
    </sheetView>
  </sheetViews>
  <sheetFormatPr baseColWidth="10" defaultColWidth="9.140625" defaultRowHeight="15" x14ac:dyDescent="0.25"/>
  <cols>
    <col min="4" max="4" width="10.42578125" customWidth="1"/>
    <col min="8" max="8" width="11.42578125" customWidth="1"/>
    <col min="12" max="12" width="10.42578125" customWidth="1"/>
  </cols>
  <sheetData>
    <row r="1" spans="2:16" x14ac:dyDescent="0.25">
      <c r="B1" s="29"/>
      <c r="C1" s="15">
        <v>1876679</v>
      </c>
      <c r="D1" s="16">
        <v>149741</v>
      </c>
      <c r="E1" s="16">
        <v>136807</v>
      </c>
      <c r="F1" s="16">
        <v>111677</v>
      </c>
      <c r="G1" s="16">
        <v>133892</v>
      </c>
      <c r="H1" s="17">
        <v>130415</v>
      </c>
      <c r="K1" s="15">
        <f>C1/243</f>
        <v>7722.9588477366251</v>
      </c>
      <c r="L1" s="16">
        <f t="shared" ref="L1:P1" si="0">D1/243</f>
        <v>616.2181069958848</v>
      </c>
      <c r="M1" s="16">
        <f t="shared" si="0"/>
        <v>562.99176954732513</v>
      </c>
      <c r="N1" s="16">
        <f t="shared" si="0"/>
        <v>459.57613168724282</v>
      </c>
      <c r="O1" s="16">
        <f t="shared" si="0"/>
        <v>550.99588477366251</v>
      </c>
      <c r="P1" s="17">
        <f t="shared" si="0"/>
        <v>536.68724279835396</v>
      </c>
    </row>
    <row r="2" spans="2:16" x14ac:dyDescent="0.25">
      <c r="B2" s="29"/>
      <c r="C2" s="18">
        <v>149741</v>
      </c>
      <c r="D2" s="19">
        <v>23623</v>
      </c>
      <c r="E2" s="19">
        <v>8113</v>
      </c>
      <c r="F2" s="19">
        <v>8539</v>
      </c>
      <c r="G2" s="19">
        <v>8198</v>
      </c>
      <c r="H2" s="20">
        <v>7073</v>
      </c>
      <c r="K2" s="18">
        <f t="shared" ref="K2:K6" si="1">C2/243</f>
        <v>616.2181069958848</v>
      </c>
      <c r="L2" s="19">
        <f t="shared" ref="L2:L6" si="2">D2/243</f>
        <v>97.21399176954732</v>
      </c>
      <c r="M2" s="19">
        <f t="shared" ref="M2:M6" si="3">E2/243</f>
        <v>33.386831275720162</v>
      </c>
      <c r="N2" s="19">
        <f t="shared" ref="N2:N6" si="4">F2/243</f>
        <v>35.139917695473251</v>
      </c>
      <c r="O2" s="19">
        <f t="shared" ref="O2:O6" si="5">G2/243</f>
        <v>33.736625514403293</v>
      </c>
      <c r="P2" s="20">
        <f t="shared" ref="P2:P6" si="6">H2/243</f>
        <v>29.106995884773664</v>
      </c>
    </row>
    <row r="3" spans="2:16" x14ac:dyDescent="0.25">
      <c r="B3" s="32" t="s">
        <v>73</v>
      </c>
      <c r="C3" s="18">
        <v>136807</v>
      </c>
      <c r="D3" s="19">
        <v>8113</v>
      </c>
      <c r="E3" s="19">
        <v>21734</v>
      </c>
      <c r="F3" s="19">
        <v>6336</v>
      </c>
      <c r="G3" s="19">
        <v>8451</v>
      </c>
      <c r="H3" s="20">
        <v>5757</v>
      </c>
      <c r="J3" s="4" t="s">
        <v>74</v>
      </c>
      <c r="K3" s="18">
        <f t="shared" si="1"/>
        <v>562.99176954732513</v>
      </c>
      <c r="L3" s="19">
        <f t="shared" si="2"/>
        <v>33.386831275720162</v>
      </c>
      <c r="M3" s="19">
        <f t="shared" si="3"/>
        <v>89.440329218106996</v>
      </c>
      <c r="N3" s="19">
        <f t="shared" si="4"/>
        <v>26.074074074074073</v>
      </c>
      <c r="O3" s="19">
        <f t="shared" si="5"/>
        <v>34.777777777777779</v>
      </c>
      <c r="P3" s="20">
        <f t="shared" si="6"/>
        <v>23.691358024691358</v>
      </c>
    </row>
    <row r="4" spans="2:16" x14ac:dyDescent="0.25">
      <c r="B4" s="29"/>
      <c r="C4" s="18">
        <v>111677</v>
      </c>
      <c r="D4" s="19">
        <v>8539</v>
      </c>
      <c r="E4" s="19">
        <v>6336</v>
      </c>
      <c r="F4" s="19">
        <v>25484</v>
      </c>
      <c r="G4" s="19">
        <v>3772</v>
      </c>
      <c r="H4" s="20">
        <v>4916</v>
      </c>
      <c r="K4" s="18">
        <f t="shared" si="1"/>
        <v>459.57613168724282</v>
      </c>
      <c r="L4" s="19">
        <f t="shared" si="2"/>
        <v>35.139917695473251</v>
      </c>
      <c r="M4" s="19">
        <f t="shared" si="3"/>
        <v>26.074074074074073</v>
      </c>
      <c r="N4" s="19">
        <f t="shared" si="4"/>
        <v>104.8724279835391</v>
      </c>
      <c r="O4" s="19">
        <f t="shared" si="5"/>
        <v>15.522633744855968</v>
      </c>
      <c r="P4" s="20">
        <f t="shared" si="6"/>
        <v>20.230452674897119</v>
      </c>
    </row>
    <row r="5" spans="2:16" x14ac:dyDescent="0.25">
      <c r="B5" s="29"/>
      <c r="C5" s="18">
        <v>133892</v>
      </c>
      <c r="D5" s="19">
        <v>8198</v>
      </c>
      <c r="E5" s="19">
        <v>8451</v>
      </c>
      <c r="F5" s="19">
        <v>3772</v>
      </c>
      <c r="G5" s="19">
        <v>19911</v>
      </c>
      <c r="H5" s="20">
        <v>5298</v>
      </c>
      <c r="K5" s="18">
        <f t="shared" si="1"/>
        <v>550.99588477366251</v>
      </c>
      <c r="L5" s="19">
        <f t="shared" si="2"/>
        <v>33.736625514403293</v>
      </c>
      <c r="M5" s="19">
        <f t="shared" si="3"/>
        <v>34.777777777777779</v>
      </c>
      <c r="N5" s="19">
        <f t="shared" si="4"/>
        <v>15.522633744855968</v>
      </c>
      <c r="O5" s="19">
        <f t="shared" si="5"/>
        <v>81.938271604938265</v>
      </c>
      <c r="P5" s="20">
        <f t="shared" si="6"/>
        <v>21.802469135802468</v>
      </c>
    </row>
    <row r="6" spans="2:16" x14ac:dyDescent="0.25">
      <c r="B6" s="29"/>
      <c r="C6" s="21">
        <v>130415</v>
      </c>
      <c r="D6" s="22">
        <v>7073</v>
      </c>
      <c r="E6" s="22">
        <v>5757</v>
      </c>
      <c r="F6" s="22">
        <v>4916</v>
      </c>
      <c r="G6" s="22">
        <v>5298</v>
      </c>
      <c r="H6" s="23">
        <v>19730</v>
      </c>
      <c r="K6" s="21">
        <f t="shared" si="1"/>
        <v>536.68724279835396</v>
      </c>
      <c r="L6" s="22">
        <f t="shared" si="2"/>
        <v>29.106995884773664</v>
      </c>
      <c r="M6" s="22">
        <f t="shared" si="3"/>
        <v>23.691358024691358</v>
      </c>
      <c r="N6" s="22">
        <f t="shared" si="4"/>
        <v>20.230452674897119</v>
      </c>
      <c r="O6" s="22">
        <f t="shared" si="5"/>
        <v>21.802469135802468</v>
      </c>
      <c r="P6" s="23">
        <f t="shared" si="6"/>
        <v>81.193415637860085</v>
      </c>
    </row>
    <row r="9" spans="2:16" x14ac:dyDescent="0.25">
      <c r="D9" s="30" t="s">
        <v>120</v>
      </c>
      <c r="G9" s="30" t="s">
        <v>121</v>
      </c>
      <c r="J9" s="30" t="s">
        <v>122</v>
      </c>
    </row>
    <row r="10" spans="2:16" x14ac:dyDescent="0.25">
      <c r="D10" s="1">
        <v>522.5</v>
      </c>
      <c r="G10" s="1">
        <v>545.02</v>
      </c>
      <c r="J10" s="1">
        <v>528.9</v>
      </c>
    </row>
    <row r="11" spans="2:16" x14ac:dyDescent="0.25">
      <c r="D11" s="2">
        <v>48.53</v>
      </c>
      <c r="G11" s="2">
        <v>53.8</v>
      </c>
      <c r="J11" s="2">
        <v>51.26</v>
      </c>
    </row>
    <row r="12" spans="2:16" x14ac:dyDescent="0.25">
      <c r="C12" s="30" t="s">
        <v>1</v>
      </c>
      <c r="D12" s="2">
        <v>49.51</v>
      </c>
      <c r="F12" s="30" t="s">
        <v>6</v>
      </c>
      <c r="G12" s="2">
        <v>50.104999999999997</v>
      </c>
      <c r="I12" s="30" t="s">
        <v>77</v>
      </c>
      <c r="J12" s="2">
        <v>50.53</v>
      </c>
    </row>
    <row r="13" spans="2:16" x14ac:dyDescent="0.25">
      <c r="D13" s="2">
        <v>56.28</v>
      </c>
      <c r="G13" s="2">
        <v>59.29</v>
      </c>
      <c r="J13" s="2">
        <v>58.27</v>
      </c>
    </row>
    <row r="14" spans="2:16" x14ac:dyDescent="0.25">
      <c r="D14" s="2">
        <v>47.110999999999997</v>
      </c>
      <c r="G14" s="2">
        <v>47.37</v>
      </c>
      <c r="J14" s="2">
        <v>47.76</v>
      </c>
    </row>
    <row r="15" spans="2:16" x14ac:dyDescent="0.25">
      <c r="C15" s="30" t="s">
        <v>117</v>
      </c>
      <c r="D15" s="3">
        <v>50.625</v>
      </c>
      <c r="F15" s="30" t="s">
        <v>118</v>
      </c>
      <c r="G15" s="3">
        <v>51.220999999999997</v>
      </c>
      <c r="I15" s="30" t="s">
        <v>119</v>
      </c>
      <c r="J15" s="3">
        <v>48.2</v>
      </c>
    </row>
    <row r="17" spans="3:13" x14ac:dyDescent="0.25">
      <c r="D17" s="24" t="s">
        <v>123</v>
      </c>
      <c r="H17" s="24" t="s">
        <v>124</v>
      </c>
      <c r="L17" s="24" t="s">
        <v>125</v>
      </c>
    </row>
    <row r="18" spans="3:13" x14ac:dyDescent="0.25">
      <c r="C18">
        <f>($D10-$G10)-TINV(2*0.05/(6*6),243)*SQRT((1/72+1/86)*$K1)</f>
        <v>-64.945912748101449</v>
      </c>
      <c r="D18" s="24" t="s">
        <v>84</v>
      </c>
      <c r="E18" s="30">
        <f>($D10-$G10)+TINV(2*0.05/(6*6),243)*SQRT((1/72+1/86)*$K1)</f>
        <v>19.905912748101493</v>
      </c>
      <c r="G18" s="30">
        <f>($D10-$J10)-TINV(2*0.05/(6*6),243)*SQRT((1/72+1/88)*$K1)</f>
        <v>-48.605644046323945</v>
      </c>
      <c r="H18" s="24" t="s">
        <v>84</v>
      </c>
      <c r="I18" s="30">
        <f>($D10-$J10)+TINV(2*0.05/(6*6),243)*SQRT((1/72+1/88)*$K1)</f>
        <v>35.805644046323991</v>
      </c>
      <c r="K18" s="30">
        <f>($G10-$J10)-TINV(2*0.05/(6*6),243)*SQRT((1/86+1/88)*$K1)</f>
        <v>-24.151906257005251</v>
      </c>
      <c r="L18" s="24" t="s">
        <v>84</v>
      </c>
      <c r="M18" s="30">
        <f>($G10-$J10)+TINV(2*0.05/(6*6),243)*SQRT((1/86+1/88)*$K1)</f>
        <v>56.39190625700526</v>
      </c>
    </row>
    <row r="19" spans="3:13" x14ac:dyDescent="0.25">
      <c r="C19" s="30">
        <f>($D11-$G11)-TINV(2*0.05/(6*6),243)*SQRT((1/72+1/86)*$L2)</f>
        <v>-10.029964593841711</v>
      </c>
      <c r="D19" s="24" t="s">
        <v>86</v>
      </c>
      <c r="E19" s="30">
        <f>($D11-$G11)+TINV(2*0.05/(6*6),243)*SQRT((1/72+1/86)*$L2)</f>
        <v>-0.51003540615827969</v>
      </c>
      <c r="G19" s="30">
        <f>($D11-$J11)-TINV(2*0.05/(6*6),243)*SQRT((1/72+1/88)*$L2)</f>
        <v>-7.465251602330663</v>
      </c>
      <c r="H19" s="24" t="s">
        <v>86</v>
      </c>
      <c r="I19" s="30">
        <f>($D11-$J11)+TINV(2*0.05/(6*6),243)*SQRT((1/72+1/88)*$L2)</f>
        <v>2.0052516023306692</v>
      </c>
      <c r="K19" s="30">
        <f>($G11-$J11)-TINV(2*0.05/(6*6),243)*SQRT((1/86+1/88)*$L2)</f>
        <v>-1.9782963781594969</v>
      </c>
      <c r="L19" s="24" t="s">
        <v>86</v>
      </c>
      <c r="M19" s="30">
        <f>($G11-$J11)+TINV(2*0.05/(6*6),243)*SQRT((1/86+1/88)*$L2)</f>
        <v>7.0582963781594952</v>
      </c>
    </row>
    <row r="20" spans="3:13" x14ac:dyDescent="0.25">
      <c r="C20" s="30">
        <f>($D12-$G12)-TINV(2*0.05/(6*6),243)*SQRT((1/72+1/86)*$M3)</f>
        <v>-5.1606858805256852</v>
      </c>
      <c r="D20" s="24" t="s">
        <v>85</v>
      </c>
      <c r="E20" s="30">
        <f>($D12-$G12)+TINV(2*0.05/(6*6),243)*SQRT((1/72+1/86)*$M3)</f>
        <v>3.9706858805256875</v>
      </c>
      <c r="G20" s="30">
        <f>($D12-$J12)-TINV(2*0.05/(6*6),243)*SQRT((1/72+1/88)*$M3)</f>
        <v>-5.5619815537007522</v>
      </c>
      <c r="H20" s="24" t="s">
        <v>85</v>
      </c>
      <c r="I20" s="30">
        <f>($D12-$J12)+TINV(2*0.05/(6*6),243)*SQRT((1/72+1/88)*$M3)</f>
        <v>3.5219815537007459</v>
      </c>
      <c r="K20" s="30">
        <f>($G12-$J12)-TINV(2*0.05/(6*6),243)*SQRT((1/86+1/88)*$M3)</f>
        <v>-4.7588813915722081</v>
      </c>
      <c r="L20" s="24" t="s">
        <v>85</v>
      </c>
      <c r="M20" s="30">
        <f>($G12-$J12)+TINV(2*0.05/(6*6),243)*SQRT((1/86+1/88)*$M3)</f>
        <v>3.9088813915721996</v>
      </c>
    </row>
    <row r="21" spans="3:13" x14ac:dyDescent="0.25">
      <c r="C21" s="30">
        <f>($D13-$G13)-TINV(2*0.05/(6*6),243)*SQRT((1/72+1/86)*$N4)</f>
        <v>-7.9539036179711422</v>
      </c>
      <c r="D21" s="24" t="s">
        <v>87</v>
      </c>
      <c r="E21" s="30">
        <f>($D13-$G13)+TINV(2*0.05/(6*6),243)*SQRT((1/72+1/86)*$N4)</f>
        <v>1.9339036179711462</v>
      </c>
      <c r="G21" s="30">
        <f>($D13-$J13)-TINV(2*0.05/(6*6),243)*SQRT((1/72+1/88)*$N4)</f>
        <v>-6.9082356438226729</v>
      </c>
      <c r="H21" s="24" t="s">
        <v>87</v>
      </c>
      <c r="I21" s="30">
        <f>($D13-$J13)+TINV(2*0.05/(6*6),243)*SQRT((1/72+1/88)*$N4)</f>
        <v>2.9282356438226689</v>
      </c>
      <c r="K21" s="30">
        <f>($G13-$J13)-TINV(2*0.05/(6*6),243)*SQRT((1/86+1/88)*$N4)</f>
        <v>-3.6728966320356369</v>
      </c>
      <c r="L21" s="24" t="s">
        <v>87</v>
      </c>
      <c r="M21" s="30">
        <f>($G13-$J13)+TINV(2*0.05/(6*6),243)*SQRT((1/86+1/88)*$N4)</f>
        <v>5.7128966320356289</v>
      </c>
    </row>
    <row r="22" spans="3:13" x14ac:dyDescent="0.25">
      <c r="C22" s="30">
        <f>($D14-$G14)-TINV(2*0.05/(6*6),243)*SQRT((1/72+1/86)*$O5)</f>
        <v>-4.6290130462164116</v>
      </c>
      <c r="D22" s="24" t="s">
        <v>88</v>
      </c>
      <c r="E22" s="30">
        <f>($D14-$G14)+TINV(2*0.05/(6*6),243)*SQRT((1/72+1/86)*$O5)</f>
        <v>4.1110130462164109</v>
      </c>
      <c r="G22" s="30">
        <f>($D14-$J14)-TINV(2*0.05/(6*6),243)*SQRT((1/72+1/88)*$O5)</f>
        <v>-4.9963246221356847</v>
      </c>
      <c r="H22" s="24" t="s">
        <v>88</v>
      </c>
      <c r="I22" s="30">
        <f>($D14-$J14)+TINV(2*0.05/(6*6),243)*SQRT((1/72+1/88)*$O5)</f>
        <v>3.6983246221356829</v>
      </c>
      <c r="K22" s="30">
        <f>($G14-$J14)-TINV(2*0.05/(6*6),243)*SQRT((1/86+1/88)*$O5)</f>
        <v>-4.5381430649242223</v>
      </c>
      <c r="L22" s="24" t="s">
        <v>88</v>
      </c>
      <c r="M22" s="30">
        <f>($G14-$J14)+TINV(2*0.05/(6*6),243)*SQRT((1/86+1/88)*$O5)</f>
        <v>3.7581430649242211</v>
      </c>
    </row>
    <row r="23" spans="3:13" x14ac:dyDescent="0.25">
      <c r="C23" s="30">
        <f>($D15-$G15)-TINV(2*0.05/(6*6),243)*SQRT((1/72+1/86)*$P6)</f>
        <v>-4.9461050016019525</v>
      </c>
      <c r="D23" s="24" t="s">
        <v>89</v>
      </c>
      <c r="E23" s="30">
        <f>($D15-$G15)+TINV(2*0.05/(6*6),243)*SQRT((1/72+1/86)*$P6)</f>
        <v>3.7541050016019595</v>
      </c>
      <c r="G23" s="30">
        <f>($D15-$J15)-TINV(2*0.05/(6*6),243)*SQRT((1/72+1/88)*$P6)</f>
        <v>-1.9025199369744081</v>
      </c>
      <c r="H23" s="24" t="s">
        <v>89</v>
      </c>
      <c r="I23" s="30">
        <f>($D15-$J15)+TINV(2*0.05/(6*6),243)*SQRT((1/72+1/88)*$P6)</f>
        <v>6.7525199369744024</v>
      </c>
      <c r="K23" s="30">
        <f>($G15-$J15)-TINV(2*0.05/(6*6),243)*SQRT((1/86+1/88)*$P6)</f>
        <v>-1.1082457718657661</v>
      </c>
      <c r="L23" s="24" t="s">
        <v>89</v>
      </c>
      <c r="M23" s="30">
        <f>($G15-$J15)+TINV(2*0.05/(6*6),243)*SQRT((1/86+1/88)*$P6)</f>
        <v>7.1502457718657535</v>
      </c>
    </row>
    <row r="25" spans="3:13" x14ac:dyDescent="0.25">
      <c r="C25" s="3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A734-C719-4659-A3DB-B07D46BED605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s="5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D810B6C2712B4EAD534D27BDEE8F10" ma:contentTypeVersion="5" ma:contentTypeDescription="Crear nuevo documento." ma:contentTypeScope="" ma:versionID="ebfdd085f5fcab7f038d21995492721c">
  <xsd:schema xmlns:xsd="http://www.w3.org/2001/XMLSchema" xmlns:xs="http://www.w3.org/2001/XMLSchema" xmlns:p="http://schemas.microsoft.com/office/2006/metadata/properties" xmlns:ns2="3b7089e3-e8c4-423f-b2e4-e9cf6dd3f41a" targetNamespace="http://schemas.microsoft.com/office/2006/metadata/properties" ma:root="true" ma:fieldsID="d2b012c5c775ea8ed2db55e1e74dfb97" ns2:_="">
    <xsd:import namespace="3b7089e3-e8c4-423f-b2e4-e9cf6dd3f41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089e3-e8c4-423f-b2e4-e9cf6dd3f41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5959D0-093D-4746-95AB-515EBA8E87CD}"/>
</file>

<file path=customXml/itemProps2.xml><?xml version="1.0" encoding="utf-8"?>
<ds:datastoreItem xmlns:ds="http://schemas.openxmlformats.org/officeDocument/2006/customXml" ds:itemID="{2F6171DF-DF3A-4BE0-A1F3-DAB773F4E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prob 1</vt:lpstr>
      <vt:lpstr>prob 2</vt:lpstr>
      <vt:lpstr>prob 3A</vt:lpstr>
      <vt:lpstr>prob 3B</vt:lpstr>
      <vt:lpstr>prob 3C</vt:lpstr>
      <vt:lpstr>prob 4A</vt:lpstr>
      <vt:lpstr>prob 4B</vt:lpstr>
      <vt:lpstr>prob 4C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de Monterrey</dc:creator>
  <cp:lastModifiedBy>Isela Her Zam</cp:lastModifiedBy>
  <dcterms:created xsi:type="dcterms:W3CDTF">2012-09-19T02:06:47Z</dcterms:created>
  <dcterms:modified xsi:type="dcterms:W3CDTF">2022-06-15T15:34:23Z</dcterms:modified>
</cp:coreProperties>
</file>