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tables/table11.xml" ContentType="application/vnd.openxmlformats-officedocument.spreadsheetml.table+xml"/>
  <Override PartName="/xl/queryTables/queryTable9.xml" ContentType="application/vnd.openxmlformats-officedocument.spreadsheetml.queryTable+xml"/>
  <Override PartName="/xl/tables/table12.xml" ContentType="application/vnd.openxmlformats-officedocument.spreadsheetml.table+xml"/>
  <Override PartName="/xl/queryTables/queryTable10.xml" ContentType="application/vnd.openxmlformats-officedocument.spreadsheetml.queryTable+xml"/>
  <Override PartName="/xl/tables/table13.xml" ContentType="application/vnd.openxmlformats-officedocument.spreadsheetml.table+xml"/>
  <Override PartName="/xl/queryTables/queryTable11.xml" ContentType="application/vnd.openxmlformats-officedocument.spreadsheetml.queryTable+xml"/>
  <Override PartName="/xl/tables/table14.xml" ContentType="application/vnd.openxmlformats-officedocument.spreadsheetml.table+xml"/>
  <Override PartName="/xl/queryTables/queryTable12.xml" ContentType="application/vnd.openxmlformats-officedocument.spreadsheetml.queryTable+xml"/>
  <Override PartName="/xl/tables/table15.xml" ContentType="application/vnd.openxmlformats-officedocument.spreadsheetml.table+xml"/>
  <Override PartName="/xl/queryTables/queryTable13.xml" ContentType="application/vnd.openxmlformats-officedocument.spreadsheetml.queryTable+xml"/>
  <Override PartName="/xl/tables/table16.xml" ContentType="application/vnd.openxmlformats-officedocument.spreadsheetml.table+xml"/>
  <Override PartName="/xl/queryTables/queryTable14.xml" ContentType="application/vnd.openxmlformats-officedocument.spreadsheetml.queryTable+xml"/>
  <Override PartName="/xl/tables/table17.xml" ContentType="application/vnd.openxmlformats-officedocument.spreadsheetml.table+xml"/>
  <Override PartName="/xl/queryTables/queryTable15.xml" ContentType="application/vnd.openxmlformats-officedocument.spreadsheetml.queryTable+xml"/>
  <Override PartName="/xl/tables/table18.xml" ContentType="application/vnd.openxmlformats-officedocument.spreadsheetml.table+xml"/>
  <Override PartName="/xl/queryTables/queryTable16.xml" ContentType="application/vnd.openxmlformats-officedocument.spreadsheetml.queryTable+xml"/>
  <Override PartName="/xl/tables/table19.xml" ContentType="application/vnd.openxmlformats-officedocument.spreadsheetml.table+xml"/>
  <Override PartName="/xl/queryTables/queryTable17.xml" ContentType="application/vnd.openxmlformats-officedocument.spreadsheetml.queryTable+xml"/>
  <Override PartName="/xl/tables/table20.xml" ContentType="application/vnd.openxmlformats-officedocument.spreadsheetml.table+xml"/>
  <Override PartName="/xl/queryTables/queryTable18.xml" ContentType="application/vnd.openxmlformats-officedocument.spreadsheetml.queryTable+xml"/>
  <Override PartName="/xl/tables/table21.xml" ContentType="application/vnd.openxmlformats-officedocument.spreadsheetml.table+xml"/>
  <Override PartName="/xl/queryTables/queryTable1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ocuments\Thesis\FeatSubSpace GAN\FSS_GAN\Results\Evaluation_Proposal\"/>
    </mc:Choice>
  </mc:AlternateContent>
  <xr:revisionPtr revIDLastSave="0" documentId="13_ncr:1_{AF7E79B0-5543-49EA-9EB0-358F413A406C}" xr6:coauthVersionLast="47" xr6:coauthVersionMax="47" xr10:uidLastSave="{00000000-0000-0000-0000-000000000000}"/>
  <bookViews>
    <workbookView xWindow="-120" yWindow="-120" windowWidth="51840" windowHeight="21240" firstSheet="2" activeTab="12" xr2:uid="{7CBD0493-6410-48D5-83A7-33CA8C9F6410}"/>
  </bookViews>
  <sheets>
    <sheet name="Deep SVDD Paper Params" sheetId="36" r:id="rId1"/>
    <sheet name="Deep SVDD Paper Run Cifar10" sheetId="34" r:id="rId2"/>
    <sheet name="Deep SVDD Paper Run MNIST" sheetId="37" r:id="rId3"/>
    <sheet name="MO_GAAL Tuning Class 8 Cifar10" sheetId="33" r:id="rId4"/>
    <sheet name="MO_GAAL Tuning Class 6 Cifar10" sheetId="32" r:id="rId5"/>
    <sheet name="AnoGAN Tuning Class 8 FMNIST" sheetId="31" r:id="rId6"/>
    <sheet name="AnoGAN Tuning Class 8 Cifar10" sheetId="30" r:id="rId7"/>
    <sheet name="Waveform" sheetId="29" r:id="rId8"/>
    <sheet name="Spambase" sheetId="28" r:id="rId9"/>
    <sheet name="Internet_ads" sheetId="27" r:id="rId10"/>
    <sheet name="Arrythmia" sheetId="26" r:id="rId11"/>
    <sheet name="Fashion_MNIST" sheetId="24" r:id="rId12"/>
    <sheet name="Cifar10" sheetId="2" r:id="rId13"/>
    <sheet name="MO_GAAL" sheetId="23" r:id="rId14"/>
    <sheet name="LOF" sheetId="22" r:id="rId15"/>
    <sheet name="KNN" sheetId="21" r:id="rId16"/>
    <sheet name="FB500" sheetId="20" r:id="rId17"/>
    <sheet name="FB100" sheetId="19" r:id="rId18"/>
    <sheet name="FB50" sheetId="18" r:id="rId19"/>
    <sheet name="Deep_SVDD" sheetId="25" r:id="rId20"/>
    <sheet name="AnoGAN" sheetId="16" r:id="rId21"/>
  </sheets>
  <definedNames>
    <definedName name="ExterneDaten_1" localSheetId="20" hidden="1">AnoGAN!$A$1:$B$16</definedName>
    <definedName name="ExterneDaten_1" localSheetId="12" hidden="1">Cifar10!$A$1:$J$69</definedName>
    <definedName name="ExterneDaten_1" localSheetId="0" hidden="1">'Deep SVDD Paper Params'!$A$1:$B$25</definedName>
    <definedName name="ExterneDaten_10" localSheetId="3" hidden="1">'MO_GAAL Tuning Class 8 Cifar10'!$A$1:$C$16</definedName>
    <definedName name="ExterneDaten_2" localSheetId="11" hidden="1">Fashion_MNIST!$A$1:$J$69</definedName>
    <definedName name="ExterneDaten_3" localSheetId="10" hidden="1">Arrythmia!$A$1:$H$6</definedName>
    <definedName name="ExterneDaten_3" localSheetId="19" hidden="1">Deep_SVDD!$A$1:$B$16</definedName>
    <definedName name="ExterneDaten_3" localSheetId="18" hidden="1">'FB50'!$A$1:$B$13</definedName>
    <definedName name="ExterneDaten_4" localSheetId="17" hidden="1">'FB100'!$A$1:$B$13</definedName>
    <definedName name="ExterneDaten_4" localSheetId="9" hidden="1">Internet_ads!$A$1:$H$6</definedName>
    <definedName name="ExterneDaten_5" localSheetId="16" hidden="1">'FB500'!$A$1:$B$13</definedName>
    <definedName name="ExterneDaten_5" localSheetId="8" hidden="1">Spambase!$A$1:$H$6</definedName>
    <definedName name="ExterneDaten_6" localSheetId="15" hidden="1">KNN!$A$1:$B$11</definedName>
    <definedName name="ExterneDaten_6" localSheetId="7" hidden="1">Waveform!$A$1:$H$6</definedName>
    <definedName name="ExterneDaten_7" localSheetId="6" hidden="1">'AnoGAN Tuning Class 8 Cifar10'!$A$1:$C$10</definedName>
    <definedName name="ExterneDaten_7" localSheetId="14" hidden="1">LOF!$A$1:$B$10</definedName>
    <definedName name="ExterneDaten_8" localSheetId="5" hidden="1">'AnoGAN Tuning Class 8 FMNIST'!$A$1:$C$10</definedName>
    <definedName name="ExterneDaten_8" localSheetId="13" hidden="1">MO_GAAL!$A$1:$B$7</definedName>
    <definedName name="ExterneDaten_9" localSheetId="4" hidden="1">'MO_GAAL Tuning Class 6 Cifar10'!$A$1:$C$16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7" i="2" l="1"/>
  <c r="F107" i="2"/>
  <c r="G107" i="2"/>
  <c r="H107" i="2"/>
  <c r="I107" i="2"/>
  <c r="J107" i="2"/>
  <c r="D107" i="2"/>
  <c r="D106" i="2"/>
  <c r="E103" i="2"/>
  <c r="F103" i="2"/>
  <c r="G103" i="2"/>
  <c r="H103" i="2"/>
  <c r="I103" i="2"/>
  <c r="J103" i="2"/>
  <c r="D103" i="2"/>
  <c r="D101" i="2"/>
  <c r="E87" i="2"/>
  <c r="F87" i="2"/>
  <c r="G87" i="2"/>
  <c r="H87" i="2"/>
  <c r="I87" i="2"/>
  <c r="J87" i="2"/>
  <c r="D87" i="2"/>
  <c r="D86" i="2"/>
  <c r="D79" i="2"/>
  <c r="D97" i="2"/>
  <c r="E97" i="2"/>
  <c r="F97" i="2"/>
  <c r="G97" i="2"/>
  <c r="H97" i="2"/>
  <c r="I97" i="2"/>
  <c r="J97" i="2"/>
  <c r="D98" i="2"/>
  <c r="E98" i="2"/>
  <c r="F98" i="2"/>
  <c r="G98" i="2"/>
  <c r="H98" i="2"/>
  <c r="I98" i="2"/>
  <c r="J98" i="2"/>
  <c r="D99" i="2"/>
  <c r="E99" i="2"/>
  <c r="F99" i="2"/>
  <c r="G99" i="2"/>
  <c r="H99" i="2"/>
  <c r="I99" i="2"/>
  <c r="J99" i="2"/>
  <c r="E101" i="2"/>
  <c r="F101" i="2"/>
  <c r="G101" i="2"/>
  <c r="H101" i="2"/>
  <c r="I101" i="2"/>
  <c r="J101" i="2"/>
  <c r="D102" i="2"/>
  <c r="E102" i="2"/>
  <c r="F102" i="2"/>
  <c r="G102" i="2"/>
  <c r="H102" i="2"/>
  <c r="I102" i="2"/>
  <c r="J102" i="2"/>
  <c r="D105" i="2"/>
  <c r="E105" i="2"/>
  <c r="F105" i="2"/>
  <c r="G105" i="2"/>
  <c r="H105" i="2"/>
  <c r="I105" i="2"/>
  <c r="J105" i="2"/>
  <c r="E106" i="2"/>
  <c r="F106" i="2"/>
  <c r="G106" i="2"/>
  <c r="H106" i="2"/>
  <c r="I106" i="2"/>
  <c r="J106" i="2"/>
  <c r="D109" i="2"/>
  <c r="E109" i="2"/>
  <c r="F109" i="2"/>
  <c r="G109" i="2"/>
  <c r="H109" i="2"/>
  <c r="I109" i="2"/>
  <c r="J109" i="2"/>
  <c r="D110" i="2"/>
  <c r="E110" i="2"/>
  <c r="F110" i="2"/>
  <c r="G110" i="2"/>
  <c r="H110" i="2"/>
  <c r="I110" i="2"/>
  <c r="J110" i="2"/>
  <c r="D111" i="2"/>
  <c r="E111" i="2"/>
  <c r="F111" i="2"/>
  <c r="G111" i="2"/>
  <c r="H111" i="2"/>
  <c r="I111" i="2"/>
  <c r="J111" i="2"/>
  <c r="D93" i="2"/>
  <c r="E93" i="2"/>
  <c r="F93" i="2"/>
  <c r="G93" i="2"/>
  <c r="H93" i="2"/>
  <c r="I93" i="2"/>
  <c r="J93" i="2"/>
  <c r="D94" i="2"/>
  <c r="E94" i="2"/>
  <c r="F94" i="2"/>
  <c r="G94" i="2"/>
  <c r="H94" i="2"/>
  <c r="I94" i="2"/>
  <c r="J94" i="2"/>
  <c r="D95" i="2"/>
  <c r="E95" i="2"/>
  <c r="F95" i="2"/>
  <c r="G95" i="2"/>
  <c r="H95" i="2"/>
  <c r="I95" i="2"/>
  <c r="J95" i="2"/>
  <c r="D89" i="2"/>
  <c r="E89" i="2"/>
  <c r="F89" i="2"/>
  <c r="G89" i="2"/>
  <c r="H89" i="2"/>
  <c r="I89" i="2"/>
  <c r="J89" i="2"/>
  <c r="D90" i="2"/>
  <c r="E90" i="2"/>
  <c r="F90" i="2"/>
  <c r="G90" i="2"/>
  <c r="H90" i="2"/>
  <c r="I90" i="2"/>
  <c r="J90" i="2"/>
  <c r="D91" i="2"/>
  <c r="E91" i="2"/>
  <c r="F91" i="2"/>
  <c r="G91" i="2"/>
  <c r="H91" i="2"/>
  <c r="I91" i="2"/>
  <c r="J91" i="2"/>
  <c r="D85" i="2"/>
  <c r="E85" i="2"/>
  <c r="F85" i="2"/>
  <c r="G85" i="2"/>
  <c r="H85" i="2"/>
  <c r="I85" i="2"/>
  <c r="J85" i="2"/>
  <c r="E86" i="2"/>
  <c r="F86" i="2"/>
  <c r="G86" i="2"/>
  <c r="H86" i="2"/>
  <c r="I86" i="2"/>
  <c r="J86" i="2"/>
  <c r="D81" i="2"/>
  <c r="E81" i="2"/>
  <c r="F81" i="2"/>
  <c r="G81" i="2"/>
  <c r="H81" i="2"/>
  <c r="I81" i="2"/>
  <c r="J81" i="2"/>
  <c r="D82" i="2"/>
  <c r="E82" i="2"/>
  <c r="F82" i="2"/>
  <c r="G82" i="2"/>
  <c r="H82" i="2"/>
  <c r="I82" i="2"/>
  <c r="J82" i="2"/>
  <c r="D83" i="2"/>
  <c r="E83" i="2"/>
  <c r="F83" i="2"/>
  <c r="G83" i="2"/>
  <c r="H83" i="2"/>
  <c r="I83" i="2"/>
  <c r="J83" i="2"/>
  <c r="E75" i="2"/>
  <c r="F75" i="2"/>
  <c r="G75" i="2"/>
  <c r="H75" i="2"/>
  <c r="I75" i="2"/>
  <c r="J75" i="2"/>
  <c r="D75" i="2"/>
  <c r="D77" i="2"/>
  <c r="E77" i="2"/>
  <c r="F77" i="2"/>
  <c r="G77" i="2"/>
  <c r="H77" i="2"/>
  <c r="I77" i="2"/>
  <c r="J77" i="2"/>
  <c r="D78" i="2"/>
  <c r="E78" i="2"/>
  <c r="F78" i="2"/>
  <c r="G78" i="2"/>
  <c r="H78" i="2"/>
  <c r="I78" i="2"/>
  <c r="J78" i="2"/>
  <c r="E79" i="2"/>
  <c r="F79" i="2"/>
  <c r="G79" i="2"/>
  <c r="H79" i="2"/>
  <c r="I79" i="2"/>
  <c r="J79" i="2"/>
  <c r="D73" i="2"/>
  <c r="E73" i="2"/>
  <c r="F73" i="2"/>
  <c r="G73" i="2"/>
  <c r="H73" i="2"/>
  <c r="I73" i="2"/>
  <c r="J73" i="2"/>
  <c r="D74" i="2"/>
  <c r="E74" i="2"/>
  <c r="F74" i="2"/>
  <c r="G74" i="2"/>
  <c r="H74" i="2"/>
  <c r="I74" i="2"/>
  <c r="J74" i="2"/>
  <c r="C111" i="2"/>
  <c r="C110" i="2"/>
  <c r="C109" i="2"/>
  <c r="C106" i="2"/>
  <c r="C105" i="2"/>
  <c r="C102" i="2"/>
  <c r="C101" i="2"/>
  <c r="C99" i="2"/>
  <c r="C98" i="2"/>
  <c r="C97" i="2"/>
  <c r="C95" i="2"/>
  <c r="C94" i="2"/>
  <c r="C93" i="2"/>
  <c r="C91" i="2"/>
  <c r="C90" i="2"/>
  <c r="C89" i="2"/>
  <c r="C86" i="2"/>
  <c r="C85" i="2"/>
  <c r="C83" i="2"/>
  <c r="C82" i="2"/>
  <c r="C81" i="2"/>
  <c r="C79" i="2"/>
  <c r="C78" i="2"/>
  <c r="C77" i="2"/>
  <c r="C74" i="2"/>
  <c r="C73" i="2"/>
  <c r="D109" i="24"/>
  <c r="E109" i="24"/>
  <c r="F109" i="24"/>
  <c r="G109" i="24"/>
  <c r="H109" i="24"/>
  <c r="I109" i="24"/>
  <c r="J109" i="24"/>
  <c r="D110" i="24"/>
  <c r="E110" i="24"/>
  <c r="F110" i="24"/>
  <c r="G110" i="24"/>
  <c r="H110" i="24"/>
  <c r="I110" i="24"/>
  <c r="J110" i="24"/>
  <c r="D111" i="24"/>
  <c r="E111" i="24"/>
  <c r="F111" i="24"/>
  <c r="H111" i="24"/>
  <c r="I111" i="24"/>
  <c r="J111" i="24"/>
  <c r="C111" i="24"/>
  <c r="C110" i="24"/>
  <c r="C109" i="24"/>
  <c r="D105" i="24"/>
  <c r="E105" i="24"/>
  <c r="F105" i="24"/>
  <c r="G105" i="24"/>
  <c r="H105" i="24"/>
  <c r="I105" i="24"/>
  <c r="J105" i="24"/>
  <c r="D106" i="24"/>
  <c r="E106" i="24"/>
  <c r="F106" i="24"/>
  <c r="G106" i="24"/>
  <c r="H106" i="24"/>
  <c r="I106" i="24"/>
  <c r="J106" i="24"/>
  <c r="D107" i="24"/>
  <c r="E107" i="24"/>
  <c r="F107" i="24"/>
  <c r="G107" i="24"/>
  <c r="H107" i="24"/>
  <c r="I107" i="24"/>
  <c r="J107" i="24"/>
  <c r="C106" i="24"/>
  <c r="C105" i="24"/>
  <c r="D101" i="24"/>
  <c r="E101" i="24"/>
  <c r="F101" i="24"/>
  <c r="G101" i="24"/>
  <c r="H101" i="24"/>
  <c r="I101" i="24"/>
  <c r="J101" i="24"/>
  <c r="D102" i="24"/>
  <c r="E102" i="24"/>
  <c r="F102" i="24"/>
  <c r="G102" i="24"/>
  <c r="H102" i="24"/>
  <c r="I102" i="24"/>
  <c r="J102" i="24"/>
  <c r="D103" i="24"/>
  <c r="E103" i="24"/>
  <c r="F103" i="24"/>
  <c r="G103" i="24"/>
  <c r="H103" i="24"/>
  <c r="I103" i="24"/>
  <c r="J103" i="24"/>
  <c r="C102" i="24"/>
  <c r="C101" i="24"/>
  <c r="D97" i="24"/>
  <c r="E97" i="24"/>
  <c r="F97" i="24"/>
  <c r="G97" i="24"/>
  <c r="H97" i="24"/>
  <c r="I97" i="24"/>
  <c r="J97" i="24"/>
  <c r="D98" i="24"/>
  <c r="E98" i="24"/>
  <c r="F98" i="24"/>
  <c r="G98" i="24"/>
  <c r="H98" i="24"/>
  <c r="I98" i="24"/>
  <c r="J98" i="24"/>
  <c r="D99" i="24"/>
  <c r="E99" i="24"/>
  <c r="F99" i="24"/>
  <c r="G99" i="24"/>
  <c r="H99" i="24"/>
  <c r="I99" i="24"/>
  <c r="J99" i="24"/>
  <c r="C99" i="24"/>
  <c r="C98" i="24"/>
  <c r="C97" i="24"/>
  <c r="D93" i="24"/>
  <c r="E93" i="24"/>
  <c r="F93" i="24"/>
  <c r="G93" i="24"/>
  <c r="H93" i="24"/>
  <c r="I93" i="24"/>
  <c r="J93" i="24"/>
  <c r="D94" i="24"/>
  <c r="E94" i="24"/>
  <c r="F94" i="24"/>
  <c r="G94" i="24"/>
  <c r="H94" i="24"/>
  <c r="I94" i="24"/>
  <c r="J94" i="24"/>
  <c r="D95" i="24"/>
  <c r="E95" i="24"/>
  <c r="F95" i="24"/>
  <c r="G95" i="24"/>
  <c r="H95" i="24"/>
  <c r="I95" i="24"/>
  <c r="J95" i="24"/>
  <c r="C95" i="24"/>
  <c r="C94" i="24"/>
  <c r="C93" i="24"/>
  <c r="D89" i="24"/>
  <c r="E89" i="24"/>
  <c r="F89" i="24"/>
  <c r="G89" i="24"/>
  <c r="H89" i="24"/>
  <c r="I89" i="24"/>
  <c r="J89" i="24"/>
  <c r="D90" i="24"/>
  <c r="E90" i="24"/>
  <c r="F90" i="24"/>
  <c r="G90" i="24"/>
  <c r="H90" i="24"/>
  <c r="I90" i="24"/>
  <c r="J90" i="24"/>
  <c r="D91" i="24"/>
  <c r="E91" i="24"/>
  <c r="F91" i="24"/>
  <c r="G91" i="24"/>
  <c r="H91" i="24"/>
  <c r="I91" i="24"/>
  <c r="J91" i="24"/>
  <c r="C89" i="24"/>
  <c r="C90" i="24"/>
  <c r="C91" i="24"/>
  <c r="D85" i="24"/>
  <c r="E85" i="24"/>
  <c r="F85" i="24"/>
  <c r="G85" i="24"/>
  <c r="H85" i="24"/>
  <c r="I85" i="24"/>
  <c r="J85" i="24"/>
  <c r="D86" i="24"/>
  <c r="E86" i="24"/>
  <c r="F86" i="24"/>
  <c r="G86" i="24"/>
  <c r="H86" i="24"/>
  <c r="I86" i="24"/>
  <c r="J86" i="24"/>
  <c r="D87" i="24"/>
  <c r="E87" i="24"/>
  <c r="F87" i="24"/>
  <c r="G87" i="24"/>
  <c r="H87" i="24"/>
  <c r="I87" i="24"/>
  <c r="J87" i="24"/>
  <c r="C86" i="24"/>
  <c r="C85" i="24"/>
  <c r="D81" i="24"/>
  <c r="E81" i="24"/>
  <c r="F81" i="24"/>
  <c r="G81" i="24"/>
  <c r="H81" i="24"/>
  <c r="I81" i="24"/>
  <c r="J81" i="24"/>
  <c r="D82" i="24"/>
  <c r="E82" i="24"/>
  <c r="F82" i="24"/>
  <c r="G82" i="24"/>
  <c r="H82" i="24"/>
  <c r="I82" i="24"/>
  <c r="J82" i="24"/>
  <c r="D83" i="24"/>
  <c r="E83" i="24"/>
  <c r="F83" i="24"/>
  <c r="G83" i="24"/>
  <c r="H83" i="24"/>
  <c r="I83" i="24"/>
  <c r="J83" i="24"/>
  <c r="C83" i="24"/>
  <c r="C82" i="24"/>
  <c r="C81" i="24"/>
  <c r="D79" i="24"/>
  <c r="E79" i="24"/>
  <c r="F79" i="24"/>
  <c r="G79" i="24"/>
  <c r="H79" i="24"/>
  <c r="I79" i="24"/>
  <c r="J79" i="24"/>
  <c r="D78" i="24"/>
  <c r="E78" i="24"/>
  <c r="F78" i="24"/>
  <c r="G78" i="24"/>
  <c r="H78" i="24"/>
  <c r="I78" i="24"/>
  <c r="J78" i="24"/>
  <c r="D77" i="24"/>
  <c r="E77" i="24"/>
  <c r="F77" i="24"/>
  <c r="G77" i="24"/>
  <c r="H77" i="24"/>
  <c r="I77" i="24"/>
  <c r="J77" i="24"/>
  <c r="C79" i="24"/>
  <c r="C78" i="24"/>
  <c r="C77" i="24"/>
  <c r="D75" i="24"/>
  <c r="E75" i="24"/>
  <c r="F75" i="24"/>
  <c r="G75" i="24"/>
  <c r="H75" i="24"/>
  <c r="I75" i="24"/>
  <c r="J75" i="24"/>
  <c r="D74" i="24"/>
  <c r="E74" i="24"/>
  <c r="F74" i="24"/>
  <c r="G74" i="24"/>
  <c r="H74" i="24"/>
  <c r="I74" i="24"/>
  <c r="J74" i="24"/>
  <c r="D73" i="24"/>
  <c r="E73" i="24"/>
  <c r="F73" i="24"/>
  <c r="G73" i="24"/>
  <c r="H73" i="24"/>
  <c r="I73" i="24"/>
  <c r="J73" i="24"/>
  <c r="C74" i="24"/>
  <c r="C73" i="24"/>
  <c r="B16" i="30"/>
  <c r="B15" i="30"/>
  <c r="B14" i="30"/>
  <c r="B16" i="31"/>
  <c r="B15" i="31"/>
  <c r="B14" i="31"/>
  <c r="B22" i="32"/>
  <c r="B21" i="32"/>
  <c r="B20" i="32"/>
  <c r="B22" i="33"/>
  <c r="B21" i="33"/>
  <c r="B20" i="33"/>
  <c r="B15" i="37"/>
  <c r="B14" i="37"/>
  <c r="B13" i="37"/>
  <c r="B15" i="34"/>
  <c r="B14" i="34"/>
  <c r="B13" i="34"/>
  <c r="C10" i="26"/>
  <c r="D10" i="26"/>
  <c r="E10" i="26"/>
  <c r="F10" i="26"/>
  <c r="G10" i="26"/>
  <c r="H10" i="26"/>
  <c r="I10" i="26"/>
  <c r="C9" i="26"/>
  <c r="D9" i="26"/>
  <c r="E9" i="26"/>
  <c r="F9" i="26"/>
  <c r="G9" i="26"/>
  <c r="H9" i="26"/>
  <c r="I9" i="26"/>
  <c r="C8" i="26"/>
  <c r="D8" i="26"/>
  <c r="E8" i="26"/>
  <c r="F8" i="26"/>
  <c r="G8" i="26"/>
  <c r="H8" i="26"/>
  <c r="I8" i="26"/>
  <c r="B10" i="26"/>
  <c r="B9" i="26"/>
  <c r="B8" i="26"/>
  <c r="B10" i="27"/>
  <c r="B9" i="27"/>
  <c r="B8" i="27"/>
  <c r="D10" i="27"/>
  <c r="E10" i="27"/>
  <c r="F10" i="27"/>
  <c r="G10" i="27"/>
  <c r="H10" i="27"/>
  <c r="I10" i="27"/>
  <c r="D9" i="27"/>
  <c r="E9" i="27"/>
  <c r="F9" i="27"/>
  <c r="G9" i="27"/>
  <c r="H9" i="27"/>
  <c r="I9" i="27"/>
  <c r="D8" i="27"/>
  <c r="E8" i="27"/>
  <c r="F8" i="27"/>
  <c r="G8" i="27"/>
  <c r="H8" i="27"/>
  <c r="I8" i="27"/>
  <c r="C8" i="27"/>
  <c r="C9" i="27"/>
  <c r="C10" i="27"/>
  <c r="C8" i="28"/>
  <c r="D8" i="28"/>
  <c r="E8" i="28"/>
  <c r="F8" i="28"/>
  <c r="G8" i="28"/>
  <c r="H8" i="28"/>
  <c r="I8" i="28"/>
  <c r="C9" i="28"/>
  <c r="D9" i="28"/>
  <c r="E9" i="28"/>
  <c r="F9" i="28"/>
  <c r="G9" i="28"/>
  <c r="H9" i="28"/>
  <c r="I9" i="28"/>
  <c r="C10" i="28"/>
  <c r="D10" i="28"/>
  <c r="E10" i="28"/>
  <c r="G10" i="28"/>
  <c r="H10" i="28"/>
  <c r="I10" i="28"/>
  <c r="B9" i="28"/>
  <c r="B8" i="28"/>
  <c r="C10" i="29"/>
  <c r="D10" i="29"/>
  <c r="E10" i="29"/>
  <c r="F10" i="29"/>
  <c r="G10" i="29"/>
  <c r="H10" i="29"/>
  <c r="I10" i="29"/>
  <c r="C9" i="29"/>
  <c r="D9" i="29"/>
  <c r="E9" i="29"/>
  <c r="F9" i="29"/>
  <c r="G9" i="29"/>
  <c r="H9" i="29"/>
  <c r="I9" i="29"/>
  <c r="C8" i="29"/>
  <c r="D8" i="29"/>
  <c r="E8" i="29"/>
  <c r="F8" i="29"/>
  <c r="G8" i="29"/>
  <c r="H8" i="29"/>
  <c r="I8" i="29"/>
  <c r="B10" i="29"/>
  <c r="B9" i="29"/>
  <c r="B8" i="2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4E491A-16AB-4BBB-8C53-80C120DEBCC5}" keepAlive="1" name="Abfrage - AnoGAN" description="Verbindung mit der Abfrage 'AnoGAN' in der Arbeitsmappe." type="5" refreshedVersion="8" background="1" saveData="1">
    <dbPr connection="Provider=Microsoft.Mashup.OleDb.1;Data Source=$Workbook$;Location=AnoGAN;Extended Properties=&quot;&quot;" command="SELECT * FROM [AnoGAN]"/>
  </connection>
  <connection id="2" xr16:uid="{9F8A9504-0CDC-420B-B0D9-7FDB1277F7B8}" keepAlive="1" name="Abfrage - Arrythmia" description="Verbindung mit der Abfrage 'Arrythmia' in der Arbeitsmappe." type="5" refreshedVersion="8" background="1" saveData="1">
    <dbPr connection="Provider=Microsoft.Mashup.OleDb.1;Data Source=$Workbook$;Location=Arrythmia;Extended Properties=&quot;&quot;" command="SELECT * FROM [Arrythmia]"/>
  </connection>
  <connection id="3" xr16:uid="{1B986A3C-49B6-412C-BE93-2D1F3C9C4DDB}" keepAlive="1" name="Abfrage - Cifar10" description="Verbindung mit der Abfrage 'Cifar10' in der Arbeitsmappe." type="5" refreshedVersion="8" background="1" saveData="1">
    <dbPr connection="Provider=Microsoft.Mashup.OleDb.1;Data Source=$Workbook$;Location=Cifar10;Extended Properties=&quot;&quot;" command="SELECT * FROM [Cifar10]"/>
  </connection>
  <connection id="4" xr16:uid="{3CDCAFC9-53FA-4AF1-839F-8C825DEDAD7D}" keepAlive="1" name="Abfrage - Cifar10 (10)" description="Verbindung mit der Abfrage 'Cifar10 (10)' in der Arbeitsmappe." type="5" refreshedVersion="0" background="1">
    <dbPr connection="Provider=Microsoft.Mashup.OleDb.1;Data Source=$Workbook$;Location=&quot;Cifar10 (10)&quot;;Extended Properties=&quot;&quot;" command="SELECT * FROM [Cifar10 (10)]"/>
  </connection>
  <connection id="5" xr16:uid="{C6B1C6BD-38F6-42FD-82EE-90AC098B733B}" keepAlive="1" name="Abfrage - Cifar10 (11)" description="Verbindung mit der Abfrage 'Cifar10 (11)' in der Arbeitsmappe." type="5" refreshedVersion="0" background="1">
    <dbPr connection="Provider=Microsoft.Mashup.OleDb.1;Data Source=$Workbook$;Location=&quot;Cifar10 (11)&quot;;Extended Properties=&quot;&quot;" command="SELECT * FROM [Cifar10 (11)]"/>
  </connection>
  <connection id="6" xr16:uid="{D2E374E0-19F7-4607-BA3D-97EBD16DF0B5}" keepAlive="1" name="Abfrage - Cifar10 (12)" description="Verbindung mit der Abfrage 'Cifar10 (12)' in der Arbeitsmappe." type="5" refreshedVersion="0" background="1">
    <dbPr connection="Provider=Microsoft.Mashup.OleDb.1;Data Source=$Workbook$;Location=&quot;Cifar10 (12)&quot;;Extended Properties=&quot;&quot;" command="SELECT * FROM [Cifar10 (12)]"/>
  </connection>
  <connection id="7" xr16:uid="{A9269C95-9F75-4604-AC84-F5ED7F4A050E}" keepAlive="1" name="Abfrage - Cifar10 (3)" description="Verbindung mit der Abfrage 'Cifar10 (3)' in der Arbeitsmappe." type="5" refreshedVersion="0" background="1">
    <dbPr connection="Provider=Microsoft.Mashup.OleDb.1;Data Source=$Workbook$;Location=&quot;Cifar10 (3)&quot;;Extended Properties=&quot;&quot;" command="SELECT * FROM [Cifar10 (3)]"/>
  </connection>
  <connection id="8" xr16:uid="{211DD0B1-2E33-4FB5-B6A5-ED7EB56A5CE8}" keepAlive="1" name="Abfrage - Cifar10 (4)" description="Verbindung mit der Abfrage 'Cifar10 (4)' in der Arbeitsmappe." type="5" refreshedVersion="0" background="1">
    <dbPr connection="Provider=Microsoft.Mashup.OleDb.1;Data Source=$Workbook$;Location=&quot;Cifar10 (4)&quot;;Extended Properties=&quot;&quot;" command="SELECT * FROM [Cifar10 (4)]"/>
  </connection>
  <connection id="9" xr16:uid="{8554FF65-5D5C-4480-AE11-04A9F1DEF57D}" keepAlive="1" name="Abfrage - Cifar10 (5)" description="Verbindung mit der Abfrage 'Cifar10 (5)' in der Arbeitsmappe." type="5" refreshedVersion="0" background="1">
    <dbPr connection="Provider=Microsoft.Mashup.OleDb.1;Data Source=$Workbook$;Location=&quot;Cifar10 (5)&quot;;Extended Properties=&quot;&quot;" command="SELECT * FROM [Cifar10 (5)]"/>
  </connection>
  <connection id="10" xr16:uid="{EA462955-26AD-4780-B94A-1F6062F52D73}" keepAlive="1" name="Abfrage - Cifar10 (6)" description="Verbindung mit der Abfrage 'Cifar10 (6)' in der Arbeitsmappe." type="5" refreshedVersion="0" background="1">
    <dbPr connection="Provider=Microsoft.Mashup.OleDb.1;Data Source=$Workbook$;Location=&quot;Cifar10 (6)&quot;;Extended Properties=&quot;&quot;" command="SELECT * FROM [Cifar10 (6)]"/>
  </connection>
  <connection id="11" xr16:uid="{4770AF5F-D853-46A8-88A0-C6F75F27AEA8}" keepAlive="1" name="Abfrage - Cifar10 (7)" description="Verbindung mit der Abfrage 'Cifar10 (7)' in der Arbeitsmappe." type="5" refreshedVersion="0" background="1">
    <dbPr connection="Provider=Microsoft.Mashup.OleDb.1;Data Source=$Workbook$;Location=&quot;Cifar10 (7)&quot;;Extended Properties=&quot;&quot;" command="SELECT * FROM [Cifar10 (7)]"/>
  </connection>
  <connection id="12" xr16:uid="{32BB4340-E397-44E7-A28D-59E4B6FAB2B0}" keepAlive="1" name="Abfrage - Cifar10 (9)" description="Verbindung mit der Abfrage 'Cifar10 (9)' in der Arbeitsmappe." type="5" refreshedVersion="0" background="1">
    <dbPr connection="Provider=Microsoft.Mashup.OleDb.1;Data Source=$Workbook$;Location=&quot;Cifar10 (9)&quot;;Extended Properties=&quot;&quot;" command="SELECT * FROM [Cifar10 (9)]"/>
  </connection>
  <connection id="13" xr16:uid="{F5D68FB5-558C-4A96-8FC7-B669382E132B}" keepAlive="1" name="Abfrage - config" description="Verbindung mit der Abfrage 'config' in der Arbeitsmappe." type="5" refreshedVersion="8" background="1" saveData="1">
    <dbPr connection="Provider=Microsoft.Mashup.OleDb.1;Data Source=$Workbook$;Location=config;Extended Properties=&quot;&quot;" command="SELECT * FROM [config]"/>
  </connection>
  <connection id="14" xr16:uid="{9108405C-B653-46C6-8539-6CFBA8B2916D}" keepAlive="1" name="Abfrage - Deep_SVDD" description="Verbindung mit der Abfrage 'Deep_SVDD' in der Arbeitsmappe." type="5" refreshedVersion="8" background="1" saveData="1">
    <dbPr connection="Provider=Microsoft.Mashup.OleDb.1;Data Source=$Workbook$;Location=Deep_SVDD;Extended Properties=&quot;&quot;" command="SELECT * FROM [Deep_SVDD]"/>
  </connection>
  <connection id="15" xr16:uid="{250B3A57-1940-4A1D-8F5E-26E05B97C04A}" keepAlive="1" name="Abfrage - Fashion_MNIST" description="Verbindung mit der Abfrage 'Fashion_MNIST' in der Arbeitsmappe." type="5" refreshedVersion="8" background="1" saveData="1">
    <dbPr connection="Provider=Microsoft.Mashup.OleDb.1;Data Source=$Workbook$;Location=Fashion_MNIST;Extended Properties=&quot;&quot;" command="SELECT * FROM [Fashion_MNIST]"/>
  </connection>
  <connection id="16" xr16:uid="{2FF82905-8281-4991-B80B-C8C648B79D52}" keepAlive="1" name="Abfrage - Fashion_MNIST (10)" description="Verbindung mit der Abfrage 'Fashion_MNIST (10)' in der Arbeitsmappe." type="5" refreshedVersion="0" background="1">
    <dbPr connection="Provider=Microsoft.Mashup.OleDb.1;Data Source=$Workbook$;Location=&quot;Fashion_MNIST (10)&quot;;Extended Properties=&quot;&quot;" command="SELECT * FROM [Fashion_MNIST (10)]"/>
  </connection>
  <connection id="17" xr16:uid="{4804C64D-BC03-4C60-A673-957B220EF1EE}" keepAlive="1" name="Abfrage - Fashion_MNIST (2)" description="Verbindung mit der Abfrage 'Fashion_MNIST (2)' in der Arbeitsmappe." type="5" refreshedVersion="0" background="1">
    <dbPr connection="Provider=Microsoft.Mashup.OleDb.1;Data Source=$Workbook$;Location=&quot;Fashion_MNIST (2)&quot;;Extended Properties=&quot;&quot;" command="SELECT * FROM [Fashion_MNIST (2)]"/>
  </connection>
  <connection id="18" xr16:uid="{F1F277CE-115F-40F2-A441-71DA562B78F9}" keepAlive="1" name="Abfrage - Fashion_MNIST (3)" description="Verbindung mit der Abfrage 'Fashion_MNIST (3)' in der Arbeitsmappe." type="5" refreshedVersion="0" background="1">
    <dbPr connection="Provider=Microsoft.Mashup.OleDb.1;Data Source=$Workbook$;Location=&quot;Fashion_MNIST (3)&quot;;Extended Properties=&quot;&quot;" command="SELECT * FROM [Fashion_MNIST (3)]"/>
  </connection>
  <connection id="19" xr16:uid="{33856165-60D0-4339-B1B7-906B087C2D50}" keepAlive="1" name="Abfrage - Fashion_MNIST (4)" description="Verbindung mit der Abfrage 'Fashion_MNIST (4)' in der Arbeitsmappe." type="5" refreshedVersion="0" background="1">
    <dbPr connection="Provider=Microsoft.Mashup.OleDb.1;Data Source=$Workbook$;Location=&quot;Fashion_MNIST (4)&quot;;Extended Properties=&quot;&quot;" command="SELECT * FROM [Fashion_MNIST (4)]"/>
  </connection>
  <connection id="20" xr16:uid="{718C539E-E500-40B7-B520-0985DC6C0713}" keepAlive="1" name="Abfrage - Fashion_MNIST (5)" description="Verbindung mit der Abfrage 'Fashion_MNIST (5)' in der Arbeitsmappe." type="5" refreshedVersion="0" background="1">
    <dbPr connection="Provider=Microsoft.Mashup.OleDb.1;Data Source=$Workbook$;Location=&quot;Fashion_MNIST (5)&quot;;Extended Properties=&quot;&quot;" command="SELECT * FROM [Fashion_MNIST (5)]"/>
  </connection>
  <connection id="21" xr16:uid="{2AA839AF-160C-4DB3-804E-4536B8B4E643}" keepAlive="1" name="Abfrage - Fashion_MNIST (6)" description="Verbindung mit der Abfrage 'Fashion_MNIST (6)' in der Arbeitsmappe." type="5" refreshedVersion="0" background="1">
    <dbPr connection="Provider=Microsoft.Mashup.OleDb.1;Data Source=$Workbook$;Location=&quot;Fashion_MNIST (6)&quot;;Extended Properties=&quot;&quot;" command="SELECT * FROM [Fashion_MNIST (6)]"/>
  </connection>
  <connection id="22" xr16:uid="{88E537D9-0BB0-4818-84A3-8F8D81C7799E}" keepAlive="1" name="Abfrage - Fashion_MNIST (7)" description="Verbindung mit der Abfrage 'Fashion_MNIST (7)' in der Arbeitsmappe." type="5" refreshedVersion="0" background="1">
    <dbPr connection="Provider=Microsoft.Mashup.OleDb.1;Data Source=$Workbook$;Location=&quot;Fashion_MNIST (7)&quot;;Extended Properties=&quot;&quot;" command="SELECT * FROM [Fashion_MNIST (7)]"/>
  </connection>
  <connection id="23" xr16:uid="{32C83FE9-2C63-43D5-A421-1584D13E705F}" keepAlive="1" name="Abfrage - Fashion_MNIST (8)" description="Verbindung mit der Abfrage 'Fashion_MNIST (8)' in der Arbeitsmappe." type="5" refreshedVersion="0" background="1">
    <dbPr connection="Provider=Microsoft.Mashup.OleDb.1;Data Source=$Workbook$;Location=&quot;Fashion_MNIST (8)&quot;;Extended Properties=&quot;&quot;" command="SELECT * FROM [Fashion_MNIST (8)]"/>
  </connection>
  <connection id="24" xr16:uid="{38E33E69-3F47-4C5B-A153-B8002260AE5E}" keepAlive="1" name="Abfrage - Fashion_MNIST (9)" description="Verbindung mit der Abfrage 'Fashion_MNIST (9)' in der Arbeitsmappe." type="5" refreshedVersion="0" background="1">
    <dbPr connection="Provider=Microsoft.Mashup.OleDb.1;Data Source=$Workbook$;Location=&quot;Fashion_MNIST (9)&quot;;Extended Properties=&quot;&quot;" command="SELECT * FROM [Fashion_MNIST (9)]"/>
  </connection>
  <connection id="25" xr16:uid="{C2F7C826-F903-4851-A746-68DE66CF38EA}" keepAlive="1" name="Abfrage - FB100" description="Verbindung mit der Abfrage 'FB100' in der Arbeitsmappe." type="5" refreshedVersion="8" background="1" saveData="1">
    <dbPr connection="Provider=Microsoft.Mashup.OleDb.1;Data Source=$Workbook$;Location=FB100;Extended Properties=&quot;&quot;" command="SELECT * FROM [FB100]"/>
  </connection>
  <connection id="26" xr16:uid="{8F65CF67-B71C-4148-92FC-232A898C3382}" keepAlive="1" name="Abfrage - FB50" description="Verbindung mit der Abfrage 'FB50' in der Arbeitsmappe." type="5" refreshedVersion="8" background="1" saveData="1">
    <dbPr connection="Provider=Microsoft.Mashup.OleDb.1;Data Source=$Workbook$;Location=FB50;Extended Properties=&quot;&quot;" command="SELECT * FROM [FB50]"/>
  </connection>
  <connection id="27" xr16:uid="{82688DB2-A4D2-4C5C-B770-5F1A0E025BCE}" keepAlive="1" name="Abfrage - FB500" description="Verbindung mit der Abfrage 'FB500' in der Arbeitsmappe." type="5" refreshedVersion="8" background="1" saveData="1">
    <dbPr connection="Provider=Microsoft.Mashup.OleDb.1;Data Source=$Workbook$;Location=FB500;Extended Properties=&quot;&quot;" command="SELECT * FROM [FB500]"/>
  </connection>
  <connection id="28" xr16:uid="{C49233AA-88BC-46E3-B842-22C613F7B785}" keepAlive="1" name="Abfrage - Internet_ads" description="Verbindung mit der Abfrage 'Internet_ads' in der Arbeitsmappe." type="5" refreshedVersion="8" background="1" saveData="1">
    <dbPr connection="Provider=Microsoft.Mashup.OleDb.1;Data Source=$Workbook$;Location=Internet_ads;Extended Properties=&quot;&quot;" command="SELECT * FROM [Internet_ads]"/>
  </connection>
  <connection id="29" xr16:uid="{66F8E99F-0BB3-446B-930B-C52A87301F42}" keepAlive="1" name="Abfrage - KNN" description="Verbindung mit der Abfrage 'KNN' in der Arbeitsmappe." type="5" refreshedVersion="8" background="1" saveData="1">
    <dbPr connection="Provider=Microsoft.Mashup.OleDb.1;Data Source=$Workbook$;Location=KNN;Extended Properties=&quot;&quot;" command="SELECT * FROM [KNN]"/>
  </connection>
  <connection id="30" xr16:uid="{7C559023-894C-4F4D-BA55-154DA95DA947}" keepAlive="1" name="Abfrage - LOF" description="Verbindung mit der Abfrage 'LOF' in der Arbeitsmappe." type="5" refreshedVersion="8" background="1" saveData="1">
    <dbPr connection="Provider=Microsoft.Mashup.OleDb.1;Data Source=$Workbook$;Location=LOF;Extended Properties=&quot;&quot;" command="SELECT * FROM [LOF]"/>
  </connection>
  <connection id="31" xr16:uid="{D31BAFD4-1331-49BE-8DD8-FE1CE3114F2B}" keepAlive="1" name="Abfrage - MO_GAAL" description="Verbindung mit der Abfrage 'MO_GAAL' in der Arbeitsmappe." type="5" refreshedVersion="8" background="1" saveData="1">
    <dbPr connection="Provider=Microsoft.Mashup.OleDb.1;Data Source=$Workbook$;Location=MO_GAAL;Extended Properties=&quot;&quot;" command="SELECT * FROM [MO_GAAL]"/>
  </connection>
  <connection id="32" xr16:uid="{CED6B5CF-8F95-44AD-83D2-809665CCC53C}" keepAlive="1" name="Abfrage - Params_6_C" description="Verbindung mit der Abfrage 'Params_6_C' in der Arbeitsmappe." type="5" refreshedVersion="8" background="1" saveData="1">
    <dbPr connection="Provider=Microsoft.Mashup.OleDb.1;Data Source=$Workbook$;Location=Params_6_C;Extended Properties=&quot;&quot;" command="SELECT * FROM [Params_6_C]"/>
  </connection>
  <connection id="33" xr16:uid="{E5B669CF-FC22-4A79-A32C-DE285190587A}" keepAlive="1" name="Abfrage - Params_8_C" description="Verbindung mit der Abfrage 'Params_8_C' in der Arbeitsmappe." type="5" refreshedVersion="8" background="1" saveData="1">
    <dbPr connection="Provider=Microsoft.Mashup.OleDb.1;Data Source=$Workbook$;Location=Params_8_C;Extended Properties=&quot;&quot;" command="SELECT * FROM [Params_8_C]"/>
  </connection>
  <connection id="34" xr16:uid="{FFCD1CDE-5724-4FB8-953A-D79502066233}" keepAlive="1" name="Abfrage - Params_8_C (2)" description="Verbindung mit der Abfrage 'Params_8_C (2)' in der Arbeitsmappe." type="5" refreshedVersion="8" background="1" saveData="1">
    <dbPr connection="Provider=Microsoft.Mashup.OleDb.1;Data Source=$Workbook$;Location=&quot;Params_8_C (2)&quot;;Extended Properties=&quot;&quot;" command="SELECT * FROM [Params_8_C (2)]"/>
  </connection>
  <connection id="35" xr16:uid="{11858101-3214-4B97-98B6-880813AEF012}" keepAlive="1" name="Abfrage - Params_8_F" description="Verbindung mit der Abfrage 'Params_8_F' in der Arbeitsmappe." type="5" refreshedVersion="8" background="1" saveData="1">
    <dbPr connection="Provider=Microsoft.Mashup.OleDb.1;Data Source=$Workbook$;Location=Params_8_F;Extended Properties=&quot;&quot;" command="SELECT * FROM [Params_8_F]"/>
  </connection>
  <connection id="36" xr16:uid="{1EB354BF-B435-4E32-8F91-155890B716FC}" keepAlive="1" name="Abfrage - Params_deep_svdd" description="Verbindung mit der Abfrage 'Params_deep_svdd' in der Arbeitsmappe." type="5" refreshedVersion="8" background="1" saveData="1">
    <dbPr connection="Provider=Microsoft.Mashup.OleDb.1;Data Source=$Workbook$;Location=Params_deep_svdd;Extended Properties=&quot;&quot;" command="SELECT * FROM [Params_deep_svdd]"/>
  </connection>
  <connection id="37" xr16:uid="{CD6CE63C-39D5-48B9-98A5-E58D6BFAFED5}" keepAlive="1" name="Abfrage - Spambase" description="Verbindung mit der Abfrage 'Spambase' in der Arbeitsmappe." type="5" refreshedVersion="8" background="1" saveData="1">
    <dbPr connection="Provider=Microsoft.Mashup.OleDb.1;Data Source=$Workbook$;Location=Spambase;Extended Properties=&quot;&quot;" command="SELECT * FROM [Spambase]"/>
  </connection>
  <connection id="38" xr16:uid="{A6177470-86DA-4AC3-8105-D7BBC8D5B72A}" keepAlive="1" name="Abfrage - Waveform" description="Verbindung mit der Abfrage 'Waveform' in der Arbeitsmappe." type="5" refreshedVersion="8" background="1" saveData="1">
    <dbPr connection="Provider=Microsoft.Mashup.OleDb.1;Data Source=$Workbook$;Location=Waveform;Extended Properties=&quot;&quot;" command="SELECT * FROM [Waveform]"/>
  </connection>
</connections>
</file>

<file path=xl/sharedStrings.xml><?xml version="1.0" encoding="utf-8"?>
<sst xmlns="http://schemas.openxmlformats.org/spreadsheetml/2006/main" count="391" uniqueCount="135">
  <si>
    <t>Seed</t>
  </si>
  <si>
    <t>Class</t>
  </si>
  <si>
    <t>LOF_AUC</t>
  </si>
  <si>
    <t>LOF_50</t>
  </si>
  <si>
    <t>LOF_100</t>
  </si>
  <si>
    <t>LOF_500</t>
  </si>
  <si>
    <t>KNN_AUC</t>
  </si>
  <si>
    <t>MO_GAAL_AUC</t>
  </si>
  <si>
    <t>AnoGAN_AUC</t>
  </si>
  <si>
    <t>DeepSVDD_AUC</t>
  </si>
  <si>
    <t>D_layers</t>
  </si>
  <si>
    <t>G_layers</t>
  </si>
  <si>
    <t>activation_hidden</t>
  </si>
  <si>
    <t>batch_size</t>
  </si>
  <si>
    <t>contamination</t>
  </si>
  <si>
    <t>dropout_rate</t>
  </si>
  <si>
    <t>epochs</t>
  </si>
  <si>
    <t>epochs_query</t>
  </si>
  <si>
    <t>index_D_layer_for_recon_error</t>
  </si>
  <si>
    <t>latent_dim_G</t>
  </si>
  <si>
    <t>learning_rate</t>
  </si>
  <si>
    <t>learning_rate_query</t>
  </si>
  <si>
    <t>output_activation</t>
  </si>
  <si>
    <t>preprocessing</t>
  </si>
  <si>
    <t>verbose</t>
  </si>
  <si>
    <t>tanh</t>
  </si>
  <si>
    <t>None</t>
  </si>
  <si>
    <t>False</t>
  </si>
  <si>
    <t>Name</t>
  </si>
  <si>
    <t>Value</t>
  </si>
  <si>
    <t>[20, 10, 5]</t>
  </si>
  <si>
    <t>[20, 10, 3, 10, 20]</t>
  </si>
  <si>
    <t>algorithm</t>
  </si>
  <si>
    <t>auto</t>
  </si>
  <si>
    <t>leaf_size</t>
  </si>
  <si>
    <t>metric</t>
  </si>
  <si>
    <t>minkowski</t>
  </si>
  <si>
    <t>metric_params</t>
  </si>
  <si>
    <t>n_jobs</t>
  </si>
  <si>
    <t>n_neighbors</t>
  </si>
  <si>
    <t>novelty</t>
  </si>
  <si>
    <t>True</t>
  </si>
  <si>
    <t>p</t>
  </si>
  <si>
    <t>base_estimator</t>
  </si>
  <si>
    <t>bootstrap_features</t>
  </si>
  <si>
    <t>check_detector</t>
  </si>
  <si>
    <t>check_estimator</t>
  </si>
  <si>
    <t>combination</t>
  </si>
  <si>
    <t>average</t>
  </si>
  <si>
    <t>estimator_params</t>
  </si>
  <si>
    <t>max_features</t>
  </si>
  <si>
    <t>n_estimators</t>
  </si>
  <si>
    <t>random_state</t>
  </si>
  <si>
    <t>{}</t>
  </si>
  <si>
    <t>method</t>
  </si>
  <si>
    <t>largest</t>
  </si>
  <si>
    <t>radius</t>
  </si>
  <si>
    <t>k</t>
  </si>
  <si>
    <t>lr_d</t>
  </si>
  <si>
    <t>lr_g</t>
  </si>
  <si>
    <t>momentum</t>
  </si>
  <si>
    <t>stop_epochs</t>
  </si>
  <si>
    <t>c</t>
  </si>
  <si>
    <t>hidden_activation</t>
  </si>
  <si>
    <t>relu</t>
  </si>
  <si>
    <t>hidden_neurons</t>
  </si>
  <si>
    <t>l2_regularizer</t>
  </si>
  <si>
    <t>optimizer</t>
  </si>
  <si>
    <t>adam</t>
  </si>
  <si>
    <t>sigmoid</t>
  </si>
  <si>
    <t>use_ae</t>
  </si>
  <si>
    <t>validation_size</t>
  </si>
  <si>
    <t>[64, 32]</t>
  </si>
  <si>
    <t>Deep_SVDD_AUC</t>
  </si>
  <si>
    <t>Learning rate</t>
  </si>
  <si>
    <t>Epochs</t>
  </si>
  <si>
    <t>AUC</t>
  </si>
  <si>
    <t>Seed: 777</t>
  </si>
  <si>
    <t xml:space="preserve"> Epochs</t>
  </si>
  <si>
    <t xml:space="preserve"> AUC</t>
  </si>
  <si>
    <t xml:space="preserve"> 400</t>
  </si>
  <si>
    <t xml:space="preserve"> 500</t>
  </si>
  <si>
    <t xml:space="preserve"> 600</t>
  </si>
  <si>
    <t>Seed=777</t>
  </si>
  <si>
    <t>Learning rate generator</t>
  </si>
  <si>
    <t xml:space="preserve"> Stop epochs</t>
  </si>
  <si>
    <t xml:space="preserve"> Average AUC</t>
  </si>
  <si>
    <t xml:space="preserve"> 20</t>
  </si>
  <si>
    <t xml:space="preserve"> 40</t>
  </si>
  <si>
    <t xml:space="preserve"> 60</t>
  </si>
  <si>
    <t xml:space="preserve"> 80</t>
  </si>
  <si>
    <t xml:space="preserve"> 100</t>
  </si>
  <si>
    <t>Seeds = [777, 45116, 4403, 92879, 34770]</t>
  </si>
  <si>
    <t>Seeds=[777, 45116, 4403, 92879, 34770]</t>
  </si>
  <si>
    <t>Test AUC</t>
  </si>
  <si>
    <t>dataset_name</t>
  </si>
  <si>
    <t>cifar10</t>
  </si>
  <si>
    <t>net_name</t>
  </si>
  <si>
    <t>cifar10_LeNet</t>
  </si>
  <si>
    <t>xp_path</t>
  </si>
  <si>
    <t>data_path</t>
  </si>
  <si>
    <t>load_config</t>
  </si>
  <si>
    <t>load_model</t>
  </si>
  <si>
    <t>objective</t>
  </si>
  <si>
    <t>one-class</t>
  </si>
  <si>
    <t>nu</t>
  </si>
  <si>
    <t>device</t>
  </si>
  <si>
    <t>cuda</t>
  </si>
  <si>
    <t>seed</t>
  </si>
  <si>
    <t>optimizer_name</t>
  </si>
  <si>
    <t>lr</t>
  </si>
  <si>
    <t>n_epochs</t>
  </si>
  <si>
    <t>lr_milestone</t>
  </si>
  <si>
    <t>weight_decay</t>
  </si>
  <si>
    <t>pretrain</t>
  </si>
  <si>
    <t>ae_optimizer_name</t>
  </si>
  <si>
    <t>ae_lr</t>
  </si>
  <si>
    <t>ae_n_epochs</t>
  </si>
  <si>
    <t>ae_lr_milestone</t>
  </si>
  <si>
    <t>ae_batch_size</t>
  </si>
  <si>
    <t>ae_weight_decay</t>
  </si>
  <si>
    <t>n_jobs_dataloader</t>
  </si>
  <si>
    <t>[50]</t>
  </si>
  <si>
    <t>[250]</t>
  </si>
  <si>
    <t>,,/log/cifar10_test</t>
  </si>
  <si>
    <t>,,/data</t>
  </si>
  <si>
    <t>[0,49880263, 0,14070936, 0,49502623, 0,11580437, 0,67511874,
       0,3428045 , 0,39826086, 0,66592896, 1,0724059 , 0,3158685 ,
       0,5793147 , 0,76932037, 0,2585418 , 0,3191421 , 0,48731086,
       0,59714127, 0,266069  , 0,29563454, 0,12594998, 0,25181124,
       0,18966636, 0,20476414, 0,1641334 , 0,34711707, 0,65465295,
       0,48577434, 0,7262061 , 0,12351393, 0,32504538, 0,72112066,
       0,5062771 , 0,13790222]</t>
  </si>
  <si>
    <t>Average</t>
  </si>
  <si>
    <t>Median</t>
  </si>
  <si>
    <t>Standard deviation</t>
  </si>
  <si>
    <t>Avg</t>
  </si>
  <si>
    <t>Std deviation</t>
  </si>
  <si>
    <t>avg</t>
  </si>
  <si>
    <t>med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</si>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</sst>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2" borderId="1" xfId="0" applyFill="1" applyBorder="1"/>
    <xf numFmtId="0" fontId="0" fillId="0" borderId="2" xfId="0" applyBorder="1"/>
    <xf numFmtId="2" fontId="0" fillId="0" borderId="0" xfId="0" applyNumberFormat="1"/>
  </cellXfs>
  <cellStyles count="1">
    <cellStyle name="Standard" xfId="0" builtinId="0"/>
  </cellStyles>
  <dxfs count="80">
    <dxf>
      <font>
        <b/>
        <i val="0"/>
        <strike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3" xr16:uid="{281ABE2D-895F-4A87-ABBD-37F800D14186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5" xr16:uid="{F5466E07-27CC-477C-85FF-08186EECB77A}" autoFormatId="16" applyNumberFormats="0" applyBorderFormats="0" applyFontFormats="0" applyPatternFormats="0" applyAlignmentFormats="0" applyWidthHeightFormats="0">
  <queryTableRefresh nextId="21">
    <queryTableFields count="10">
      <queryTableField id="11" name="Seed" tableColumnId="11"/>
      <queryTableField id="12" name="Class" tableColumnId="12"/>
      <queryTableField id="13" name="LOF_AUC" tableColumnId="13"/>
      <queryTableField id="14" name="LOF_50" tableColumnId="14"/>
      <queryTableField id="15" name="LOF_100" tableColumnId="15"/>
      <queryTableField id="16" name="LOF_500" tableColumnId="16"/>
      <queryTableField id="17" name="KNN_AUC" tableColumnId="17"/>
      <queryTableField id="18" name="MO_GAAL_AUC" tableColumnId="18"/>
      <queryTableField id="19" name="AnoGAN_AUC" tableColumnId="19"/>
      <queryTableField id="20" name="DeepSVDD_AUC" tableColumnId="2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071A8B82-C25A-4A4F-AB92-55B164875403}" autoFormatId="16" applyNumberFormats="0" applyBorderFormats="0" applyFontFormats="0" applyPatternFormats="0" applyAlignmentFormats="0" applyWidthHeightFormats="0">
  <queryTableRefresh nextId="21">
    <queryTableFields count="10">
      <queryTableField id="11" name="Seed" tableColumnId="11"/>
      <queryTableField id="12" name="Class" tableColumnId="12"/>
      <queryTableField id="13" name="LOF_AUC" tableColumnId="13"/>
      <queryTableField id="14" name="LOF_50" tableColumnId="14"/>
      <queryTableField id="15" name="LOF_100" tableColumnId="15"/>
      <queryTableField id="16" name="LOF_500" tableColumnId="16"/>
      <queryTableField id="17" name="KNN_AUC" tableColumnId="17"/>
      <queryTableField id="18" name="MO_GAAL_AUC" tableColumnId="18"/>
      <queryTableField id="19" name="AnoGAN_AUC" tableColumnId="19"/>
      <queryTableField id="20" name="DeepSVDD_AUC" tableColumnId="2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8" connectionId="31" xr16:uid="{A9977F90-9B22-41E8-8EE5-BBBEB38BAF3C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7" connectionId="30" xr16:uid="{65E7885B-980D-4174-831F-E8DB92D5E0BB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connectionId="29" xr16:uid="{01325BA7-6652-4CAE-B315-83BBC4731EE7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27" xr16:uid="{3A3A4F29-B0D2-4449-868B-95E7BD59E05E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25" xr16:uid="{ED3D1456-5E59-4FB3-9B65-9BA45A59D1ED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26" xr16:uid="{0E552A22-0257-4A0F-8338-912E70063E5D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36" xr16:uid="{050BED95-1098-4AA1-B07F-2F2BE7459849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AD93AAB-A37B-4AEA-9CFF-DFE93A6A960D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0" connectionId="34" xr16:uid="{CA741A7F-7D25-421D-88C9-C9A979D586C2}" autoFormatId="16" applyNumberFormats="0" applyBorderFormats="0" applyFontFormats="0" applyPatternFormats="0" applyAlignmentFormats="0" applyWidthHeightFormats="0">
  <queryTableRefresh nextId="4">
    <queryTableFields count="3">
      <queryTableField id="1" name="Learning rate generator" tableColumnId="1"/>
      <queryTableField id="2" name=" Stop epochs" tableColumnId="2"/>
      <queryTableField id="3" name=" Average AUC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9" connectionId="32" xr16:uid="{80AF6AD6-92F4-4EC6-8208-546C57E530A5}" autoFormatId="16" applyNumberFormats="0" applyBorderFormats="0" applyFontFormats="0" applyPatternFormats="0" applyAlignmentFormats="0" applyWidthHeightFormats="0">
  <queryTableRefresh nextId="4">
    <queryTableFields count="3">
      <queryTableField id="1" name="Learning rate generator" tableColumnId="1"/>
      <queryTableField id="2" name=" Stop epochs" tableColumnId="2"/>
      <queryTableField id="3" name=" Average AUC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8" connectionId="35" xr16:uid="{AD4225A7-215F-4C1D-A6D3-6F87CB3201DD}" autoFormatId="16" applyNumberFormats="0" applyBorderFormats="0" applyFontFormats="0" applyPatternFormats="0" applyAlignmentFormats="0" applyWidthHeightFormats="0">
  <queryTableRefresh nextId="4">
    <queryTableFields count="3">
      <queryTableField id="1" name="Learning rate" tableColumnId="1"/>
      <queryTableField id="2" name=" Epochs" tableColumnId="2"/>
      <queryTableField id="3" name=" AUC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7" connectionId="33" xr16:uid="{FA7BAA92-6314-4B8F-87F0-0A62E9069847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connectionId="38" xr16:uid="{54081A20-3C80-4F9F-8367-E35D785F61E1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Seed" tableColumnId="1"/>
      <queryTableField id="2" name="LOF_AUC" tableColumnId="2"/>
      <queryTableField id="3" name="LOF_50" tableColumnId="3"/>
      <queryTableField id="4" name="LOF_100" tableColumnId="4"/>
      <queryTableField id="5" name="LOF_500" tableColumnId="5"/>
      <queryTableField id="6" name="KNN_AUC" tableColumnId="6"/>
      <queryTableField id="7" name="MO_GAAL_AUC" tableColumnId="7"/>
      <queryTableField id="8" name="AnoGAN_AUC" tableColumnId="8"/>
      <queryTableField id="9" dataBound="0" tableColumnId="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37" xr16:uid="{6BD798BC-E6D1-482A-960B-0CBA272C0AC5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Seed" tableColumnId="1"/>
      <queryTableField id="2" name="LOF_AUC" tableColumnId="2"/>
      <queryTableField id="3" name="LOF_50" tableColumnId="3"/>
      <queryTableField id="4" name="LOF_100" tableColumnId="4"/>
      <queryTableField id="5" name="LOF_500" tableColumnId="5"/>
      <queryTableField id="6" name="KNN_AUC" tableColumnId="6"/>
      <queryTableField id="7" name="MO_GAAL_AUC" tableColumnId="7"/>
      <queryTableField id="8" name="AnoGAN_AUC" tableColumnId="8"/>
      <queryTableField id="9" dataBound="0" tableColumnId="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28" xr16:uid="{724FEFBB-585E-4FDD-A8BC-7264645A93E1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Seed" tableColumnId="1"/>
      <queryTableField id="2" name="LOF_AUC" tableColumnId="2"/>
      <queryTableField id="3" name="LOF_50" tableColumnId="3"/>
      <queryTableField id="4" name="LOF_100" tableColumnId="4"/>
      <queryTableField id="5" name="LOF_500" tableColumnId="5"/>
      <queryTableField id="6" name="KNN_AUC" tableColumnId="6"/>
      <queryTableField id="7" name="MO_GAAL_AUC" tableColumnId="7"/>
      <queryTableField id="8" name="AnoGAN_AUC" tableColumnId="8"/>
      <queryTableField id="9" dataBound="0" tableColumnId="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2" xr16:uid="{5EB0D119-F63D-40A8-86F2-65CCDB1AEEDB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Seed" tableColumnId="1"/>
      <queryTableField id="2" name="LOF_AUC" tableColumnId="2"/>
      <queryTableField id="3" name="LOF_50" tableColumnId="3"/>
      <queryTableField id="4" name="LOF_100" tableColumnId="4"/>
      <queryTableField id="5" name="LOF_500" tableColumnId="5"/>
      <queryTableField id="6" name="KNN_AUC" tableColumnId="6"/>
      <queryTableField id="7" name="MO_GAAL_AUC" tableColumnId="7"/>
      <queryTableField id="8" name="AnoGAN_AUC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4B6A334-FBFC-401A-94CE-A7937D15E29B}" name="Tabelle_config" displayName="Tabelle_config" ref="A1:B25" tableType="queryTable" totalsRowShown="0">
  <autoFilter ref="A1:B25" xr:uid="{64B6A334-FBFC-401A-94CE-A7937D15E29B}"/>
  <tableColumns count="2">
    <tableColumn id="1" xr3:uid="{FB03C118-30CD-4004-9F04-552FB95A53FB}" uniqueName="1" name="Name" queryTableFieldId="1"/>
    <tableColumn id="2" xr3:uid="{56536D15-832F-49A3-8BCB-C5BC18587F6D}" uniqueName="2" name="Value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C3F970-0077-4958-98FA-8A25277BFCDB}" name="Tabelle_Internet_ads" displayName="Tabelle_Internet_ads" ref="A1:I6" tableType="queryTable" totalsRowShown="0">
  <autoFilter ref="A1:I6" xr:uid="{05C3F970-0077-4958-98FA-8A25277BFCDB}"/>
  <tableColumns count="9">
    <tableColumn id="1" xr3:uid="{2E4C27E6-1884-446E-82B3-D97EA723EA57}" uniqueName="1" name="Seed" queryTableFieldId="1" dataDxfId="49"/>
    <tableColumn id="2" xr3:uid="{9403AA73-CEBB-44CD-B894-8E9760E3F3BC}" uniqueName="2" name="LOF_AUC" queryTableFieldId="2" dataDxfId="48"/>
    <tableColumn id="3" xr3:uid="{29DFBBBE-8647-4035-82A2-943CEEC79038}" uniqueName="3" name="LOF_50" queryTableFieldId="3" dataDxfId="47"/>
    <tableColumn id="4" xr3:uid="{9A1E5B6F-6C6F-4813-B9F5-C12063AF85B0}" uniqueName="4" name="LOF_100" queryTableFieldId="4" dataDxfId="46"/>
    <tableColumn id="5" xr3:uid="{02618EBF-882E-482C-BADB-0A427AC74206}" uniqueName="5" name="LOF_500" queryTableFieldId="5" dataDxfId="45"/>
    <tableColumn id="6" xr3:uid="{0BB271AD-5E3E-4EDD-B502-7071E2D9D683}" uniqueName="6" name="KNN_AUC" queryTableFieldId="6" dataDxfId="44"/>
    <tableColumn id="7" xr3:uid="{7C2AFCCB-C191-47C9-BF2B-AC2429B9261C}" uniqueName="7" name="MO_GAAL_AUC" queryTableFieldId="7" dataDxfId="43"/>
    <tableColumn id="8" xr3:uid="{96538A87-FF70-4BAB-B909-990CE3402E46}" uniqueName="8" name="AnoGAN_AUC" queryTableFieldId="8" dataDxfId="42"/>
    <tableColumn id="9" xr3:uid="{75921241-7FB7-45E8-9C16-9D9D0850E414}" uniqueName="9" name="Deep_SVDD_AUC" queryTableFieldId="9" dataDxfId="41"/>
  </tableColumns>
  <tableStyleInfo name="TableStyleMedium7" showFirstColumn="0" showLastColumn="0" showRowStripes="0" showColumn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4785AA-0498-449F-AB20-ECA8752778DE}" name="Tabelle_Arrythmia" displayName="Tabelle_Arrythmia" ref="A1:I6" tableType="queryTable" totalsRowShown="0">
  <autoFilter ref="A1:I6" xr:uid="{C74785AA-0498-449F-AB20-ECA8752778DE}"/>
  <tableColumns count="9">
    <tableColumn id="1" xr3:uid="{FBFB8C22-591C-4941-93E7-646A6C5BFE1B}" uniqueName="1" name="Seed" queryTableFieldId="1" dataDxfId="40"/>
    <tableColumn id="2" xr3:uid="{08EFB349-0BF6-419B-BA8E-33D8DA880511}" uniqueName="2" name="LOF_AUC" queryTableFieldId="2" dataDxfId="39"/>
    <tableColumn id="3" xr3:uid="{BB8CC07C-E48F-4059-AC54-4D42BE98B9F3}" uniqueName="3" name="LOF_50" queryTableFieldId="3" dataDxfId="38"/>
    <tableColumn id="4" xr3:uid="{6E2885C3-6AB1-49CD-B8D9-69149543E7C2}" uniqueName="4" name="LOF_100" queryTableFieldId="4" dataDxfId="37"/>
    <tableColumn id="5" xr3:uid="{C382980E-0952-4ED5-9CF4-C6F7499225A9}" uniqueName="5" name="LOF_500" queryTableFieldId="5" dataDxfId="36"/>
    <tableColumn id="6" xr3:uid="{708D498E-93ED-4231-9D45-28283FD96D4F}" uniqueName="6" name="KNN_AUC" queryTableFieldId="6" dataDxfId="35"/>
    <tableColumn id="7" xr3:uid="{58DA6648-5CF9-46D5-A23A-E44069AE950B}" uniqueName="7" name="MO_GAAL_AUC" queryTableFieldId="7" dataDxfId="34"/>
    <tableColumn id="8" xr3:uid="{61A06D48-30BA-44C7-97B9-A281D3B4276D}" uniqueName="8" name="AnoGAN_AUC" queryTableFieldId="8" dataDxfId="33"/>
    <tableColumn id="9" xr3:uid="{B828E2E9-5956-4EF2-B285-4F01F217EB55}" uniqueName="9" name="Deep_SVDD_AUC" queryTableFieldId="9" dataDxfId="32"/>
  </tableColumns>
  <tableStyleInfo name="TableStyleMedium7" showFirstColumn="0" showLastColumn="0" showRowStripes="0" showColumn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A337558-3934-44CF-BADE-63F3E4129B7A}" name="Tabelle_Fashion_MNIST" displayName="Tabelle_Fashion_MNIST" ref="A1:J69" tableType="queryTable" totalsRowShown="0">
  <autoFilter ref="A1:J69" xr:uid="{EA337558-3934-44CF-BADE-63F3E4129B7A}"/>
  <tableColumns count="10">
    <tableColumn id="11" xr3:uid="{6954C7B3-C478-4BA5-8B29-3493D4C27DEE}" uniqueName="11" name="Seed" queryTableFieldId="11" dataDxfId="31"/>
    <tableColumn id="12" xr3:uid="{968EAB8A-E7E5-45F4-8329-383ADAF5FC8B}" uniqueName="12" name="Class" queryTableFieldId="12" dataDxfId="30"/>
    <tableColumn id="13" xr3:uid="{1E84610C-CADE-4B1A-8C26-5CEFF55E802A}" uniqueName="13" name="LOF_AUC" queryTableFieldId="13" dataDxfId="29"/>
    <tableColumn id="14" xr3:uid="{07FFC098-5B52-495C-9F0F-43931F614510}" uniqueName="14" name="LOF_50" queryTableFieldId="14" dataDxfId="28"/>
    <tableColumn id="15" xr3:uid="{26D663AB-3BF2-4736-83BA-D3278BC364F9}" uniqueName="15" name="LOF_100" queryTableFieldId="15" dataDxfId="27"/>
    <tableColumn id="16" xr3:uid="{15B0D585-1EB2-4AB5-8442-ADCBFE6A46CB}" uniqueName="16" name="LOF_500" queryTableFieldId="16" dataDxfId="26"/>
    <tableColumn id="17" xr3:uid="{5DBEA6F7-8E89-4096-A7C5-CC9BE27F15A9}" uniqueName="17" name="KNN_AUC" queryTableFieldId="17" dataDxfId="25"/>
    <tableColumn id="18" xr3:uid="{4C807E74-9293-487E-8974-A873C18A2D3B}" uniqueName="18" name="MO_GAAL_AUC" queryTableFieldId="18" dataDxfId="24"/>
    <tableColumn id="19" xr3:uid="{540B9E4E-2280-4D4C-A04B-E38C9AB2565B}" uniqueName="19" name="AnoGAN_AUC" queryTableFieldId="19" dataDxfId="23"/>
    <tableColumn id="20" xr3:uid="{77B6FEAD-6311-4528-9C3F-893B34427E0A}" uniqueName="20" name="DeepSVDD_AUC" queryTableFieldId="20" dataDxfId="22"/>
  </tableColumns>
  <tableStyleInfo name="TableStyleMedium7" showFirstColumn="0" showLastColumn="0" showRowStripes="0" showColumn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BBA015-EEFD-442A-A6DA-57538788572A}" name="Tabelle_Cifar10" displayName="Tabelle_Cifar10" ref="A1:J69" tableType="queryTable">
  <autoFilter ref="A1:J69" xr:uid="{42BBA015-EEFD-442A-A6DA-57538788572A}"/>
  <tableColumns count="10">
    <tableColumn id="11" xr3:uid="{2DAC05A1-69E1-457E-B566-E6F424463B0C}" uniqueName="11" name="Seed" queryTableFieldId="11" dataDxfId="21"/>
    <tableColumn id="12" xr3:uid="{8D17398B-379B-4526-969B-9B32DC577B09}" uniqueName="12" name="Class" queryTableFieldId="12" dataDxfId="20"/>
    <tableColumn id="13" xr3:uid="{12FD2422-9156-4E18-B58B-0A3CB4450ED9}" uniqueName="13" name="LOF_AUC" queryTableFieldId="13" dataDxfId="19"/>
    <tableColumn id="14" xr3:uid="{4FD8C035-4CFB-4C33-8BEB-BB00CAA4F595}" uniqueName="14" name="LOF_50" queryTableFieldId="14" dataDxfId="18"/>
    <tableColumn id="15" xr3:uid="{926466E1-7504-470C-8681-BAA8735EE9A0}" uniqueName="15" name="LOF_100" queryTableFieldId="15" dataDxfId="17"/>
    <tableColumn id="16" xr3:uid="{E7279FC6-1BE3-4337-98EE-1F89D9CA6F5D}" uniqueName="16" name="LOF_500" queryTableFieldId="16" dataDxfId="16"/>
    <tableColumn id="17" xr3:uid="{02348F09-C540-48D3-99C9-A7412C9D3170}" uniqueName="17" name="KNN_AUC" queryTableFieldId="17" dataDxfId="15"/>
    <tableColumn id="18" xr3:uid="{8E78C03D-9472-41C8-93CB-CD693C71057C}" uniqueName="18" name="MO_GAAL_AUC" queryTableFieldId="18" dataDxfId="14"/>
    <tableColumn id="19" xr3:uid="{77762A02-BED4-47A8-AF0D-A1ADF5814A40}" uniqueName="19" name="AnoGAN_AUC" queryTableFieldId="19" dataDxfId="13"/>
    <tableColumn id="20" xr3:uid="{674FEE22-6779-40E7-933B-BC267867D384}" uniqueName="20" name="DeepSVDD_AUC" queryTableFieldId="20" dataDxfId="12"/>
  </tableColumns>
  <tableStyleInfo name="TableStyleMedium7" showFirstColumn="0" showLastColumn="0" showRowStripes="0" showColumn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60033DE-21C0-4018-8103-0673A81B074A}" name="Tabelle_MO_GAAL" displayName="Tabelle_MO_GAAL" ref="A1:B7" tableType="queryTable" totalsRowShown="0">
  <autoFilter ref="A1:B7" xr:uid="{E60033DE-21C0-4018-8103-0673A81B074A}"/>
  <tableColumns count="2">
    <tableColumn id="1" xr3:uid="{B321FFA2-09A2-4A77-9609-A8A2C459E01D}" uniqueName="1" name="Name" queryTableFieldId="1"/>
    <tableColumn id="2" xr3:uid="{4BECF6ED-BBAF-4349-943F-2AB63F4AB162}" uniqueName="2" name="Value" queryTableFieldId="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E048F2E-AA04-491D-9138-F86A428450FC}" name="Tabelle_LOF" displayName="Tabelle_LOF" ref="A1:B10" tableType="queryTable" totalsRowShown="0">
  <autoFilter ref="A1:B10" xr:uid="{9E048F2E-AA04-491D-9138-F86A428450FC}"/>
  <tableColumns count="2">
    <tableColumn id="1" xr3:uid="{7C9D45C2-035C-40D2-935B-073629458553}" uniqueName="1" name="Name" queryTableFieldId="1"/>
    <tableColumn id="2" xr3:uid="{98D88CD1-AE0E-48FE-A73F-BDC0050014C0}" uniqueName="2" name="Value" queryTableFieldId="2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0F095F0-C1DB-4480-85A4-C2B7332191C1}" name="Tabelle_KNN" displayName="Tabelle_KNN" ref="A1:B11" tableType="queryTable" totalsRowShown="0">
  <autoFilter ref="A1:B11" xr:uid="{D0F095F0-C1DB-4480-85A4-C2B7332191C1}"/>
  <tableColumns count="2">
    <tableColumn id="1" xr3:uid="{919682CE-BCB2-4657-8111-4CFD76DA4C25}" uniqueName="1" name="Name" queryTableFieldId="1"/>
    <tableColumn id="2" xr3:uid="{00E75064-0641-417C-BCF6-98BF0EB3F88A}" uniqueName="2" name="Value" queryTableFieldId="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5AC77B8-2E3D-4AAC-BE87-BB71B6F2D807}" name="Tabelle_FB500" displayName="Tabelle_FB500" ref="A1:B13" tableType="queryTable" totalsRowShown="0">
  <autoFilter ref="A1:B13" xr:uid="{85AC77B8-2E3D-4AAC-BE87-BB71B6F2D807}"/>
  <tableColumns count="2">
    <tableColumn id="1" xr3:uid="{EDDC9385-08F9-4870-85DA-73AA9B85D565}" uniqueName="1" name="Name" queryTableFieldId="1"/>
    <tableColumn id="2" xr3:uid="{72CED78C-54CF-4EAB-B842-7DB4E8C3DB53}" uniqueName="2" name="Value" queryTableFieldId="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4C4CF52-E9A3-4F70-812D-5628D0925B40}" name="Tabelle_FB100" displayName="Tabelle_FB100" ref="A1:B13" tableType="queryTable" totalsRowShown="0">
  <autoFilter ref="A1:B13" xr:uid="{04C4CF52-E9A3-4F70-812D-5628D0925B40}"/>
  <tableColumns count="2">
    <tableColumn id="1" xr3:uid="{1B6D2692-8DC5-4DAA-A9E0-02B838A82D93}" uniqueName="1" name="Name" queryTableFieldId="1"/>
    <tableColumn id="2" xr3:uid="{06F9F021-6F11-47BA-86F9-36357639ABC7}" uniqueName="2" name="Value" queryTableFieldId="2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3A83407-0157-457F-9F2F-CBC0C95B67F4}" name="Tabelle_FB50" displayName="Tabelle_FB50" ref="A1:B13" tableType="queryTable" totalsRowShown="0">
  <autoFilter ref="A1:B13" xr:uid="{A3A83407-0157-457F-9F2F-CBC0C95B67F4}"/>
  <tableColumns count="2">
    <tableColumn id="1" xr3:uid="{BD212E65-F0D3-4588-B16E-D627C15AADD0}" uniqueName="1" name="Name" queryTableFieldId="1"/>
    <tableColumn id="2" xr3:uid="{6A77375D-CA72-4196-9CD5-44898C86D5E0}" uniqueName="2" name="Valu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DF9C0F6-B28B-42C9-931D-25A947825920}" name="Tabelle11" displayName="Tabelle11" ref="A1:B11" totalsRowShown="0">
  <autoFilter ref="A1:B11" xr:uid="{3DF9C0F6-B28B-42C9-931D-25A947825920}"/>
  <tableColumns count="2">
    <tableColumn id="1" xr3:uid="{E623ED87-838B-44C8-9B4D-CF5BF1414A0C}" name="Class"/>
    <tableColumn id="2" xr3:uid="{D8C1D822-2D65-49A2-A83A-3B00EFE8CA5A}" name="Test AUC"/>
  </tableColumns>
  <tableStyleInfo name="TableStyleMedium7" showFirstColumn="0" showLastColumn="0" showRowStripes="0" showColumn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722C7F-26B5-4D76-979A-4BCA1FCE40DC}" name="Tabelle_Params_deep_svdd" displayName="Tabelle_Params_deep_svdd" ref="A1:B16" tableType="queryTable" totalsRowShown="0">
  <autoFilter ref="A1:B16" xr:uid="{EB722C7F-26B5-4D76-979A-4BCA1FCE40DC}"/>
  <tableColumns count="2">
    <tableColumn id="1" xr3:uid="{4314F437-BB8F-4981-90F4-8C7BA5CBFD60}" uniqueName="1" name="Name" queryTableFieldId="1"/>
    <tableColumn id="2" xr3:uid="{B089D03A-8A08-4B85-ACAB-52CAC5E42F96}" uniqueName="2" name="Value" queryTableFieldId="2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A1981D0-316F-4641-B038-2E64D278CA96}" name="Tabelle_AnoGAN" displayName="Tabelle_AnoGAN" ref="A1:B16" tableType="queryTable" totalsRowShown="0">
  <autoFilter ref="A1:B16" xr:uid="{0A1981D0-316F-4641-B038-2E64D278CA96}"/>
  <tableColumns count="2">
    <tableColumn id="1" xr3:uid="{18812653-5B96-4A69-A22C-BCCEDFF085D0}" uniqueName="1" name="Name" queryTableFieldId="1"/>
    <tableColumn id="2" xr3:uid="{7A0CB108-938F-497E-AF5B-B469E3494452}" uniqueName="2" name="Valu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34BD06A-EA49-41D9-BE62-62BD220D877E}" name="Tabelle13" displayName="Tabelle13" ref="A1:B11" totalsRowShown="0">
  <autoFilter ref="A1:B11" xr:uid="{D34BD06A-EA49-41D9-BE62-62BD220D877E}"/>
  <tableColumns count="2">
    <tableColumn id="1" xr3:uid="{A2E1265B-4264-4B98-8259-5F3CF5F729F9}" name="Class"/>
    <tableColumn id="2" xr3:uid="{1162828A-7573-46A2-9561-D2051AC45D54}" name="Test AUC"/>
  </tableColumns>
  <tableStyleInfo name="TableStyleMedium7" showFirstColumn="0" showLastColumn="0" showRowStripes="0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6D51B30-7F05-470D-9961-EA28424CC4FF}" name="Tabelle_Params_8_C__2" displayName="Tabelle_Params_8_C__2" ref="A1:C16" tableType="queryTable" totalsRowShown="0">
  <autoFilter ref="A1:C16" xr:uid="{16D51B30-7F05-470D-9961-EA28424CC4FF}"/>
  <tableColumns count="3">
    <tableColumn id="1" xr3:uid="{9CC0DF13-8514-4636-BA6A-DDD5108186E0}" uniqueName="1" name="Learning rate generator" queryTableFieldId="1" dataDxfId="79"/>
    <tableColumn id="2" xr3:uid="{0B2B3B78-90A4-4497-BB54-018B808E70D5}" uniqueName="2" name=" Stop epochs" queryTableFieldId="2" dataDxfId="78"/>
    <tableColumn id="3" xr3:uid="{AB2A3DFA-9955-4D37-A5D0-DA6113635B01}" uniqueName="3" name=" Average AUC" queryTableFieldId="3" dataDxfId="77"/>
  </tableColumns>
  <tableStyleInfo name="TableStyleMedium7" showFirstColumn="0" showLastColumn="0" showRowStripes="0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70B6A86-370E-4A9A-9BDD-A2ACAC3683C9}" name="Tabelle_Params_6_C" displayName="Tabelle_Params_6_C" ref="A1:C16" tableType="queryTable" totalsRowShown="0">
  <autoFilter ref="A1:C16" xr:uid="{170B6A86-370E-4A9A-9BDD-A2ACAC3683C9}"/>
  <tableColumns count="3">
    <tableColumn id="1" xr3:uid="{BF192353-C4CF-4900-ACE3-6FFC76F2AE14}" uniqueName="1" name="Learning rate generator" queryTableFieldId="1" dataDxfId="76"/>
    <tableColumn id="2" xr3:uid="{0E8B7269-86A6-47A3-97B7-FEA7819EA4FE}" uniqueName="2" name=" Stop epochs" queryTableFieldId="2" dataDxfId="75"/>
    <tableColumn id="3" xr3:uid="{0BA52A74-4EBA-4E3C-8853-E659ACE282BA}" uniqueName="3" name=" Average AUC" queryTableFieldId="3" dataDxfId="74"/>
  </tableColumns>
  <tableStyleInfo name="TableStyleMedium7" showFirstColumn="0" showLastColumn="0" showRowStripes="0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D5F3E8C-6048-4C25-B0BA-D78A0D893B69}" name="Tabelle_Params_8_F" displayName="Tabelle_Params_8_F" ref="A1:C10" tableType="queryTable" totalsRowShown="0">
  <autoFilter ref="A1:C10" xr:uid="{6D5F3E8C-6048-4C25-B0BA-D78A0D893B69}"/>
  <tableColumns count="3">
    <tableColumn id="1" xr3:uid="{DF658CBC-9E9C-4B3B-B186-A335925EBC8B}" uniqueName="1" name="Learning rate" queryTableFieldId="1" dataDxfId="73"/>
    <tableColumn id="2" xr3:uid="{84D6BF6D-FA36-451F-BFC7-1151B9AC3BC4}" uniqueName="2" name=" Epochs" queryTableFieldId="2" dataDxfId="72"/>
    <tableColumn id="3" xr3:uid="{D85B33C5-4620-4760-9F6A-7EF47C966D14}" uniqueName="3" name=" AUC" queryTableFieldId="3" dataDxfId="71"/>
  </tableColumns>
  <tableStyleInfo name="TableStyleMedium7" showFirstColumn="0" showLastColumn="0" showRowStripes="0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1CE0FB1-85D1-4CAD-AD1F-351FA092DE05}" name="Tabelle_Params_8_C" displayName="Tabelle_Params_8_C" ref="A1:C10" tableType="queryTable" totalsRowShown="0">
  <autoFilter ref="A1:C10" xr:uid="{E1CE0FB1-85D1-4CAD-AD1F-351FA092DE05}"/>
  <tableColumns count="3">
    <tableColumn id="1" xr3:uid="{18FB1400-2EA6-403A-82E8-D571163DE0EE}" uniqueName="1" name="Learning rate" queryTableFieldId="1" dataDxfId="70"/>
    <tableColumn id="2" xr3:uid="{1704C863-A1A1-4943-87E9-EC18D51002BD}" uniqueName="2" name="Epochs" queryTableFieldId="2" dataDxfId="69"/>
    <tableColumn id="3" xr3:uid="{B021868B-3D95-4DED-A449-D4A71B1F8208}" uniqueName="3" name="AUC" queryTableFieldId="3" dataDxfId="68"/>
  </tableColumns>
  <tableStyleInfo name="TableStyleMedium7" showFirstColumn="0" showLastColumn="0" showRowStripes="0" showColumn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58C0CC5-D536-40A0-B988-704FB5C805DC}" name="Tabelle_Waveform" displayName="Tabelle_Waveform" ref="A1:I6" tableType="queryTable" totalsRowShown="0">
  <autoFilter ref="A1:I6" xr:uid="{E58C0CC5-D536-40A0-B988-704FB5C805DC}"/>
  <tableColumns count="9">
    <tableColumn id="1" xr3:uid="{8289C0FF-5EA1-48B8-AF28-D0BE4FE241B2}" uniqueName="1" name="Seed" queryTableFieldId="1" dataDxfId="67"/>
    <tableColumn id="2" xr3:uid="{F8882AAC-A0CD-4270-97B4-2EA86FE23790}" uniqueName="2" name="LOF_AUC" queryTableFieldId="2" dataDxfId="66"/>
    <tableColumn id="3" xr3:uid="{1C2DCD26-C941-4C9E-974A-41B070573265}" uniqueName="3" name="LOF_50" queryTableFieldId="3" dataDxfId="65"/>
    <tableColumn id="4" xr3:uid="{E298157B-D206-432D-A214-5A0DC72C75A4}" uniqueName="4" name="LOF_100" queryTableFieldId="4" dataDxfId="64"/>
    <tableColumn id="5" xr3:uid="{F1F5543C-2FCD-4B48-89CF-12C8BF9576A7}" uniqueName="5" name="LOF_500" queryTableFieldId="5" dataDxfId="63"/>
    <tableColumn id="6" xr3:uid="{06F37020-D871-4EAE-A53F-3BF9CCBAE1F3}" uniqueName="6" name="KNN_AUC" queryTableFieldId="6" dataDxfId="62"/>
    <tableColumn id="7" xr3:uid="{234B5464-E3EA-4489-B102-FD46100889EB}" uniqueName="7" name="MO_GAAL_AUC" queryTableFieldId="7" dataDxfId="61"/>
    <tableColumn id="8" xr3:uid="{4985C673-30EA-4C5A-A523-B8891E762E91}" uniqueName="8" name="AnoGAN_AUC" queryTableFieldId="8" dataDxfId="60"/>
    <tableColumn id="9" xr3:uid="{D5EB49AF-F5A8-418B-9CC9-5902EAD1795E}" uniqueName="9" name="Deep_SVDD_AUC" queryTableFieldId="9" dataDxfId="59"/>
  </tableColumns>
  <tableStyleInfo name="TableStyleMedium7" showFirstColumn="0" showLastColumn="0" showRowStripes="0" showColumn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ADB7DFC-93AD-47EA-8763-F99729EBD4E8}" name="Tabelle_Spambase" displayName="Tabelle_Spambase" ref="A1:I6" tableType="queryTable" totalsRowShown="0">
  <autoFilter ref="A1:I6" xr:uid="{4ADB7DFC-93AD-47EA-8763-F99729EBD4E8}"/>
  <tableColumns count="9">
    <tableColumn id="1" xr3:uid="{0CDD8384-0F2F-4E74-82C3-97B572EB8E60}" uniqueName="1" name="Seed" queryTableFieldId="1" dataDxfId="58"/>
    <tableColumn id="2" xr3:uid="{89D7D86A-7452-4DEC-A563-6A0223F3BCDF}" uniqueName="2" name="LOF_AUC" queryTableFieldId="2" dataDxfId="57"/>
    <tableColumn id="3" xr3:uid="{2D0AD5CC-106B-4391-826B-0389D6FCDAA2}" uniqueName="3" name="LOF_50" queryTableFieldId="3" dataDxfId="56"/>
    <tableColumn id="4" xr3:uid="{1D390C9C-8A30-4674-B15C-04BDB1D4A3F1}" uniqueName="4" name="LOF_100" queryTableFieldId="4" dataDxfId="55"/>
    <tableColumn id="5" xr3:uid="{74E3A22C-A6E9-4FF3-85DF-B5ED71AC5B53}" uniqueName="5" name="LOF_500" queryTableFieldId="5" dataDxfId="54"/>
    <tableColumn id="6" xr3:uid="{6ED07410-70C5-4ABD-9AEB-E6C240552587}" uniqueName="6" name="KNN_AUC" queryTableFieldId="6" dataDxfId="53"/>
    <tableColumn id="7" xr3:uid="{9ABD5DEC-EEA5-4E33-BAC5-4485A672C10C}" uniqueName="7" name="MO_GAAL_AUC" queryTableFieldId="7" dataDxfId="52"/>
    <tableColumn id="8" xr3:uid="{6B9D5E9F-235E-4875-835E-67DE3EE516AE}" uniqueName="8" name="AnoGAN_AUC" queryTableFieldId="8" dataDxfId="51"/>
    <tableColumn id="9" xr3:uid="{33A65136-9D38-428D-A7B6-BF3EE35FA9D2}" uniqueName="9" name="Deep_SVDD_AUC" queryTableFieldId="9" dataDxfId="50"/>
  </tableColumns>
  <tableStyleInfo name="TableStyleMedium7" showFirstColumn="0" showLastColumn="0" showRowStripes="0" showColumnStripes="1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92E0-4063-45D9-AA9F-CCF96E56E7CB}">
  <dimension ref="A1:B25"/>
  <sheetViews>
    <sheetView workbookViewId="0">
      <selection activeCell="E36" sqref="E36"/>
    </sheetView>
  </sheetViews>
  <sheetFormatPr baseColWidth="10" defaultRowHeight="15" x14ac:dyDescent="0.25"/>
  <cols>
    <col min="1" max="1" width="18.85546875" bestFit="1" customWidth="1"/>
    <col min="2" max="2" width="17" bestFit="1" customWidth="1"/>
  </cols>
  <sheetData>
    <row r="1" spans="1:2" x14ac:dyDescent="0.25">
      <c r="A1" t="s">
        <v>28</v>
      </c>
      <c r="B1" t="s">
        <v>29</v>
      </c>
    </row>
    <row r="2" spans="1:2" x14ac:dyDescent="0.25">
      <c r="A2" t="s">
        <v>95</v>
      </c>
      <c r="B2" t="s">
        <v>96</v>
      </c>
    </row>
    <row r="3" spans="1:2" x14ac:dyDescent="0.25">
      <c r="A3" t="s">
        <v>97</v>
      </c>
      <c r="B3" t="s">
        <v>98</v>
      </c>
    </row>
    <row r="4" spans="1:2" x14ac:dyDescent="0.25">
      <c r="A4" t="s">
        <v>99</v>
      </c>
      <c r="B4" t="s">
        <v>124</v>
      </c>
    </row>
    <row r="5" spans="1:2" x14ac:dyDescent="0.25">
      <c r="A5" t="s">
        <v>100</v>
      </c>
      <c r="B5" t="s">
        <v>125</v>
      </c>
    </row>
    <row r="6" spans="1:2" x14ac:dyDescent="0.25">
      <c r="A6" t="s">
        <v>101</v>
      </c>
    </row>
    <row r="7" spans="1:2" x14ac:dyDescent="0.25">
      <c r="A7" t="s">
        <v>102</v>
      </c>
    </row>
    <row r="8" spans="1:2" x14ac:dyDescent="0.25">
      <c r="A8" t="s">
        <v>103</v>
      </c>
      <c r="B8" t="s">
        <v>104</v>
      </c>
    </row>
    <row r="9" spans="1:2" x14ac:dyDescent="0.25">
      <c r="A9" t="s">
        <v>105</v>
      </c>
      <c r="B9">
        <v>0.1</v>
      </c>
    </row>
    <row r="10" spans="1:2" x14ac:dyDescent="0.25">
      <c r="A10" t="s">
        <v>106</v>
      </c>
      <c r="B10" t="s">
        <v>107</v>
      </c>
    </row>
    <row r="11" spans="1:2" x14ac:dyDescent="0.25">
      <c r="A11" t="s">
        <v>108</v>
      </c>
      <c r="B11">
        <v>777</v>
      </c>
    </row>
    <row r="12" spans="1:2" x14ac:dyDescent="0.25">
      <c r="A12" t="s">
        <v>109</v>
      </c>
      <c r="B12" t="s">
        <v>68</v>
      </c>
    </row>
    <row r="13" spans="1:2" x14ac:dyDescent="0.25">
      <c r="A13" t="s">
        <v>110</v>
      </c>
      <c r="B13">
        <v>1E-4</v>
      </c>
    </row>
    <row r="14" spans="1:2" x14ac:dyDescent="0.25">
      <c r="A14" t="s">
        <v>111</v>
      </c>
      <c r="B14">
        <v>150</v>
      </c>
    </row>
    <row r="15" spans="1:2" x14ac:dyDescent="0.25">
      <c r="A15" t="s">
        <v>112</v>
      </c>
      <c r="B15" t="s">
        <v>122</v>
      </c>
    </row>
    <row r="16" spans="1:2" x14ac:dyDescent="0.25">
      <c r="A16" t="s">
        <v>13</v>
      </c>
      <c r="B16">
        <v>200</v>
      </c>
    </row>
    <row r="17" spans="1:2" x14ac:dyDescent="0.25">
      <c r="A17" t="s">
        <v>113</v>
      </c>
      <c r="B17">
        <v>4.9999999999999998E-7</v>
      </c>
    </row>
    <row r="18" spans="1:2" x14ac:dyDescent="0.25">
      <c r="A18" t="s">
        <v>114</v>
      </c>
      <c r="B18" t="s">
        <v>41</v>
      </c>
    </row>
    <row r="19" spans="1:2" x14ac:dyDescent="0.25">
      <c r="A19" t="s">
        <v>115</v>
      </c>
      <c r="B19" t="s">
        <v>68</v>
      </c>
    </row>
    <row r="20" spans="1:2" x14ac:dyDescent="0.25">
      <c r="A20" t="s">
        <v>116</v>
      </c>
      <c r="B20">
        <v>1E-4</v>
      </c>
    </row>
    <row r="21" spans="1:2" x14ac:dyDescent="0.25">
      <c r="A21" t="s">
        <v>117</v>
      </c>
      <c r="B21">
        <v>350</v>
      </c>
    </row>
    <row r="22" spans="1:2" x14ac:dyDescent="0.25">
      <c r="A22" t="s">
        <v>118</v>
      </c>
      <c r="B22" t="s">
        <v>123</v>
      </c>
    </row>
    <row r="23" spans="1:2" x14ac:dyDescent="0.25">
      <c r="A23" t="s">
        <v>119</v>
      </c>
      <c r="B23">
        <v>200</v>
      </c>
    </row>
    <row r="24" spans="1:2" x14ac:dyDescent="0.25">
      <c r="A24" t="s">
        <v>120</v>
      </c>
      <c r="B24">
        <v>4.9999999999999998E-7</v>
      </c>
    </row>
    <row r="25" spans="1:2" x14ac:dyDescent="0.25">
      <c r="A25" t="s">
        <v>121</v>
      </c>
      <c r="B25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215E-ABDB-4B9A-8F7B-BBAAA96E7330}">
  <dimension ref="A1:I10"/>
  <sheetViews>
    <sheetView workbookViewId="0">
      <selection activeCell="C12" sqref="C12"/>
    </sheetView>
  </sheetViews>
  <sheetFormatPr baseColWidth="10" defaultRowHeight="15" x14ac:dyDescent="0.25"/>
  <cols>
    <col min="1" max="1" width="7.7109375" bestFit="1" customWidth="1"/>
    <col min="2" max="6" width="18.7109375" bestFit="1" customWidth="1"/>
    <col min="7" max="7" width="19.7109375" bestFit="1" customWidth="1"/>
    <col min="8" max="8" width="18.7109375" bestFit="1" customWidth="1"/>
    <col min="9" max="9" width="18.85546875" bestFit="1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73</v>
      </c>
    </row>
    <row r="2" spans="1:9" x14ac:dyDescent="0.25">
      <c r="A2">
        <v>777</v>
      </c>
      <c r="B2">
        <v>0.84973404255319096</v>
      </c>
      <c r="C2">
        <v>0.81676314142678297</v>
      </c>
      <c r="D2">
        <v>0.81289111389236501</v>
      </c>
      <c r="E2">
        <v>0.81291066958698299</v>
      </c>
      <c r="F2">
        <v>0.825455647684605</v>
      </c>
      <c r="G2">
        <v>0.33696417396745898</v>
      </c>
      <c r="H2">
        <v>0.47324780976220199</v>
      </c>
      <c r="I2">
        <v>0.77739752816020002</v>
      </c>
    </row>
    <row r="3" spans="1:9" x14ac:dyDescent="0.25">
      <c r="A3">
        <v>45116</v>
      </c>
      <c r="B3">
        <v>0.84973404255319096</v>
      </c>
      <c r="C3">
        <v>0.81275422403003705</v>
      </c>
      <c r="D3">
        <v>0.80549906132665805</v>
      </c>
      <c r="E3">
        <v>0.80497105757196497</v>
      </c>
      <c r="F3">
        <v>0.825455647684605</v>
      </c>
      <c r="G3">
        <v>0.34169665206508099</v>
      </c>
      <c r="H3">
        <v>0.44023779724655798</v>
      </c>
      <c r="I3">
        <v>0.77239127033792199</v>
      </c>
    </row>
    <row r="4" spans="1:9" x14ac:dyDescent="0.25">
      <c r="A4">
        <v>4403</v>
      </c>
      <c r="B4">
        <v>0.84973404255319096</v>
      </c>
      <c r="C4">
        <v>0.81725203379223998</v>
      </c>
      <c r="D4">
        <v>0.81120932415519398</v>
      </c>
      <c r="E4">
        <v>0.81066176470588203</v>
      </c>
      <c r="F4">
        <v>0.825455647684605</v>
      </c>
      <c r="G4">
        <v>0.39772371714643301</v>
      </c>
      <c r="H4">
        <v>0.53668648310387901</v>
      </c>
      <c r="I4">
        <v>0.76374765331664496</v>
      </c>
    </row>
    <row r="5" spans="1:9" x14ac:dyDescent="0.25">
      <c r="A5">
        <v>92879</v>
      </c>
      <c r="B5">
        <v>0.84973404255319096</v>
      </c>
      <c r="C5">
        <v>0.80589017521902295</v>
      </c>
      <c r="D5">
        <v>0.80561639549436803</v>
      </c>
      <c r="E5">
        <v>0.810387984981226</v>
      </c>
      <c r="F5">
        <v>0.825455647684605</v>
      </c>
      <c r="G5">
        <v>0.32659965581977402</v>
      </c>
      <c r="H5">
        <v>0.45394633917396698</v>
      </c>
      <c r="I5">
        <v>0.80683862640800996</v>
      </c>
    </row>
    <row r="6" spans="1:9" x14ac:dyDescent="0.25">
      <c r="A6">
        <v>34770</v>
      </c>
      <c r="B6">
        <v>0.84973404255319096</v>
      </c>
      <c r="C6">
        <v>0.79325719649561899</v>
      </c>
      <c r="D6">
        <v>0.79259230287859805</v>
      </c>
      <c r="E6">
        <v>0.80931242177722096</v>
      </c>
      <c r="F6">
        <v>0.825455647684605</v>
      </c>
      <c r="G6">
        <v>0.34079709011263998</v>
      </c>
      <c r="H6">
        <v>0.55657462453066298</v>
      </c>
      <c r="I6">
        <v>0.76074585419273999</v>
      </c>
    </row>
    <row r="8" spans="1:9" x14ac:dyDescent="0.25">
      <c r="A8" t="s">
        <v>130</v>
      </c>
      <c r="B8">
        <f>AVERAGE(Tabelle_Internet_ads[LOF_AUC])</f>
        <v>0.84973404255319096</v>
      </c>
      <c r="C8">
        <f>AVERAGE(Tabelle_Internet_ads[LOF_50])</f>
        <v>0.80918335419274035</v>
      </c>
      <c r="D8">
        <f>AVERAGE(Tabelle_Internet_ads[LOF_100])</f>
        <v>0.80556163954943671</v>
      </c>
      <c r="E8">
        <f>AVERAGE(Tabelle_Internet_ads[LOF_500])</f>
        <v>0.80964877972465532</v>
      </c>
      <c r="F8">
        <f>AVERAGE(Tabelle_Internet_ads[KNN_AUC])</f>
        <v>0.825455647684605</v>
      </c>
      <c r="G8">
        <f>AVERAGE(Tabelle_Internet_ads[MO_GAAL_AUC])</f>
        <v>0.34875625782227737</v>
      </c>
      <c r="H8">
        <f>AVERAGE(Tabelle_Internet_ads[AnoGAN_AUC])</f>
        <v>0.49213861076345378</v>
      </c>
      <c r="I8">
        <f>AVERAGE(Tabelle_Internet_ads[Deep_SVDD_AUC])</f>
        <v>0.77622418648310343</v>
      </c>
    </row>
    <row r="9" spans="1:9" x14ac:dyDescent="0.25">
      <c r="A9" t="s">
        <v>128</v>
      </c>
      <c r="B9">
        <f>MEDIAN(Tabelle_Internet_ads[LOF_AUC])</f>
        <v>0.84973404255319096</v>
      </c>
      <c r="C9">
        <f>MEDIAN(Tabelle_Internet_ads[LOF_50])</f>
        <v>0.81275422403003705</v>
      </c>
      <c r="D9">
        <f>MEDIAN(Tabelle_Internet_ads[LOF_100])</f>
        <v>0.80561639549436803</v>
      </c>
      <c r="E9">
        <f>MEDIAN(Tabelle_Internet_ads[LOF_500])</f>
        <v>0.810387984981226</v>
      </c>
      <c r="F9">
        <f>MEDIAN(Tabelle_Internet_ads[KNN_AUC])</f>
        <v>0.825455647684605</v>
      </c>
      <c r="G9">
        <f>MEDIAN(Tabelle_Internet_ads[MO_GAAL_AUC])</f>
        <v>0.34079709011263998</v>
      </c>
      <c r="H9">
        <f>MEDIAN(Tabelle_Internet_ads[AnoGAN_AUC])</f>
        <v>0.47324780976220199</v>
      </c>
      <c r="I9">
        <f>MEDIAN(Tabelle_Internet_ads[Deep_SVDD_AUC])</f>
        <v>0.77239127033792199</v>
      </c>
    </row>
    <row r="10" spans="1:9" x14ac:dyDescent="0.25">
      <c r="A10" t="s">
        <v>131</v>
      </c>
      <c r="B10">
        <f>_xlfn.STDEV.S(Tabelle_Internet_ads[LOF_AUC])</f>
        <v>0</v>
      </c>
      <c r="C10">
        <f>_xlfn.STDEV.S(Tabelle_Internet_ads[LOF_50])</f>
        <v>9.9974422120631037E-3</v>
      </c>
      <c r="D10">
        <f>_xlfn.STDEV.S(Tabelle_Internet_ads[LOF_100])</f>
        <v>7.9659924598066197E-3</v>
      </c>
      <c r="E10">
        <f>_xlfn.STDEV.S(Tabelle_Internet_ads[LOF_500])</f>
        <v>2.9243251214622567E-3</v>
      </c>
      <c r="F10">
        <f>_xlfn.STDEV.S(Tabelle_Internet_ads[KNN_AUC])</f>
        <v>0</v>
      </c>
      <c r="G10">
        <f>_xlfn.STDEV.S(Tabelle_Internet_ads[MO_GAAL_AUC])</f>
        <v>2.8022164043290877E-2</v>
      </c>
      <c r="H10">
        <f>_xlfn.STDEV.S(Tabelle_Internet_ads[AnoGAN_AUC])</f>
        <v>5.158904732502919E-2</v>
      </c>
      <c r="I10">
        <f>_xlfn.STDEV.S(Tabelle_Internet_ads[Deep_SVDD_AUC])</f>
        <v>1.8361335457473954E-2</v>
      </c>
    </row>
  </sheetData>
  <conditionalFormatting sqref="B2:I6">
    <cfRule type="expression" dxfId="3" priority="1">
      <formula>B2=MAX($B2:$I2)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A12F8-3249-43C7-AB07-6D3262B6FDE4}">
  <dimension ref="A1:I10"/>
  <sheetViews>
    <sheetView workbookViewId="0">
      <selection activeCell="A8" sqref="A8:A10"/>
    </sheetView>
  </sheetViews>
  <sheetFormatPr baseColWidth="10" defaultRowHeight="15" x14ac:dyDescent="0.25"/>
  <cols>
    <col min="1" max="1" width="7.7109375" bestFit="1" customWidth="1"/>
    <col min="2" max="8" width="18.7109375" bestFit="1" customWidth="1"/>
    <col min="9" max="9" width="19.7109375" bestFit="1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73</v>
      </c>
    </row>
    <row r="2" spans="1:9" x14ac:dyDescent="0.25">
      <c r="A2">
        <v>777</v>
      </c>
      <c r="B2">
        <v>0.72950819672131095</v>
      </c>
      <c r="C2">
        <v>0.72848360655737698</v>
      </c>
      <c r="D2">
        <v>0.73053278688524503</v>
      </c>
      <c r="E2">
        <v>0.73258196721311397</v>
      </c>
      <c r="F2">
        <v>0.72643442622950805</v>
      </c>
      <c r="G2">
        <v>0.50819672131147497</v>
      </c>
      <c r="H2">
        <v>0.56352459016393397</v>
      </c>
      <c r="I2">
        <v>0.41086065573770397</v>
      </c>
    </row>
    <row r="3" spans="1:9" x14ac:dyDescent="0.25">
      <c r="A3">
        <v>45116</v>
      </c>
      <c r="B3">
        <v>0.72950819672131095</v>
      </c>
      <c r="C3">
        <v>0.73360655737704905</v>
      </c>
      <c r="D3">
        <v>0.73770491803278604</v>
      </c>
      <c r="E3">
        <v>0.73565573770491799</v>
      </c>
      <c r="F3">
        <v>0.72643442622950805</v>
      </c>
      <c r="G3">
        <v>0.62192622950819598</v>
      </c>
      <c r="H3">
        <v>0.37090163934426201</v>
      </c>
      <c r="I3">
        <v>0.42725409836065498</v>
      </c>
    </row>
    <row r="4" spans="1:9" x14ac:dyDescent="0.25">
      <c r="A4">
        <v>4403</v>
      </c>
      <c r="B4">
        <v>0.72950819672131095</v>
      </c>
      <c r="C4">
        <v>0.73155737704918</v>
      </c>
      <c r="D4">
        <v>0.73565573770491799</v>
      </c>
      <c r="E4">
        <v>0.73668032786885196</v>
      </c>
      <c r="F4">
        <v>0.72643442622950805</v>
      </c>
      <c r="G4">
        <v>0.72950819672131095</v>
      </c>
      <c r="H4">
        <v>0.55840163934426201</v>
      </c>
      <c r="I4">
        <v>0.51331967213114704</v>
      </c>
    </row>
    <row r="5" spans="1:9" x14ac:dyDescent="0.25">
      <c r="A5">
        <v>92879</v>
      </c>
      <c r="B5">
        <v>0.72950819672131095</v>
      </c>
      <c r="C5">
        <v>0.74692622950819598</v>
      </c>
      <c r="D5">
        <v>0.73872950819672101</v>
      </c>
      <c r="E5">
        <v>0.73770491803278604</v>
      </c>
      <c r="F5">
        <v>0.72643442622950805</v>
      </c>
      <c r="G5">
        <v>0.61577868852458995</v>
      </c>
      <c r="H5">
        <v>0.70081967213114704</v>
      </c>
      <c r="I5">
        <v>0.72540983606557297</v>
      </c>
    </row>
    <row r="6" spans="1:9" x14ac:dyDescent="0.25">
      <c r="A6">
        <v>34770</v>
      </c>
      <c r="B6">
        <v>0.72950819672131095</v>
      </c>
      <c r="C6">
        <v>0.72848360655737698</v>
      </c>
      <c r="D6">
        <v>0.73565573770491799</v>
      </c>
      <c r="E6">
        <v>0.73770491803278604</v>
      </c>
      <c r="F6">
        <v>0.72643442622950805</v>
      </c>
      <c r="G6">
        <v>0.72336065573770403</v>
      </c>
      <c r="H6">
        <v>0.65061475409836</v>
      </c>
      <c r="I6">
        <v>0.455942622950819</v>
      </c>
    </row>
    <row r="8" spans="1:9" x14ac:dyDescent="0.25">
      <c r="A8" t="s">
        <v>132</v>
      </c>
      <c r="B8">
        <f>AVERAGE(Tabelle_Arrythmia[LOF_AUC])</f>
        <v>0.72950819672131095</v>
      </c>
      <c r="C8">
        <f>AVERAGE(Tabelle_Arrythmia[LOF_50])</f>
        <v>0.73381147540983571</v>
      </c>
      <c r="D8">
        <f>AVERAGE(Tabelle_Arrythmia[LOF_100])</f>
        <v>0.73565573770491755</v>
      </c>
      <c r="E8">
        <f>AVERAGE(Tabelle_Arrythmia[LOF_500])</f>
        <v>0.73606557377049131</v>
      </c>
      <c r="F8">
        <f>AVERAGE(Tabelle_Arrythmia[KNN_AUC])</f>
        <v>0.72643442622950805</v>
      </c>
      <c r="G8">
        <f>AVERAGE(Tabelle_Arrythmia[MO_GAAL_AUC])</f>
        <v>0.63975409836065522</v>
      </c>
      <c r="H8">
        <f>AVERAGE(Tabelle_Arrythmia[AnoGAN_AUC])</f>
        <v>0.56885245901639292</v>
      </c>
      <c r="I8">
        <f>AVERAGE(Tabelle_Arrythmia[Deep_SVDD_AUC])</f>
        <v>0.50655737704917958</v>
      </c>
    </row>
    <row r="9" spans="1:9" x14ac:dyDescent="0.25">
      <c r="A9" t="s">
        <v>133</v>
      </c>
      <c r="B9">
        <f>MEDIAN(Tabelle_Arrythmia[LOF_AUC])</f>
        <v>0.72950819672131095</v>
      </c>
      <c r="C9">
        <f>MEDIAN(Tabelle_Arrythmia[LOF_50])</f>
        <v>0.73155737704918</v>
      </c>
      <c r="D9">
        <f>MEDIAN(Tabelle_Arrythmia[LOF_100])</f>
        <v>0.73565573770491799</v>
      </c>
      <c r="E9">
        <f>MEDIAN(Tabelle_Arrythmia[LOF_500])</f>
        <v>0.73668032786885196</v>
      </c>
      <c r="F9">
        <f>MEDIAN(Tabelle_Arrythmia[KNN_AUC])</f>
        <v>0.72643442622950805</v>
      </c>
      <c r="G9">
        <f>MEDIAN(Tabelle_Arrythmia[MO_GAAL_AUC])</f>
        <v>0.62192622950819598</v>
      </c>
      <c r="H9">
        <f>MEDIAN(Tabelle_Arrythmia[AnoGAN_AUC])</f>
        <v>0.56352459016393397</v>
      </c>
      <c r="I9">
        <f>MEDIAN(Tabelle_Arrythmia[Deep_SVDD_AUC])</f>
        <v>0.455942622950819</v>
      </c>
    </row>
    <row r="10" spans="1:9" x14ac:dyDescent="0.25">
      <c r="A10" t="s">
        <v>134</v>
      </c>
      <c r="B10">
        <f>_xlfn.STDEV.S(Tabelle_Arrythmia[LOF_AUC])</f>
        <v>0</v>
      </c>
      <c r="C10">
        <f>_xlfn.STDEV.S(Tabelle_Arrythmia[LOF_50])</f>
        <v>7.6467656381330462E-3</v>
      </c>
      <c r="D10">
        <f>_xlfn.STDEV.S(Tabelle_Arrythmia[LOF_100])</f>
        <v>3.1579989769309692E-3</v>
      </c>
      <c r="E10">
        <f>_xlfn.STDEV.S(Tabelle_Arrythmia[LOF_500])</f>
        <v>2.1246353845622268E-3</v>
      </c>
      <c r="F10">
        <f>_xlfn.STDEV.S(Tabelle_Arrythmia[KNN_AUC])</f>
        <v>0</v>
      </c>
      <c r="G10">
        <f>_xlfn.STDEV.S(Tabelle_Arrythmia[MO_GAAL_AUC])</f>
        <v>9.1167224441769723E-2</v>
      </c>
      <c r="H10">
        <f>_xlfn.STDEV.S(Tabelle_Arrythmia[AnoGAN_AUC])</f>
        <v>0.12591917155614465</v>
      </c>
      <c r="I10">
        <f>_xlfn.STDEV.S(Tabelle_Arrythmia[Deep_SVDD_AUC])</f>
        <v>0.12840449102859636</v>
      </c>
    </row>
  </sheetData>
  <conditionalFormatting sqref="B2:I6">
    <cfRule type="expression" dxfId="2" priority="1">
      <formula>B2=MAX($B2:$I2)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8EA0B-F2CE-4ED2-97FA-905DCA7505CD}">
  <dimension ref="A1:J111"/>
  <sheetViews>
    <sheetView topLeftCell="A60" workbookViewId="0">
      <selection activeCell="C111" sqref="A72:C111"/>
    </sheetView>
  </sheetViews>
  <sheetFormatPr baseColWidth="10" defaultRowHeight="15" x14ac:dyDescent="0.25"/>
  <cols>
    <col min="1" max="2" width="7.7109375" bestFit="1" customWidth="1"/>
    <col min="3" max="7" width="18.7109375" bestFit="1" customWidth="1"/>
    <col min="8" max="8" width="20.7109375" bestFit="1" customWidth="1"/>
    <col min="9" max="9" width="19.7109375" bestFit="1" customWidth="1"/>
    <col min="10" max="10" width="18.7109375" bestFit="1" customWidth="1"/>
    <col min="11" max="12" width="11.140625" bestFit="1" customWidth="1"/>
    <col min="13" max="17" width="18.7109375" bestFit="1" customWidth="1"/>
    <col min="18" max="18" width="20.7109375" bestFit="1" customWidth="1"/>
    <col min="19" max="19" width="19.7109375" bestFit="1" customWidth="1"/>
    <col min="20" max="20" width="18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777</v>
      </c>
      <c r="B2">
        <v>9</v>
      </c>
      <c r="C2">
        <v>0.97799766666666599</v>
      </c>
      <c r="D2">
        <v>0.97879511111111095</v>
      </c>
      <c r="E2">
        <v>0.97858911111111102</v>
      </c>
      <c r="F2">
        <v>0.978498444444444</v>
      </c>
      <c r="G2">
        <v>0.96541199999999905</v>
      </c>
      <c r="H2">
        <v>2.7169222222222199E-2</v>
      </c>
      <c r="I2">
        <v>0.34023727777777701</v>
      </c>
      <c r="J2">
        <v>0.91326083333333297</v>
      </c>
    </row>
    <row r="3" spans="1:10" x14ac:dyDescent="0.25">
      <c r="A3">
        <v>45116</v>
      </c>
      <c r="B3">
        <v>9</v>
      </c>
      <c r="C3">
        <v>0.97799766666666599</v>
      </c>
      <c r="D3">
        <v>0.97873522222222198</v>
      </c>
      <c r="E3">
        <v>0.97887255555555497</v>
      </c>
      <c r="F3">
        <v>0.97862488888888799</v>
      </c>
      <c r="G3">
        <v>0.96541199999999905</v>
      </c>
      <c r="H3">
        <v>1.7615666666666599E-2</v>
      </c>
      <c r="I3">
        <v>0.24502016666666601</v>
      </c>
      <c r="J3">
        <v>0.90910688888888802</v>
      </c>
    </row>
    <row r="4" spans="1:10" x14ac:dyDescent="0.25">
      <c r="A4">
        <v>4403</v>
      </c>
      <c r="B4">
        <v>9</v>
      </c>
      <c r="C4">
        <v>0.97799766666666599</v>
      </c>
      <c r="D4">
        <v>0.97855922222222202</v>
      </c>
      <c r="E4">
        <v>0.97861655555555505</v>
      </c>
      <c r="F4">
        <v>0.97852644444444403</v>
      </c>
      <c r="G4">
        <v>0.96541199999999905</v>
      </c>
      <c r="H4">
        <v>2.27993888888888E-2</v>
      </c>
      <c r="I4">
        <v>0.32052466666666601</v>
      </c>
      <c r="J4">
        <v>0.89205077777777697</v>
      </c>
    </row>
    <row r="5" spans="1:10" x14ac:dyDescent="0.25">
      <c r="A5">
        <v>92879</v>
      </c>
      <c r="B5">
        <v>9</v>
      </c>
      <c r="C5">
        <v>0.97799766666666599</v>
      </c>
      <c r="D5">
        <v>0.97914622222222203</v>
      </c>
      <c r="E5">
        <v>0.97895988888888796</v>
      </c>
      <c r="F5">
        <v>0.97863066666666598</v>
      </c>
      <c r="G5">
        <v>0.96541199999999905</v>
      </c>
      <c r="H5">
        <v>2.58633888888888E-2</v>
      </c>
      <c r="I5">
        <v>0.27664022222222201</v>
      </c>
      <c r="J5">
        <v>0.86748466666666602</v>
      </c>
    </row>
    <row r="6" spans="1:10" x14ac:dyDescent="0.25">
      <c r="A6">
        <v>34770</v>
      </c>
      <c r="B6">
        <v>9</v>
      </c>
      <c r="C6">
        <v>0.97799766666666599</v>
      </c>
      <c r="D6">
        <v>0.97864588888888804</v>
      </c>
      <c r="E6">
        <v>0.97853199999999996</v>
      </c>
      <c r="F6">
        <v>0.97845622222222195</v>
      </c>
      <c r="G6">
        <v>0.96541199999999905</v>
      </c>
      <c r="H6">
        <v>1.8027666666666602E-2</v>
      </c>
      <c r="I6">
        <v>0.49747538888888798</v>
      </c>
      <c r="J6">
        <v>0.90986216666666597</v>
      </c>
    </row>
    <row r="9" spans="1:10" x14ac:dyDescent="0.25">
      <c r="A9">
        <v>777</v>
      </c>
      <c r="B9">
        <v>8</v>
      </c>
      <c r="C9">
        <v>0.81327477777777701</v>
      </c>
      <c r="D9">
        <v>0.81689888888888795</v>
      </c>
      <c r="E9">
        <v>0.81657999999999997</v>
      </c>
      <c r="F9">
        <v>0.81690455555555497</v>
      </c>
      <c r="G9">
        <v>0.87934777777777695</v>
      </c>
      <c r="H9">
        <v>0.28043761111111098</v>
      </c>
      <c r="I9">
        <v>0.376559166666666</v>
      </c>
      <c r="J9">
        <v>0.57126311111111105</v>
      </c>
    </row>
    <row r="10" spans="1:10" x14ac:dyDescent="0.25">
      <c r="A10">
        <v>45116</v>
      </c>
      <c r="B10">
        <v>8</v>
      </c>
      <c r="C10">
        <v>0.81327477777777701</v>
      </c>
      <c r="D10">
        <v>0.81660277777777701</v>
      </c>
      <c r="E10">
        <v>0.81793811111111103</v>
      </c>
      <c r="F10">
        <v>0.81701688888888802</v>
      </c>
      <c r="G10">
        <v>0.87934777777777695</v>
      </c>
      <c r="H10">
        <v>0.27470755555555498</v>
      </c>
      <c r="I10">
        <v>0.363910611111111</v>
      </c>
      <c r="J10">
        <v>0.52633322222222201</v>
      </c>
    </row>
    <row r="11" spans="1:10" x14ac:dyDescent="0.25">
      <c r="A11">
        <v>4403</v>
      </c>
      <c r="B11">
        <v>8</v>
      </c>
      <c r="C11">
        <v>0.81327477777777701</v>
      </c>
      <c r="D11">
        <v>0.81665877777777696</v>
      </c>
      <c r="E11">
        <v>0.81643966666666601</v>
      </c>
      <c r="F11">
        <v>0.81694477777777696</v>
      </c>
      <c r="G11">
        <v>0.87934777777777695</v>
      </c>
      <c r="H11">
        <v>0.25586005555555502</v>
      </c>
      <c r="I11">
        <v>0.35109533333333298</v>
      </c>
      <c r="J11">
        <v>0.60964277777777698</v>
      </c>
    </row>
    <row r="12" spans="1:10" x14ac:dyDescent="0.25">
      <c r="A12">
        <v>92879</v>
      </c>
      <c r="B12">
        <v>8</v>
      </c>
      <c r="C12">
        <v>0.81327477777777701</v>
      </c>
      <c r="D12">
        <v>0.81847911111111105</v>
      </c>
      <c r="E12">
        <v>0.81713422222222198</v>
      </c>
      <c r="F12">
        <v>0.81704888888888805</v>
      </c>
      <c r="G12">
        <v>0.87934777777777695</v>
      </c>
      <c r="H12">
        <v>0.27711911111111098</v>
      </c>
      <c r="I12">
        <v>0.453483722222222</v>
      </c>
      <c r="J12">
        <v>0.51311633333333295</v>
      </c>
    </row>
    <row r="13" spans="1:10" x14ac:dyDescent="0.25">
      <c r="A13">
        <v>34770</v>
      </c>
      <c r="B13">
        <v>8</v>
      </c>
      <c r="C13">
        <v>0.81327477777777701</v>
      </c>
      <c r="D13">
        <v>0.818970444444444</v>
      </c>
      <c r="E13">
        <v>0.81811244444444398</v>
      </c>
      <c r="F13">
        <v>0.817465555555555</v>
      </c>
      <c r="G13">
        <v>0.87934777777777695</v>
      </c>
      <c r="H13">
        <v>0.275903055555555</v>
      </c>
      <c r="I13">
        <v>0.40832738888888798</v>
      </c>
      <c r="J13">
        <v>0.58399788888888804</v>
      </c>
    </row>
    <row r="16" spans="1:10" x14ac:dyDescent="0.25">
      <c r="A16">
        <v>777</v>
      </c>
      <c r="B16">
        <v>7</v>
      </c>
      <c r="C16">
        <v>0.96752133333333301</v>
      </c>
      <c r="D16">
        <v>0.96773022222222205</v>
      </c>
      <c r="E16">
        <v>0.96773222222222199</v>
      </c>
      <c r="F16">
        <v>0.967925777777777</v>
      </c>
      <c r="G16">
        <v>0.98460966666666605</v>
      </c>
      <c r="H16">
        <v>0.13231399999999999</v>
      </c>
      <c r="I16">
        <v>0.46285399999999999</v>
      </c>
      <c r="J16">
        <v>0.950088222222222</v>
      </c>
    </row>
    <row r="17" spans="1:10" x14ac:dyDescent="0.25">
      <c r="A17">
        <v>45116</v>
      </c>
      <c r="B17">
        <v>7</v>
      </c>
      <c r="C17">
        <v>0.96752133333333301</v>
      </c>
      <c r="D17">
        <v>0.96784233333333303</v>
      </c>
      <c r="E17">
        <v>0.96793155555555499</v>
      </c>
      <c r="F17">
        <v>0.96790488888888804</v>
      </c>
      <c r="G17">
        <v>0.98460966666666605</v>
      </c>
      <c r="H17">
        <v>0.103258444444444</v>
      </c>
      <c r="I17">
        <v>0.49508566666666598</v>
      </c>
      <c r="J17">
        <v>0.93775772222222198</v>
      </c>
    </row>
    <row r="18" spans="1:10" x14ac:dyDescent="0.25">
      <c r="A18">
        <v>4403</v>
      </c>
      <c r="B18">
        <v>7</v>
      </c>
      <c r="C18">
        <v>0.96752133333333301</v>
      </c>
      <c r="D18">
        <v>0.96784966666666605</v>
      </c>
      <c r="E18">
        <v>0.96782244444444399</v>
      </c>
      <c r="F18">
        <v>0.96793355555555505</v>
      </c>
      <c r="G18">
        <v>0.98460966666666605</v>
      </c>
      <c r="H18">
        <v>0.102373055555555</v>
      </c>
      <c r="I18">
        <v>0.82522944444444402</v>
      </c>
      <c r="J18">
        <v>0.94551188888888804</v>
      </c>
    </row>
    <row r="19" spans="1:10" x14ac:dyDescent="0.25">
      <c r="A19">
        <v>92879</v>
      </c>
      <c r="B19">
        <v>7</v>
      </c>
      <c r="C19">
        <v>0.96752133333333301</v>
      </c>
      <c r="D19">
        <v>0.96828422222222199</v>
      </c>
      <c r="E19">
        <v>0.96815733333333298</v>
      </c>
      <c r="F19">
        <v>0.96790688888888898</v>
      </c>
      <c r="G19">
        <v>0.98460966666666605</v>
      </c>
      <c r="H19">
        <v>9.4635722222222204E-2</v>
      </c>
      <c r="I19">
        <v>0.49738027777777699</v>
      </c>
      <c r="J19">
        <v>0.94498544444444399</v>
      </c>
    </row>
    <row r="20" spans="1:10" x14ac:dyDescent="0.25">
      <c r="A20">
        <v>34770</v>
      </c>
      <c r="B20">
        <v>7</v>
      </c>
      <c r="C20">
        <v>0.96752133333333301</v>
      </c>
      <c r="D20">
        <v>0.96797822222222196</v>
      </c>
      <c r="E20">
        <v>0.96789455555555504</v>
      </c>
      <c r="F20">
        <v>0.96792255555555495</v>
      </c>
      <c r="G20">
        <v>0.98460966666666605</v>
      </c>
      <c r="H20">
        <v>0.116517999999999</v>
      </c>
      <c r="I20">
        <v>0.83125599999999999</v>
      </c>
      <c r="J20">
        <v>0.94559527777777697</v>
      </c>
    </row>
    <row r="23" spans="1:10" x14ac:dyDescent="0.25">
      <c r="A23">
        <v>777</v>
      </c>
      <c r="B23">
        <v>6</v>
      </c>
      <c r="C23">
        <v>0.80383455555555505</v>
      </c>
      <c r="D23">
        <v>0.805836555555555</v>
      </c>
      <c r="E23">
        <v>0.80588788888888896</v>
      </c>
      <c r="F23">
        <v>0.805593</v>
      </c>
      <c r="G23">
        <v>0.82768255555555503</v>
      </c>
      <c r="H23">
        <v>0.33683766666666598</v>
      </c>
      <c r="I23">
        <v>0.66235888888888805</v>
      </c>
      <c r="J23">
        <v>0.61959377777777702</v>
      </c>
    </row>
    <row r="24" spans="1:10" x14ac:dyDescent="0.25">
      <c r="A24">
        <v>45116</v>
      </c>
      <c r="B24">
        <v>6</v>
      </c>
      <c r="C24">
        <v>0.80383455555555505</v>
      </c>
      <c r="D24">
        <v>0.80637766666666599</v>
      </c>
      <c r="E24">
        <v>0.80616999999999905</v>
      </c>
      <c r="F24">
        <v>0.80574355555555499</v>
      </c>
      <c r="G24">
        <v>0.82768255555555503</v>
      </c>
      <c r="H24">
        <v>0.358763555555555</v>
      </c>
      <c r="I24">
        <v>0.42648622222222199</v>
      </c>
      <c r="J24">
        <v>0.60535866666666605</v>
      </c>
    </row>
    <row r="25" spans="1:10" x14ac:dyDescent="0.25">
      <c r="A25">
        <v>4403</v>
      </c>
      <c r="B25">
        <v>6</v>
      </c>
      <c r="C25">
        <v>0.80383455555555505</v>
      </c>
      <c r="D25">
        <v>0.80524255555555502</v>
      </c>
      <c r="E25">
        <v>0.80562299999999998</v>
      </c>
      <c r="F25">
        <v>0.80567500000000003</v>
      </c>
      <c r="G25">
        <v>0.82768255555555503</v>
      </c>
      <c r="H25">
        <v>0.32714461111111098</v>
      </c>
      <c r="I25">
        <v>0.37884738888888803</v>
      </c>
      <c r="J25">
        <v>0.55456722222222199</v>
      </c>
    </row>
    <row r="26" spans="1:10" x14ac:dyDescent="0.25">
      <c r="A26">
        <v>92879</v>
      </c>
      <c r="B26">
        <v>6</v>
      </c>
      <c r="C26">
        <v>0.80383455555555505</v>
      </c>
      <c r="D26">
        <v>0.80545377777777705</v>
      </c>
      <c r="E26">
        <v>0.80582899999999902</v>
      </c>
      <c r="F26">
        <v>0.80572722222222204</v>
      </c>
      <c r="G26">
        <v>0.82768255555555503</v>
      </c>
      <c r="H26">
        <v>0.34495116666666598</v>
      </c>
      <c r="I26">
        <v>0.51745433333333302</v>
      </c>
      <c r="J26">
        <v>0.59362688888888804</v>
      </c>
    </row>
    <row r="27" spans="1:10" x14ac:dyDescent="0.25">
      <c r="A27">
        <v>34770</v>
      </c>
      <c r="B27">
        <v>6</v>
      </c>
      <c r="C27">
        <v>0.80383455555555505</v>
      </c>
      <c r="D27">
        <v>0.80521311111111105</v>
      </c>
      <c r="E27">
        <v>0.80525599999999997</v>
      </c>
      <c r="F27">
        <v>0.80555733333333301</v>
      </c>
      <c r="G27">
        <v>0.82768255555555503</v>
      </c>
      <c r="H27">
        <v>0.33860888888888802</v>
      </c>
      <c r="I27">
        <v>0.41071049999999998</v>
      </c>
      <c r="J27">
        <v>0.64718833333333303</v>
      </c>
    </row>
    <row r="30" spans="1:10" x14ac:dyDescent="0.25">
      <c r="A30">
        <v>777</v>
      </c>
      <c r="B30">
        <v>5</v>
      </c>
      <c r="C30">
        <v>0.89150133333333303</v>
      </c>
      <c r="D30">
        <v>0.89321222222222196</v>
      </c>
      <c r="E30">
        <v>0.89312544444444397</v>
      </c>
      <c r="F30">
        <v>0.89366022222222197</v>
      </c>
      <c r="G30">
        <v>0.90747588888888797</v>
      </c>
      <c r="H30">
        <v>0.64447011111111097</v>
      </c>
      <c r="I30">
        <v>0.88988433333333306</v>
      </c>
      <c r="J30">
        <v>0.85535922222222205</v>
      </c>
    </row>
    <row r="31" spans="1:10" x14ac:dyDescent="0.25">
      <c r="A31">
        <v>45116</v>
      </c>
      <c r="B31">
        <v>5</v>
      </c>
      <c r="C31">
        <v>0.89150133333333303</v>
      </c>
      <c r="D31">
        <v>0.89372077777777703</v>
      </c>
      <c r="E31">
        <v>0.89375466666666603</v>
      </c>
      <c r="F31">
        <v>0.89364433333333304</v>
      </c>
      <c r="G31">
        <v>0.90747588888888797</v>
      </c>
      <c r="H31">
        <v>0.68908461111111097</v>
      </c>
      <c r="I31">
        <v>0.17598333333333299</v>
      </c>
      <c r="J31">
        <v>0.880714</v>
      </c>
    </row>
    <row r="32" spans="1:10" x14ac:dyDescent="0.25">
      <c r="A32">
        <v>4403</v>
      </c>
      <c r="B32">
        <v>5</v>
      </c>
      <c r="C32">
        <v>0.89150133333333303</v>
      </c>
      <c r="D32">
        <v>0.89286955555555503</v>
      </c>
      <c r="E32">
        <v>0.89318933333333295</v>
      </c>
      <c r="F32">
        <v>0.89334433333333296</v>
      </c>
      <c r="G32">
        <v>0.90747588888888797</v>
      </c>
      <c r="H32">
        <v>0.71179916666666598</v>
      </c>
      <c r="I32">
        <v>0.82096866666666601</v>
      </c>
      <c r="J32">
        <v>0.84925016666666597</v>
      </c>
    </row>
    <row r="33" spans="1:10" x14ac:dyDescent="0.25">
      <c r="A33">
        <v>92879</v>
      </c>
      <c r="B33">
        <v>5</v>
      </c>
      <c r="C33">
        <v>0.89150133333333303</v>
      </c>
      <c r="D33">
        <v>0.89339911111111103</v>
      </c>
      <c r="E33">
        <v>0.89374166666666599</v>
      </c>
      <c r="F33">
        <v>0.89348366666666601</v>
      </c>
      <c r="G33">
        <v>0.90747588888888797</v>
      </c>
      <c r="H33">
        <v>0.68153227777777703</v>
      </c>
      <c r="I33">
        <v>0.47433483333333298</v>
      </c>
      <c r="J33">
        <v>0.80623522222222199</v>
      </c>
    </row>
    <row r="34" spans="1:10" x14ac:dyDescent="0.25">
      <c r="A34">
        <v>34770</v>
      </c>
      <c r="B34">
        <v>5</v>
      </c>
      <c r="C34">
        <v>0.89150133333333303</v>
      </c>
      <c r="D34">
        <v>0.892932888888888</v>
      </c>
      <c r="E34">
        <v>0.89310399999999901</v>
      </c>
      <c r="F34">
        <v>0.89310877777777697</v>
      </c>
      <c r="G34">
        <v>0.90747588888888797</v>
      </c>
      <c r="H34">
        <v>0.652212666666666</v>
      </c>
      <c r="I34">
        <v>0.79320933333333299</v>
      </c>
      <c r="J34">
        <v>0.83259899999999998</v>
      </c>
    </row>
    <row r="37" spans="1:10" x14ac:dyDescent="0.25">
      <c r="A37">
        <v>777</v>
      </c>
      <c r="B37">
        <v>4</v>
      </c>
      <c r="C37">
        <v>0.91303022222222197</v>
      </c>
      <c r="D37">
        <v>0.91373944444444399</v>
      </c>
      <c r="E37">
        <v>0.91364366666666597</v>
      </c>
      <c r="F37">
        <v>0.91346711111111101</v>
      </c>
      <c r="G37">
        <v>0.90349166666666603</v>
      </c>
      <c r="H37">
        <v>0.17050605555555501</v>
      </c>
      <c r="I37">
        <v>0.27672744444444403</v>
      </c>
      <c r="J37">
        <v>0.68969388888888805</v>
      </c>
    </row>
    <row r="38" spans="1:10" x14ac:dyDescent="0.25">
      <c r="A38">
        <v>45116</v>
      </c>
      <c r="B38">
        <v>4</v>
      </c>
      <c r="C38">
        <v>0.91303022222222197</v>
      </c>
      <c r="D38">
        <v>0.91372933333333295</v>
      </c>
      <c r="E38">
        <v>0.91382666666666601</v>
      </c>
      <c r="F38">
        <v>0.91356677777777695</v>
      </c>
      <c r="G38">
        <v>0.90349166666666603</v>
      </c>
      <c r="H38">
        <v>0.18756166666666599</v>
      </c>
      <c r="I38">
        <v>0.23677844444444399</v>
      </c>
      <c r="J38">
        <v>0.73795822222222196</v>
      </c>
    </row>
    <row r="39" spans="1:10" x14ac:dyDescent="0.25">
      <c r="A39">
        <v>4403</v>
      </c>
      <c r="B39">
        <v>4</v>
      </c>
      <c r="C39">
        <v>0.91303022222222197</v>
      </c>
      <c r="D39">
        <v>0.91375866666666605</v>
      </c>
      <c r="E39">
        <v>0.91366155555555495</v>
      </c>
      <c r="F39">
        <v>0.91345344444444398</v>
      </c>
      <c r="G39">
        <v>0.90349166666666603</v>
      </c>
      <c r="H39">
        <v>0.16597194444444399</v>
      </c>
      <c r="I39">
        <v>0.23256844444444399</v>
      </c>
      <c r="J39">
        <v>0.69270205555555497</v>
      </c>
    </row>
    <row r="40" spans="1:10" x14ac:dyDescent="0.25">
      <c r="A40">
        <v>92879</v>
      </c>
      <c r="B40">
        <v>4</v>
      </c>
      <c r="C40">
        <v>0.91303022222222197</v>
      </c>
      <c r="D40">
        <v>0.913414888888888</v>
      </c>
      <c r="E40">
        <v>0.91320833333333296</v>
      </c>
      <c r="F40">
        <v>0.91350055555555498</v>
      </c>
      <c r="G40">
        <v>0.90349166666666603</v>
      </c>
      <c r="H40">
        <v>0.148714944444444</v>
      </c>
      <c r="I40">
        <v>0.24036288888888799</v>
      </c>
      <c r="J40">
        <v>0.74394555555555497</v>
      </c>
    </row>
    <row r="41" spans="1:10" x14ac:dyDescent="0.25">
      <c r="A41">
        <v>34770</v>
      </c>
      <c r="B41">
        <v>4</v>
      </c>
      <c r="C41">
        <v>0.91303022222222197</v>
      </c>
      <c r="D41">
        <v>0.91357144444444405</v>
      </c>
      <c r="E41">
        <v>0.91374166666666601</v>
      </c>
      <c r="F41">
        <v>0.91355688888888897</v>
      </c>
      <c r="G41">
        <v>0.90349166666666603</v>
      </c>
      <c r="H41">
        <v>0.17498233333333299</v>
      </c>
      <c r="I41">
        <v>0.26694966666666597</v>
      </c>
      <c r="J41">
        <v>0.71383177777777695</v>
      </c>
    </row>
    <row r="44" spans="1:10" x14ac:dyDescent="0.25">
      <c r="A44">
        <v>777</v>
      </c>
      <c r="B44">
        <v>3</v>
      </c>
      <c r="C44">
        <v>0.901905333333333</v>
      </c>
      <c r="D44">
        <v>0.90206188888888805</v>
      </c>
      <c r="E44">
        <v>0.90241388888888796</v>
      </c>
      <c r="F44">
        <v>0.90246544444444399</v>
      </c>
      <c r="G44">
        <v>0.94027611111111098</v>
      </c>
      <c r="H44">
        <v>0.27280116666666598</v>
      </c>
      <c r="I44">
        <v>0.52048844444444398</v>
      </c>
      <c r="J44">
        <v>0.82985477777777705</v>
      </c>
    </row>
    <row r="45" spans="1:10" x14ac:dyDescent="0.25">
      <c r="A45">
        <v>45116</v>
      </c>
      <c r="B45">
        <v>3</v>
      </c>
      <c r="C45">
        <v>0.901905333333333</v>
      </c>
      <c r="D45">
        <v>0.90296155555555502</v>
      </c>
      <c r="E45">
        <v>0.90262466666666596</v>
      </c>
      <c r="F45">
        <v>0.90257411111111097</v>
      </c>
      <c r="G45">
        <v>0.94027611111111098</v>
      </c>
      <c r="H45">
        <v>0.23814116666666599</v>
      </c>
      <c r="I45">
        <v>0.49802744444444402</v>
      </c>
      <c r="J45">
        <v>0.86494588888888801</v>
      </c>
    </row>
    <row r="46" spans="1:10" x14ac:dyDescent="0.25">
      <c r="A46">
        <v>4403</v>
      </c>
      <c r="B46">
        <v>3</v>
      </c>
      <c r="C46">
        <v>0.901905333333333</v>
      </c>
      <c r="D46">
        <v>0.90243899999999899</v>
      </c>
      <c r="E46">
        <v>0.90272122222222195</v>
      </c>
      <c r="F46">
        <v>0.90242144444444405</v>
      </c>
      <c r="G46">
        <v>0.94027611111111098</v>
      </c>
      <c r="H46">
        <v>0.24125594444444401</v>
      </c>
      <c r="I46">
        <v>0.43706127777777698</v>
      </c>
      <c r="J46">
        <v>0.88836499999999996</v>
      </c>
    </row>
    <row r="47" spans="1:10" x14ac:dyDescent="0.25">
      <c r="A47">
        <v>92879</v>
      </c>
      <c r="B47">
        <v>3</v>
      </c>
      <c r="C47">
        <v>0.901905333333333</v>
      </c>
      <c r="D47">
        <v>0.90160366666666603</v>
      </c>
      <c r="E47">
        <v>0.90170577777777705</v>
      </c>
      <c r="F47">
        <v>0.90237900000000004</v>
      </c>
      <c r="G47">
        <v>0.94027611111111098</v>
      </c>
      <c r="H47">
        <v>0.25284938888888803</v>
      </c>
      <c r="I47">
        <v>0.494404611111111</v>
      </c>
      <c r="J47">
        <v>0.81687688888888799</v>
      </c>
    </row>
    <row r="48" spans="1:10" x14ac:dyDescent="0.25">
      <c r="A48">
        <v>34770</v>
      </c>
      <c r="B48">
        <v>3</v>
      </c>
      <c r="C48">
        <v>0.901905333333333</v>
      </c>
      <c r="D48">
        <v>0.90247544444444405</v>
      </c>
      <c r="E48">
        <v>0.90244144444444396</v>
      </c>
      <c r="F48">
        <v>0.902307444444444</v>
      </c>
      <c r="G48">
        <v>0.94027611111111098</v>
      </c>
      <c r="H48">
        <v>0.26884899999999901</v>
      </c>
      <c r="I48">
        <v>0.57140349999999995</v>
      </c>
      <c r="J48">
        <v>0.84814683333333296</v>
      </c>
    </row>
    <row r="51" spans="1:10" x14ac:dyDescent="0.25">
      <c r="A51">
        <v>777</v>
      </c>
      <c r="B51">
        <v>2</v>
      </c>
      <c r="C51">
        <v>0.85463877777777697</v>
      </c>
      <c r="D51">
        <v>0.85779588888888803</v>
      </c>
      <c r="E51">
        <v>0.85724133333333297</v>
      </c>
      <c r="F51">
        <v>0.857066555555555</v>
      </c>
      <c r="G51">
        <v>0.89499083333333296</v>
      </c>
      <c r="H51">
        <v>0.24233161111111101</v>
      </c>
      <c r="I51">
        <v>0.32292483333333299</v>
      </c>
      <c r="J51">
        <v>0.64570911111111096</v>
      </c>
    </row>
    <row r="52" spans="1:10" x14ac:dyDescent="0.25">
      <c r="A52">
        <v>45116</v>
      </c>
      <c r="B52">
        <v>2</v>
      </c>
      <c r="C52">
        <v>0.85463877777777697</v>
      </c>
      <c r="D52">
        <v>0.85614633333333301</v>
      </c>
      <c r="E52">
        <v>0.85632333333333299</v>
      </c>
      <c r="F52">
        <v>0.857016</v>
      </c>
      <c r="G52">
        <v>0.89499083333333296</v>
      </c>
      <c r="H52">
        <v>0.25489155555555498</v>
      </c>
      <c r="I52">
        <v>0.38501361111111099</v>
      </c>
      <c r="J52">
        <v>0.732639777777777</v>
      </c>
    </row>
    <row r="53" spans="1:10" x14ac:dyDescent="0.25">
      <c r="A53">
        <v>4403</v>
      </c>
      <c r="B53">
        <v>2</v>
      </c>
      <c r="C53">
        <v>0.85463877777777697</v>
      </c>
      <c r="D53">
        <v>0.85743455555555503</v>
      </c>
      <c r="E53">
        <v>0.85717611111111103</v>
      </c>
      <c r="F53">
        <v>0.85673333333333301</v>
      </c>
      <c r="G53">
        <v>0.89499083333333296</v>
      </c>
      <c r="H53">
        <v>0.24799861111111099</v>
      </c>
      <c r="I53">
        <v>0.25782961111111102</v>
      </c>
      <c r="J53">
        <v>0.64010011111111098</v>
      </c>
    </row>
    <row r="54" spans="1:10" x14ac:dyDescent="0.25">
      <c r="A54">
        <v>92879</v>
      </c>
      <c r="B54">
        <v>2</v>
      </c>
      <c r="C54">
        <v>0.85463877777777697</v>
      </c>
      <c r="D54">
        <v>0.85646733333333303</v>
      </c>
      <c r="E54">
        <v>0.85555733333333295</v>
      </c>
      <c r="F54">
        <v>0.85655177777777702</v>
      </c>
      <c r="G54">
        <v>0.89499083333333296</v>
      </c>
      <c r="H54">
        <v>0.24247566666666601</v>
      </c>
      <c r="I54">
        <v>0.35065005555555501</v>
      </c>
      <c r="J54">
        <v>0.79275588888888804</v>
      </c>
    </row>
    <row r="55" spans="1:10" x14ac:dyDescent="0.25">
      <c r="A55">
        <v>34770</v>
      </c>
      <c r="B55">
        <v>2</v>
      </c>
      <c r="C55">
        <v>0.85463877777777697</v>
      </c>
      <c r="D55">
        <v>0.85643044444444405</v>
      </c>
      <c r="E55">
        <v>0.85621166666666604</v>
      </c>
      <c r="F55">
        <v>0.85660266666666596</v>
      </c>
      <c r="G55">
        <v>0.89499083333333296</v>
      </c>
      <c r="H55">
        <v>0.25816083333333301</v>
      </c>
      <c r="I55">
        <v>0.373545666666666</v>
      </c>
      <c r="J55">
        <v>0.66911299999999996</v>
      </c>
    </row>
    <row r="58" spans="1:10" x14ac:dyDescent="0.25">
      <c r="A58">
        <v>777</v>
      </c>
      <c r="B58">
        <v>1</v>
      </c>
      <c r="C58">
        <v>0.95288522222222205</v>
      </c>
      <c r="D58">
        <v>0.95372655555555497</v>
      </c>
      <c r="E58">
        <v>0.95360433333333305</v>
      </c>
      <c r="F58">
        <v>0.95386322222222197</v>
      </c>
      <c r="G58">
        <v>0.98867644444444402</v>
      </c>
      <c r="H58">
        <v>0.27298149999999999</v>
      </c>
      <c r="I58">
        <v>0.44640866666666601</v>
      </c>
      <c r="J58">
        <v>0.944373111111111</v>
      </c>
    </row>
    <row r="59" spans="1:10" x14ac:dyDescent="0.25">
      <c r="A59">
        <v>45116</v>
      </c>
      <c r="B59">
        <v>1</v>
      </c>
      <c r="C59">
        <v>0.95288522222222205</v>
      </c>
      <c r="D59">
        <v>0.95334577777777696</v>
      </c>
      <c r="E59">
        <v>0.95341177777777697</v>
      </c>
      <c r="F59">
        <v>0.95365088888888805</v>
      </c>
      <c r="G59">
        <v>0.98867644444444402</v>
      </c>
      <c r="H59">
        <v>0.276555555555555</v>
      </c>
      <c r="I59">
        <v>0.673332777777777</v>
      </c>
      <c r="J59">
        <v>0.93219933333333305</v>
      </c>
    </row>
    <row r="60" spans="1:10" x14ac:dyDescent="0.25">
      <c r="A60">
        <v>4403</v>
      </c>
      <c r="B60">
        <v>1</v>
      </c>
      <c r="C60">
        <v>0.95288522222222205</v>
      </c>
      <c r="D60">
        <v>0.95376700000000003</v>
      </c>
      <c r="E60">
        <v>0.95360999999999996</v>
      </c>
      <c r="F60">
        <v>0.95347555555555497</v>
      </c>
      <c r="G60">
        <v>0.98867644444444402</v>
      </c>
      <c r="H60">
        <v>0.228160444444444</v>
      </c>
      <c r="I60">
        <v>0.49609983333333302</v>
      </c>
      <c r="J60">
        <v>0.93400066666666604</v>
      </c>
    </row>
    <row r="61" spans="1:10" x14ac:dyDescent="0.25">
      <c r="A61">
        <v>92879</v>
      </c>
      <c r="B61">
        <v>1</v>
      </c>
      <c r="C61">
        <v>0.95288522222222205</v>
      </c>
      <c r="D61">
        <v>0.95372511111111102</v>
      </c>
      <c r="E61">
        <v>0.95322533333333304</v>
      </c>
      <c r="F61">
        <v>0.95358877777777695</v>
      </c>
      <c r="G61">
        <v>0.98867644444444402</v>
      </c>
      <c r="H61">
        <v>0.27209749999999999</v>
      </c>
      <c r="I61">
        <v>0.50308188888888805</v>
      </c>
      <c r="J61">
        <v>0.91542455555555502</v>
      </c>
    </row>
    <row r="62" spans="1:10" x14ac:dyDescent="0.25">
      <c r="A62">
        <v>34770</v>
      </c>
      <c r="B62">
        <v>1</v>
      </c>
      <c r="C62">
        <v>0.95288522222222205</v>
      </c>
      <c r="D62">
        <v>0.95339888888888802</v>
      </c>
      <c r="E62">
        <v>0.95339599999999902</v>
      </c>
      <c r="F62">
        <v>0.95344844444444399</v>
      </c>
      <c r="G62">
        <v>0.98867644444444402</v>
      </c>
      <c r="H62">
        <v>0.24911983333333301</v>
      </c>
      <c r="I62">
        <v>0.87731249999999905</v>
      </c>
      <c r="J62">
        <v>0.95494077777777697</v>
      </c>
    </row>
    <row r="65" spans="1:10" x14ac:dyDescent="0.25">
      <c r="A65">
        <v>777</v>
      </c>
      <c r="B65">
        <v>0</v>
      </c>
      <c r="C65">
        <v>0.82996222222222205</v>
      </c>
      <c r="D65">
        <v>0.83198355555555503</v>
      </c>
      <c r="E65">
        <v>0.83096866666666602</v>
      </c>
      <c r="F65">
        <v>0.83146433333333303</v>
      </c>
      <c r="G65">
        <v>0.91762266666666603</v>
      </c>
      <c r="H65">
        <v>0.27404627777777701</v>
      </c>
      <c r="I65">
        <v>0.422279388888888</v>
      </c>
      <c r="J65">
        <v>0.65135866666666598</v>
      </c>
    </row>
    <row r="66" spans="1:10" x14ac:dyDescent="0.25">
      <c r="A66">
        <v>45116</v>
      </c>
      <c r="B66">
        <v>0</v>
      </c>
      <c r="C66">
        <v>0.82996222222222205</v>
      </c>
      <c r="D66">
        <v>0.83080333333333301</v>
      </c>
      <c r="E66">
        <v>0.83133233333333301</v>
      </c>
      <c r="F66">
        <v>0.83144777777777701</v>
      </c>
      <c r="G66">
        <v>0.91762266666666603</v>
      </c>
      <c r="H66">
        <v>0.27197888888888799</v>
      </c>
      <c r="I66">
        <v>0.42947572222222202</v>
      </c>
      <c r="J66">
        <v>0.72270788888888804</v>
      </c>
    </row>
    <row r="67" spans="1:10" x14ac:dyDescent="0.25">
      <c r="A67">
        <v>4403</v>
      </c>
      <c r="B67">
        <v>0</v>
      </c>
      <c r="C67">
        <v>0.82996222222222205</v>
      </c>
      <c r="D67">
        <v>0.82995922222222196</v>
      </c>
      <c r="E67">
        <v>0.83076855555555496</v>
      </c>
      <c r="F67">
        <v>0.83102933333333295</v>
      </c>
      <c r="G67">
        <v>0.91762266666666603</v>
      </c>
      <c r="H67">
        <v>0.27524361111111101</v>
      </c>
      <c r="I67">
        <v>0.34136233333333299</v>
      </c>
      <c r="J67">
        <v>0.66893855555555504</v>
      </c>
    </row>
    <row r="68" spans="1:10" x14ac:dyDescent="0.25">
      <c r="A68">
        <v>92879</v>
      </c>
      <c r="B68">
        <v>0</v>
      </c>
      <c r="C68">
        <v>0.82996222222222205</v>
      </c>
      <c r="D68">
        <v>0.83043722222222205</v>
      </c>
      <c r="E68">
        <v>0.83007555555555501</v>
      </c>
      <c r="F68">
        <v>0.83083111111111096</v>
      </c>
      <c r="G68">
        <v>0.91762266666666603</v>
      </c>
      <c r="H68">
        <v>0.26211588888888798</v>
      </c>
      <c r="I68">
        <v>0.41788550000000002</v>
      </c>
      <c r="J68">
        <v>0.63722144444444395</v>
      </c>
    </row>
    <row r="69" spans="1:10" x14ac:dyDescent="0.25">
      <c r="A69">
        <v>34770</v>
      </c>
      <c r="B69">
        <v>0</v>
      </c>
      <c r="C69">
        <v>0.82996222222222205</v>
      </c>
      <c r="D69">
        <v>0.829717777777777</v>
      </c>
      <c r="E69">
        <v>0.82994399999999902</v>
      </c>
      <c r="F69">
        <v>0.83052022222222199</v>
      </c>
      <c r="G69">
        <v>0.91762266666666603</v>
      </c>
      <c r="H69">
        <v>0.27216333333333298</v>
      </c>
      <c r="I69">
        <v>0.43315372222222198</v>
      </c>
      <c r="J69">
        <v>0.696265111111111</v>
      </c>
    </row>
    <row r="72" spans="1:10" x14ac:dyDescent="0.25">
      <c r="A72">
        <v>9</v>
      </c>
    </row>
    <row r="73" spans="1:10" x14ac:dyDescent="0.25">
      <c r="B73" t="s">
        <v>132</v>
      </c>
      <c r="C73">
        <f>AVERAGE(C2:C6)</f>
        <v>0.97799766666666588</v>
      </c>
      <c r="D73">
        <f t="shared" ref="D73:J73" si="0">AVERAGE(D2:D6)</f>
        <v>0.97877633333333303</v>
      </c>
      <c r="E73">
        <f t="shared" si="0"/>
        <v>0.97871402222222181</v>
      </c>
      <c r="F73">
        <f t="shared" si="0"/>
        <v>0.97854733333333288</v>
      </c>
      <c r="G73">
        <f t="shared" si="0"/>
        <v>0.96541199999999905</v>
      </c>
      <c r="H73">
        <f t="shared" si="0"/>
        <v>2.2295066666666596E-2</v>
      </c>
      <c r="I73">
        <f t="shared" si="0"/>
        <v>0.33597954444444378</v>
      </c>
      <c r="J73">
        <f t="shared" si="0"/>
        <v>0.89835306666666592</v>
      </c>
    </row>
    <row r="74" spans="1:10" x14ac:dyDescent="0.25">
      <c r="B74" t="s">
        <v>133</v>
      </c>
      <c r="C74">
        <f>MEDIAN(C2:C6)</f>
        <v>0.97799766666666599</v>
      </c>
      <c r="D74">
        <f t="shared" ref="D74:J74" si="1">MEDIAN(D2:D6)</f>
        <v>0.97873522222222198</v>
      </c>
      <c r="E74">
        <f t="shared" si="1"/>
        <v>0.97861655555555505</v>
      </c>
      <c r="F74">
        <f t="shared" si="1"/>
        <v>0.97852644444444403</v>
      </c>
      <c r="G74">
        <f t="shared" si="1"/>
        <v>0.96541199999999905</v>
      </c>
      <c r="H74">
        <f t="shared" si="1"/>
        <v>2.27993888888888E-2</v>
      </c>
      <c r="I74">
        <f t="shared" si="1"/>
        <v>0.32052466666666601</v>
      </c>
      <c r="J74">
        <f t="shared" si="1"/>
        <v>0.90910688888888802</v>
      </c>
    </row>
    <row r="75" spans="1:10" x14ac:dyDescent="0.25">
      <c r="B75" t="s">
        <v>134</v>
      </c>
      <c r="C75">
        <v>0</v>
      </c>
      <c r="D75">
        <f t="shared" ref="D75:J75" si="2">_xlfn.STDEV.S(D2:D6)</f>
        <v>2.2528510057980876E-4</v>
      </c>
      <c r="E75">
        <f t="shared" si="2"/>
        <v>1.8961662751977435E-4</v>
      </c>
      <c r="F75">
        <f t="shared" si="2"/>
        <v>7.7599955453491376E-5</v>
      </c>
      <c r="G75">
        <f t="shared" si="2"/>
        <v>0</v>
      </c>
      <c r="H75">
        <f t="shared" si="2"/>
        <v>4.3832677275403055E-3</v>
      </c>
      <c r="I75">
        <f t="shared" si="2"/>
        <v>9.7637918966712409E-2</v>
      </c>
      <c r="J75">
        <f t="shared" si="2"/>
        <v>1.912408524599252E-2</v>
      </c>
    </row>
    <row r="76" spans="1:10" x14ac:dyDescent="0.25">
      <c r="A76">
        <v>8</v>
      </c>
    </row>
    <row r="77" spans="1:10" x14ac:dyDescent="0.25">
      <c r="B77" t="s">
        <v>132</v>
      </c>
      <c r="C77">
        <f>AVERAGE(C9:C13)</f>
        <v>0.8132747777777769</v>
      </c>
      <c r="D77">
        <f t="shared" ref="D77:J77" si="3">AVERAGE(D9:D13)</f>
        <v>0.81752199999999919</v>
      </c>
      <c r="E77">
        <f t="shared" si="3"/>
        <v>0.81724088888888868</v>
      </c>
      <c r="F77">
        <f t="shared" si="3"/>
        <v>0.81707613333333262</v>
      </c>
      <c r="G77">
        <f t="shared" si="3"/>
        <v>0.87934777777777706</v>
      </c>
      <c r="H77">
        <f t="shared" si="3"/>
        <v>0.27280547777777742</v>
      </c>
      <c r="I77">
        <f t="shared" si="3"/>
        <v>0.39067524444444401</v>
      </c>
      <c r="J77">
        <f t="shared" si="3"/>
        <v>0.56087066666666618</v>
      </c>
    </row>
    <row r="78" spans="1:10" x14ac:dyDescent="0.25">
      <c r="B78" t="s">
        <v>133</v>
      </c>
      <c r="C78">
        <f>MEDIAN(C9:C13)</f>
        <v>0.81327477777777701</v>
      </c>
      <c r="D78">
        <f t="shared" ref="D78:J78" si="4">MEDIAN(D9:D13)</f>
        <v>0.81689888888888795</v>
      </c>
      <c r="E78">
        <f t="shared" si="4"/>
        <v>0.81713422222222198</v>
      </c>
      <c r="F78">
        <f t="shared" si="4"/>
        <v>0.81701688888888802</v>
      </c>
      <c r="G78">
        <f t="shared" si="4"/>
        <v>0.87934777777777695</v>
      </c>
      <c r="H78">
        <f t="shared" si="4"/>
        <v>0.275903055555555</v>
      </c>
      <c r="I78">
        <f t="shared" si="4"/>
        <v>0.376559166666666</v>
      </c>
      <c r="J78">
        <f t="shared" si="4"/>
        <v>0.57126311111111105</v>
      </c>
    </row>
    <row r="79" spans="1:10" x14ac:dyDescent="0.25">
      <c r="B79" t="s">
        <v>134</v>
      </c>
      <c r="C79">
        <f>_xlfn.STDEV.S(C9:C13)</f>
        <v>1.2412670766236366E-16</v>
      </c>
      <c r="D79">
        <f t="shared" ref="D79:J79" si="5">_xlfn.STDEV.S(D9:D13)</f>
        <v>1.11718871986926E-3</v>
      </c>
      <c r="E79">
        <f t="shared" si="5"/>
        <v>7.6417224239659252E-4</v>
      </c>
      <c r="F79">
        <f t="shared" si="5"/>
        <v>2.2505279764630412E-4</v>
      </c>
      <c r="G79">
        <f t="shared" si="5"/>
        <v>1.2412670766236366E-16</v>
      </c>
      <c r="H79">
        <f t="shared" si="5"/>
        <v>9.7110390021319694E-3</v>
      </c>
      <c r="I79">
        <f t="shared" si="5"/>
        <v>4.1044736864513563E-2</v>
      </c>
      <c r="J79">
        <f t="shared" si="5"/>
        <v>4.0295476025062699E-2</v>
      </c>
    </row>
    <row r="80" spans="1:10" x14ac:dyDescent="0.25">
      <c r="A80">
        <v>7</v>
      </c>
    </row>
    <row r="81" spans="1:10" x14ac:dyDescent="0.25">
      <c r="B81" t="s">
        <v>132</v>
      </c>
      <c r="C81">
        <f>AVERAGE(C16:C20)</f>
        <v>0.96752133333333301</v>
      </c>
      <c r="D81">
        <f t="shared" ref="D81:J81" si="6">AVERAGE(D16:D20)</f>
        <v>0.96793693333333297</v>
      </c>
      <c r="E81">
        <f t="shared" si="6"/>
        <v>0.96790762222222182</v>
      </c>
      <c r="F81">
        <f t="shared" si="6"/>
        <v>0.96791873333333278</v>
      </c>
      <c r="G81">
        <f t="shared" si="6"/>
        <v>0.98460966666666605</v>
      </c>
      <c r="H81">
        <f t="shared" si="6"/>
        <v>0.10981984444444404</v>
      </c>
      <c r="I81">
        <f t="shared" si="6"/>
        <v>0.62236107777777738</v>
      </c>
      <c r="J81">
        <f t="shared" si="6"/>
        <v>0.9447877111111106</v>
      </c>
    </row>
    <row r="82" spans="1:10" x14ac:dyDescent="0.25">
      <c r="B82" t="s">
        <v>133</v>
      </c>
      <c r="C82">
        <f>MEDIAN(C16:C20)</f>
        <v>0.96752133333333301</v>
      </c>
      <c r="D82">
        <f t="shared" ref="D82:J82" si="7">MEDIAN(D16:D20)</f>
        <v>0.96784966666666605</v>
      </c>
      <c r="E82">
        <f t="shared" si="7"/>
        <v>0.96789455555555504</v>
      </c>
      <c r="F82">
        <f t="shared" si="7"/>
        <v>0.96792255555555495</v>
      </c>
      <c r="G82">
        <f t="shared" si="7"/>
        <v>0.98460966666666605</v>
      </c>
      <c r="H82">
        <f t="shared" si="7"/>
        <v>0.103258444444444</v>
      </c>
      <c r="I82">
        <f t="shared" si="7"/>
        <v>0.49738027777777699</v>
      </c>
      <c r="J82">
        <f t="shared" si="7"/>
        <v>0.94551188888888804</v>
      </c>
    </row>
    <row r="83" spans="1:10" x14ac:dyDescent="0.25">
      <c r="B83" t="s">
        <v>134</v>
      </c>
      <c r="C83">
        <f>_xlfn.STDEV.S(C16:C20)</f>
        <v>0</v>
      </c>
      <c r="D83">
        <f t="shared" ref="D83:J83" si="8">_xlfn.STDEV.S(D16:D20)</f>
        <v>2.130777201277238E-4</v>
      </c>
      <c r="E83">
        <f t="shared" si="8"/>
        <v>1.5899653696047698E-4</v>
      </c>
      <c r="F83">
        <f t="shared" si="8"/>
        <v>1.2408579270159786E-5</v>
      </c>
      <c r="G83">
        <f t="shared" si="8"/>
        <v>0</v>
      </c>
      <c r="H83">
        <f t="shared" si="8"/>
        <v>1.4831693466855082E-2</v>
      </c>
      <c r="I83">
        <f t="shared" si="8"/>
        <v>0.18845052482520325</v>
      </c>
      <c r="J83">
        <f t="shared" si="8"/>
        <v>4.4365487054398856E-3</v>
      </c>
    </row>
    <row r="84" spans="1:10" x14ac:dyDescent="0.25">
      <c r="A84">
        <v>6</v>
      </c>
    </row>
    <row r="85" spans="1:10" x14ac:dyDescent="0.25">
      <c r="B85" t="s">
        <v>132</v>
      </c>
      <c r="C85">
        <f>AVERAGE(C23:C27)</f>
        <v>0.80383455555555516</v>
      </c>
      <c r="D85">
        <f t="shared" ref="D85:J85" si="9">AVERAGE(D23:D27)</f>
        <v>0.80562473333333284</v>
      </c>
      <c r="E85">
        <f t="shared" si="9"/>
        <v>0.80575317777777733</v>
      </c>
      <c r="F85">
        <f t="shared" si="9"/>
        <v>0.80565922222222197</v>
      </c>
      <c r="G85">
        <f t="shared" si="9"/>
        <v>0.82768255555555503</v>
      </c>
      <c r="H85">
        <f t="shared" si="9"/>
        <v>0.3412611777777772</v>
      </c>
      <c r="I85">
        <f t="shared" si="9"/>
        <v>0.47917146666666621</v>
      </c>
      <c r="J85">
        <f t="shared" si="9"/>
        <v>0.60406697777777718</v>
      </c>
    </row>
    <row r="86" spans="1:10" x14ac:dyDescent="0.25">
      <c r="B86" t="s">
        <v>133</v>
      </c>
      <c r="C86">
        <f>MEDIAN(C23:C27)</f>
        <v>0.80383455555555505</v>
      </c>
      <c r="D86">
        <f t="shared" ref="D86:J86" si="10">MEDIAN(D23:D27)</f>
        <v>0.80545377777777705</v>
      </c>
      <c r="E86">
        <f t="shared" si="10"/>
        <v>0.80582899999999902</v>
      </c>
      <c r="F86">
        <f t="shared" si="10"/>
        <v>0.80567500000000003</v>
      </c>
      <c r="G86">
        <f t="shared" si="10"/>
        <v>0.82768255555555503</v>
      </c>
      <c r="H86">
        <f t="shared" si="10"/>
        <v>0.33860888888888802</v>
      </c>
      <c r="I86">
        <f t="shared" si="10"/>
        <v>0.42648622222222199</v>
      </c>
      <c r="J86">
        <f t="shared" si="10"/>
        <v>0.60535866666666605</v>
      </c>
    </row>
    <row r="87" spans="1:10" x14ac:dyDescent="0.25">
      <c r="B87" t="s">
        <v>134</v>
      </c>
      <c r="C87">
        <v>0</v>
      </c>
      <c r="D87">
        <f t="shared" ref="D87:J87" si="11">_xlfn.STDEV.S(D23:D27)</f>
        <v>4.8900300814532318E-4</v>
      </c>
      <c r="E87">
        <f t="shared" si="11"/>
        <v>3.3976788191355828E-4</v>
      </c>
      <c r="F87">
        <f t="shared" si="11"/>
        <v>8.1779853536374043E-5</v>
      </c>
      <c r="G87">
        <f t="shared" si="11"/>
        <v>0</v>
      </c>
      <c r="H87">
        <f t="shared" si="11"/>
        <v>1.1681489494397257E-2</v>
      </c>
      <c r="I87">
        <f t="shared" si="11"/>
        <v>0.1146197725762306</v>
      </c>
      <c r="J87">
        <f t="shared" si="11"/>
        <v>3.4137305618055024E-2</v>
      </c>
    </row>
    <row r="88" spans="1:10" x14ac:dyDescent="0.25">
      <c r="A88">
        <v>5</v>
      </c>
    </row>
    <row r="89" spans="1:10" x14ac:dyDescent="0.25">
      <c r="B89" t="s">
        <v>132</v>
      </c>
      <c r="C89">
        <f>AVERAGE(C30:C34)</f>
        <v>0.89150133333333303</v>
      </c>
      <c r="D89">
        <f t="shared" ref="D89:J89" si="12">AVERAGE(D30:D34)</f>
        <v>0.89322691111111063</v>
      </c>
      <c r="E89">
        <f t="shared" si="12"/>
        <v>0.89338302222222166</v>
      </c>
      <c r="F89">
        <f t="shared" si="12"/>
        <v>0.89344826666666621</v>
      </c>
      <c r="G89">
        <f t="shared" si="12"/>
        <v>0.90747588888888797</v>
      </c>
      <c r="H89">
        <f t="shared" si="12"/>
        <v>0.6758197666666661</v>
      </c>
      <c r="I89">
        <f t="shared" si="12"/>
        <v>0.63087609999999961</v>
      </c>
      <c r="J89">
        <f t="shared" si="12"/>
        <v>0.84483152222222202</v>
      </c>
    </row>
    <row r="90" spans="1:10" x14ac:dyDescent="0.25">
      <c r="B90" t="s">
        <v>133</v>
      </c>
      <c r="C90">
        <f>MEDIAN(C30:C34)</f>
        <v>0.89150133333333303</v>
      </c>
      <c r="D90">
        <f t="shared" ref="D90:J90" si="13">MEDIAN(D30:D34)</f>
        <v>0.89321222222222196</v>
      </c>
      <c r="E90">
        <f t="shared" si="13"/>
        <v>0.89318933333333295</v>
      </c>
      <c r="F90">
        <f t="shared" si="13"/>
        <v>0.89348366666666601</v>
      </c>
      <c r="G90">
        <f t="shared" si="13"/>
        <v>0.90747588888888797</v>
      </c>
      <c r="H90">
        <f t="shared" si="13"/>
        <v>0.68153227777777703</v>
      </c>
      <c r="I90">
        <f t="shared" si="13"/>
        <v>0.79320933333333299</v>
      </c>
      <c r="J90">
        <f t="shared" si="13"/>
        <v>0.84925016666666597</v>
      </c>
    </row>
    <row r="91" spans="1:10" x14ac:dyDescent="0.25">
      <c r="B91" t="s">
        <v>134</v>
      </c>
      <c r="C91">
        <f>_xlfn.STDEV.S(C30:C34)</f>
        <v>0</v>
      </c>
      <c r="D91">
        <f t="shared" ref="D91:J91" si="14">_xlfn.STDEV.S(D30:D34)</f>
        <v>3.4925812379538569E-4</v>
      </c>
      <c r="E91">
        <f t="shared" si="14"/>
        <v>3.3483597790375289E-4</v>
      </c>
      <c r="F91">
        <f t="shared" si="14"/>
        <v>2.2949689473159834E-4</v>
      </c>
      <c r="G91">
        <f t="shared" si="14"/>
        <v>0</v>
      </c>
      <c r="H91">
        <f t="shared" si="14"/>
        <v>2.7582613090277684E-2</v>
      </c>
      <c r="I91">
        <f t="shared" si="14"/>
        <v>0.30041851008887943</v>
      </c>
      <c r="J91">
        <f t="shared" si="14"/>
        <v>2.7646057906581839E-2</v>
      </c>
    </row>
    <row r="92" spans="1:10" x14ac:dyDescent="0.25">
      <c r="A92">
        <v>4</v>
      </c>
    </row>
    <row r="93" spans="1:10" x14ac:dyDescent="0.25">
      <c r="B93" t="s">
        <v>132</v>
      </c>
      <c r="C93">
        <f>AVERAGE(C37:C41)</f>
        <v>0.91303022222222197</v>
      </c>
      <c r="D93">
        <f t="shared" ref="D93:J93" si="15">AVERAGE(D37:D41)</f>
        <v>0.91364275555555496</v>
      </c>
      <c r="E93">
        <f t="shared" si="15"/>
        <v>0.91361637777777727</v>
      </c>
      <c r="F93">
        <f t="shared" si="15"/>
        <v>0.91350895555555522</v>
      </c>
      <c r="G93">
        <f t="shared" si="15"/>
        <v>0.90349166666666603</v>
      </c>
      <c r="H93">
        <f t="shared" si="15"/>
        <v>0.1695473888888884</v>
      </c>
      <c r="I93">
        <f t="shared" si="15"/>
        <v>0.25067737777777721</v>
      </c>
      <c r="J93">
        <f t="shared" si="15"/>
        <v>0.71562629999999938</v>
      </c>
    </row>
    <row r="94" spans="1:10" x14ac:dyDescent="0.25">
      <c r="B94" t="s">
        <v>133</v>
      </c>
      <c r="C94">
        <f>MEDIAN(C37:C41)</f>
        <v>0.91303022222222197</v>
      </c>
      <c r="D94">
        <f t="shared" ref="D94:J94" si="16">MEDIAN(D37:D41)</f>
        <v>0.91372933333333295</v>
      </c>
      <c r="E94">
        <f t="shared" si="16"/>
        <v>0.91366155555555495</v>
      </c>
      <c r="F94">
        <f t="shared" si="16"/>
        <v>0.91350055555555498</v>
      </c>
      <c r="G94">
        <f t="shared" si="16"/>
        <v>0.90349166666666603</v>
      </c>
      <c r="H94">
        <f t="shared" si="16"/>
        <v>0.17050605555555501</v>
      </c>
      <c r="I94">
        <f t="shared" si="16"/>
        <v>0.24036288888888799</v>
      </c>
      <c r="J94">
        <f t="shared" si="16"/>
        <v>0.71383177777777695</v>
      </c>
    </row>
    <row r="95" spans="1:10" x14ac:dyDescent="0.25">
      <c r="B95" t="s">
        <v>134</v>
      </c>
      <c r="C95">
        <f>_xlfn.STDEV.S(C37:C41)</f>
        <v>0</v>
      </c>
      <c r="D95">
        <f t="shared" ref="D95:J95" si="17">_xlfn.STDEV.S(D37:D41)</f>
        <v>1.477229931868797E-4</v>
      </c>
      <c r="E95">
        <f t="shared" si="17"/>
        <v>2.39376641598869E-4</v>
      </c>
      <c r="F95">
        <f t="shared" si="17"/>
        <v>5.1342026680869811E-5</v>
      </c>
      <c r="G95">
        <f t="shared" si="17"/>
        <v>0</v>
      </c>
      <c r="H95">
        <f t="shared" si="17"/>
        <v>1.4157563449028571E-2</v>
      </c>
      <c r="I95">
        <f t="shared" si="17"/>
        <v>1.9817264281024045E-2</v>
      </c>
      <c r="J95">
        <f t="shared" si="17"/>
        <v>2.5009629269296684E-2</v>
      </c>
    </row>
    <row r="96" spans="1:10" x14ac:dyDescent="0.25">
      <c r="A96">
        <v>3</v>
      </c>
    </row>
    <row r="97" spans="1:10" x14ac:dyDescent="0.25">
      <c r="B97" t="s">
        <v>132</v>
      </c>
      <c r="C97">
        <f>AVERAGE(C44:C48)</f>
        <v>0.901905333333333</v>
      </c>
      <c r="D97">
        <f t="shared" ref="D97:J97" si="18">AVERAGE(D44:D48)</f>
        <v>0.90230831111111043</v>
      </c>
      <c r="E97">
        <f t="shared" si="18"/>
        <v>0.90238139999999945</v>
      </c>
      <c r="F97">
        <f t="shared" si="18"/>
        <v>0.90242948888888874</v>
      </c>
      <c r="G97">
        <f t="shared" si="18"/>
        <v>0.94027611111111098</v>
      </c>
      <c r="H97">
        <f t="shared" si="18"/>
        <v>0.25477933333333258</v>
      </c>
      <c r="I97">
        <f t="shared" si="18"/>
        <v>0.50427705555555524</v>
      </c>
      <c r="J97">
        <f t="shared" si="18"/>
        <v>0.84963787777777733</v>
      </c>
    </row>
    <row r="98" spans="1:10" x14ac:dyDescent="0.25">
      <c r="B98" t="s">
        <v>133</v>
      </c>
      <c r="C98">
        <f>MEDIAN(C44:C48)</f>
        <v>0.901905333333333</v>
      </c>
      <c r="D98">
        <f t="shared" ref="D98:J98" si="19">MEDIAN(D44:D48)</f>
        <v>0.90243899999999899</v>
      </c>
      <c r="E98">
        <f t="shared" si="19"/>
        <v>0.90244144444444396</v>
      </c>
      <c r="F98">
        <f t="shared" si="19"/>
        <v>0.90242144444444405</v>
      </c>
      <c r="G98">
        <f t="shared" si="19"/>
        <v>0.94027611111111098</v>
      </c>
      <c r="H98">
        <f t="shared" si="19"/>
        <v>0.25284938888888803</v>
      </c>
      <c r="I98">
        <f t="shared" si="19"/>
        <v>0.49802744444444402</v>
      </c>
      <c r="J98">
        <f t="shared" si="19"/>
        <v>0.84814683333333296</v>
      </c>
    </row>
    <row r="99" spans="1:10" x14ac:dyDescent="0.25">
      <c r="B99" t="s">
        <v>134</v>
      </c>
      <c r="C99">
        <f>_xlfn.STDEV.S(C44:C48)</f>
        <v>0</v>
      </c>
      <c r="D99">
        <f t="shared" ref="D99:J99" si="20">_xlfn.STDEV.S(D44:D48)</f>
        <v>5.0719551104067115E-4</v>
      </c>
      <c r="E99">
        <f t="shared" si="20"/>
        <v>3.9868034319422808E-4</v>
      </c>
      <c r="F99">
        <f t="shared" si="20"/>
        <v>9.9645718100737509E-5</v>
      </c>
      <c r="G99">
        <f t="shared" si="20"/>
        <v>0</v>
      </c>
      <c r="H99">
        <f t="shared" si="20"/>
        <v>1.5701730154923085E-2</v>
      </c>
      <c r="I99">
        <f t="shared" si="20"/>
        <v>4.8536718713980707E-2</v>
      </c>
      <c r="J99">
        <f t="shared" si="20"/>
        <v>2.8288698502741814E-2</v>
      </c>
    </row>
    <row r="100" spans="1:10" x14ac:dyDescent="0.25">
      <c r="A100">
        <v>2</v>
      </c>
    </row>
    <row r="101" spans="1:10" x14ac:dyDescent="0.25">
      <c r="B101" t="s">
        <v>132</v>
      </c>
      <c r="C101">
        <f>AVERAGE(C51:C55)</f>
        <v>0.85463877777777708</v>
      </c>
      <c r="D101">
        <f t="shared" ref="D101:J101" si="21">AVERAGE(D51:D55)</f>
        <v>0.85685491111111067</v>
      </c>
      <c r="E101">
        <f t="shared" si="21"/>
        <v>0.85650195555555531</v>
      </c>
      <c r="F101">
        <f t="shared" si="21"/>
        <v>0.85679406666666613</v>
      </c>
      <c r="G101">
        <f t="shared" si="21"/>
        <v>0.89499083333333296</v>
      </c>
      <c r="H101">
        <f t="shared" si="21"/>
        <v>0.2491716555555552</v>
      </c>
      <c r="I101">
        <f t="shared" si="21"/>
        <v>0.33799275555555519</v>
      </c>
      <c r="J101">
        <f t="shared" si="21"/>
        <v>0.69606357777777739</v>
      </c>
    </row>
    <row r="102" spans="1:10" x14ac:dyDescent="0.25">
      <c r="B102" t="s">
        <v>133</v>
      </c>
      <c r="C102">
        <f>MEDIAN(C51:C55)</f>
        <v>0.85463877777777697</v>
      </c>
      <c r="D102">
        <f t="shared" ref="D102:J102" si="22">MEDIAN(D51:D55)</f>
        <v>0.85646733333333303</v>
      </c>
      <c r="E102">
        <f t="shared" si="22"/>
        <v>0.85632333333333299</v>
      </c>
      <c r="F102">
        <f t="shared" si="22"/>
        <v>0.85673333333333301</v>
      </c>
      <c r="G102">
        <f t="shared" si="22"/>
        <v>0.89499083333333296</v>
      </c>
      <c r="H102">
        <f t="shared" si="22"/>
        <v>0.24799861111111099</v>
      </c>
      <c r="I102">
        <f t="shared" si="22"/>
        <v>0.35065005555555501</v>
      </c>
      <c r="J102">
        <f t="shared" si="22"/>
        <v>0.66911299999999996</v>
      </c>
    </row>
    <row r="103" spans="1:10" x14ac:dyDescent="0.25">
      <c r="B103" t="s">
        <v>134</v>
      </c>
      <c r="C103">
        <v>0</v>
      </c>
      <c r="D103">
        <f t="shared" ref="D103:J103" si="23">_xlfn.STDEV.S(D51:D55)</f>
        <v>7.1657131751565401E-4</v>
      </c>
      <c r="E103">
        <f t="shared" si="23"/>
        <v>7.0881060435044722E-4</v>
      </c>
      <c r="F103">
        <f t="shared" si="23"/>
        <v>2.3586595900506083E-4</v>
      </c>
      <c r="G103">
        <f t="shared" si="23"/>
        <v>0</v>
      </c>
      <c r="H103">
        <f t="shared" si="23"/>
        <v>7.1854206836001024E-3</v>
      </c>
      <c r="I103">
        <f t="shared" si="23"/>
        <v>5.0715750995762365E-2</v>
      </c>
      <c r="J103">
        <f t="shared" si="23"/>
        <v>6.5347220659411592E-2</v>
      </c>
    </row>
    <row r="104" spans="1:10" x14ac:dyDescent="0.25">
      <c r="A104">
        <v>1</v>
      </c>
    </row>
    <row r="105" spans="1:10" x14ac:dyDescent="0.25">
      <c r="B105" t="s">
        <v>132</v>
      </c>
      <c r="C105">
        <f>AVERAGE(C58:C62)</f>
        <v>0.95288522222222194</v>
      </c>
      <c r="D105">
        <f t="shared" ref="D105:J105" si="24">AVERAGE(D58:D62)</f>
        <v>0.95359266666666609</v>
      </c>
      <c r="E105">
        <f t="shared" si="24"/>
        <v>0.95344948888888847</v>
      </c>
      <c r="F105">
        <f t="shared" si="24"/>
        <v>0.95360537777777721</v>
      </c>
      <c r="G105">
        <f t="shared" si="24"/>
        <v>0.98867644444444402</v>
      </c>
      <c r="H105">
        <f t="shared" si="24"/>
        <v>0.25978296666666645</v>
      </c>
      <c r="I105">
        <f t="shared" si="24"/>
        <v>0.59924713333333268</v>
      </c>
      <c r="J105">
        <f t="shared" si="24"/>
        <v>0.93618768888888848</v>
      </c>
    </row>
    <row r="106" spans="1:10" x14ac:dyDescent="0.25">
      <c r="B106" t="s">
        <v>133</v>
      </c>
      <c r="C106">
        <f>MEDIAN(C58:C62)</f>
        <v>0.95288522222222205</v>
      </c>
      <c r="D106">
        <f t="shared" ref="D106:J106" si="25">MEDIAN(D58:D62)</f>
        <v>0.95372511111111102</v>
      </c>
      <c r="E106">
        <f t="shared" si="25"/>
        <v>0.95341177777777697</v>
      </c>
      <c r="F106">
        <f t="shared" si="25"/>
        <v>0.95358877777777695</v>
      </c>
      <c r="G106">
        <f t="shared" si="25"/>
        <v>0.98867644444444402</v>
      </c>
      <c r="H106">
        <f t="shared" si="25"/>
        <v>0.27209749999999999</v>
      </c>
      <c r="I106">
        <f t="shared" si="25"/>
        <v>0.50308188888888805</v>
      </c>
      <c r="J106">
        <f t="shared" si="25"/>
        <v>0.93400066666666604</v>
      </c>
    </row>
    <row r="107" spans="1:10" x14ac:dyDescent="0.25">
      <c r="B107" t="s">
        <v>134</v>
      </c>
      <c r="C107">
        <v>0</v>
      </c>
      <c r="D107">
        <f t="shared" ref="D107:J107" si="26">_xlfn.STDEV.S(D58:D62)</f>
        <v>2.0270904466813104E-4</v>
      </c>
      <c r="E107">
        <f t="shared" si="26"/>
        <v>1.6145395704956659E-4</v>
      </c>
      <c r="F107">
        <f t="shared" si="26"/>
        <v>1.6606659752895715E-4</v>
      </c>
      <c r="G107">
        <f t="shared" si="26"/>
        <v>0</v>
      </c>
      <c r="H107">
        <f t="shared" si="26"/>
        <v>2.0741595138657771E-2</v>
      </c>
      <c r="I107">
        <f t="shared" si="26"/>
        <v>0.17752165183547611</v>
      </c>
      <c r="J107">
        <f t="shared" si="26"/>
        <v>1.4751925568264088E-2</v>
      </c>
    </row>
    <row r="108" spans="1:10" x14ac:dyDescent="0.25">
      <c r="A108">
        <v>0</v>
      </c>
    </row>
    <row r="109" spans="1:10" x14ac:dyDescent="0.25">
      <c r="B109" t="s">
        <v>132</v>
      </c>
      <c r="C109">
        <f>AVERAGE(C65:C69)</f>
        <v>0.82996222222222205</v>
      </c>
      <c r="D109">
        <f t="shared" ref="D109:J109" si="27">AVERAGE(D65:D69)</f>
        <v>0.83058022222222172</v>
      </c>
      <c r="E109">
        <f t="shared" si="27"/>
        <v>0.83061782222222169</v>
      </c>
      <c r="F109">
        <f t="shared" si="27"/>
        <v>0.83105855555555519</v>
      </c>
      <c r="G109">
        <f t="shared" si="27"/>
        <v>0.91762266666666614</v>
      </c>
      <c r="H109">
        <f t="shared" si="27"/>
        <v>0.2711095999999994</v>
      </c>
      <c r="I109">
        <f t="shared" si="27"/>
        <v>0.40883133333333299</v>
      </c>
      <c r="J109">
        <f t="shared" si="27"/>
        <v>0.67529833333333278</v>
      </c>
    </row>
    <row r="110" spans="1:10" x14ac:dyDescent="0.25">
      <c r="B110" t="s">
        <v>133</v>
      </c>
      <c r="C110">
        <f>MEDIAN(C65:C69)</f>
        <v>0.82996222222222205</v>
      </c>
      <c r="D110">
        <f t="shared" ref="D110:J110" si="28">MEDIAN(D65:D69)</f>
        <v>0.83043722222222205</v>
      </c>
      <c r="E110">
        <f t="shared" si="28"/>
        <v>0.83076855555555496</v>
      </c>
      <c r="F110">
        <f t="shared" si="28"/>
        <v>0.83102933333333295</v>
      </c>
      <c r="G110">
        <f t="shared" si="28"/>
        <v>0.91762266666666603</v>
      </c>
      <c r="H110">
        <f t="shared" si="28"/>
        <v>0.27216333333333298</v>
      </c>
      <c r="I110">
        <f t="shared" si="28"/>
        <v>0.422279388888888</v>
      </c>
      <c r="J110">
        <f t="shared" si="28"/>
        <v>0.66893855555555504</v>
      </c>
    </row>
    <row r="111" spans="1:10" x14ac:dyDescent="0.25">
      <c r="B111" t="s">
        <v>134</v>
      </c>
      <c r="C111">
        <f>_xlfn.STDEV.S(C65:C69)</f>
        <v>0</v>
      </c>
      <c r="D111">
        <f t="shared" ref="D111:J111" si="29">_xlfn.STDEV.S(D65:D69)</f>
        <v>8.9008755638123451E-4</v>
      </c>
      <c r="E111">
        <f t="shared" si="29"/>
        <v>5.9254282858195819E-4</v>
      </c>
      <c r="F111">
        <f t="shared" si="29"/>
        <v>4.0575153560011009E-4</v>
      </c>
      <c r="G111">
        <v>0</v>
      </c>
      <c r="H111">
        <f t="shared" si="29"/>
        <v>5.2073741198789322E-3</v>
      </c>
      <c r="I111">
        <f t="shared" si="29"/>
        <v>3.8185938141910021E-2</v>
      </c>
      <c r="J111">
        <f t="shared" si="29"/>
        <v>3.4462572485627917E-2</v>
      </c>
    </row>
  </sheetData>
  <conditionalFormatting sqref="C2:J69">
    <cfRule type="expression" dxfId="1" priority="1">
      <formula>C2=MAX($C2:$J2)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940F-B4D6-41E5-A124-BC142EFBCEFB}">
  <dimension ref="A1:L111"/>
  <sheetViews>
    <sheetView tabSelected="1" topLeftCell="A70" workbookViewId="0">
      <selection activeCell="L110" sqref="L110"/>
    </sheetView>
  </sheetViews>
  <sheetFormatPr baseColWidth="10" defaultRowHeight="15" x14ac:dyDescent="0.25"/>
  <cols>
    <col min="1" max="2" width="7.7109375" bestFit="1" customWidth="1"/>
    <col min="3" max="3" width="18.7109375" bestFit="1" customWidth="1"/>
    <col min="4" max="9" width="19.7109375" bestFit="1" customWidth="1"/>
    <col min="10" max="10" width="18.7109375" bestFit="1" customWidth="1"/>
    <col min="11" max="12" width="11.140625" bestFit="1" customWidth="1"/>
    <col min="13" max="13" width="18.7109375" bestFit="1" customWidth="1"/>
    <col min="14" max="19" width="19.7109375" bestFit="1" customWidth="1"/>
    <col min="20" max="20" width="18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25">
      <c r="A2">
        <v>777</v>
      </c>
      <c r="B2">
        <v>9</v>
      </c>
      <c r="C2" s="5">
        <v>0.40520133333333302</v>
      </c>
      <c r="D2">
        <v>0.40502522222222198</v>
      </c>
      <c r="E2">
        <v>0.405138555555555</v>
      </c>
      <c r="F2">
        <v>0.40516333333333299</v>
      </c>
      <c r="G2">
        <v>0.43255566666666601</v>
      </c>
      <c r="H2">
        <v>0.428419555555555</v>
      </c>
      <c r="I2">
        <v>0.415332166666666</v>
      </c>
      <c r="J2">
        <v>0.48904300000000001</v>
      </c>
    </row>
    <row r="3" spans="1:12" x14ac:dyDescent="0.25">
      <c r="A3">
        <v>45116</v>
      </c>
      <c r="B3">
        <v>9</v>
      </c>
      <c r="C3">
        <v>0.40520133333333302</v>
      </c>
      <c r="D3">
        <v>0.405335555555555</v>
      </c>
      <c r="E3">
        <v>0.40521688888888802</v>
      </c>
      <c r="F3">
        <v>0.40520311111111101</v>
      </c>
      <c r="G3">
        <v>0.43255566666666601</v>
      </c>
      <c r="H3">
        <v>0.42941422222222198</v>
      </c>
      <c r="I3">
        <v>0.448786111111111</v>
      </c>
      <c r="J3">
        <v>0.54332377777777696</v>
      </c>
    </row>
    <row r="4" spans="1:12" x14ac:dyDescent="0.25">
      <c r="A4">
        <v>4403</v>
      </c>
      <c r="B4">
        <v>9</v>
      </c>
      <c r="C4">
        <v>0.40520133333333302</v>
      </c>
      <c r="D4">
        <v>0.40509733333333298</v>
      </c>
      <c r="E4">
        <v>0.40516855555555498</v>
      </c>
      <c r="F4">
        <v>0.40515699999999999</v>
      </c>
      <c r="G4">
        <v>0.43255566666666601</v>
      </c>
      <c r="H4">
        <v>0.436707055555555</v>
      </c>
      <c r="I4">
        <v>0.43893822222222201</v>
      </c>
      <c r="J4">
        <v>0.63279344444444396</v>
      </c>
    </row>
    <row r="5" spans="1:12" x14ac:dyDescent="0.25">
      <c r="A5">
        <v>92879</v>
      </c>
      <c r="B5">
        <v>9</v>
      </c>
      <c r="C5">
        <v>0.40520133333333302</v>
      </c>
      <c r="D5">
        <v>0.40524422222222201</v>
      </c>
      <c r="E5">
        <v>0.40512522222222203</v>
      </c>
      <c r="F5">
        <v>0.40519833333333299</v>
      </c>
      <c r="G5">
        <v>0.43255566666666601</v>
      </c>
      <c r="H5">
        <v>0.39527194444444402</v>
      </c>
      <c r="I5">
        <v>0.44280572222222198</v>
      </c>
      <c r="J5">
        <v>0.64487033333333299</v>
      </c>
    </row>
    <row r="6" spans="1:12" x14ac:dyDescent="0.25">
      <c r="A6">
        <v>34770</v>
      </c>
      <c r="B6">
        <v>9</v>
      </c>
      <c r="C6">
        <v>0.40520133333333302</v>
      </c>
      <c r="D6">
        <v>0.40518111111111099</v>
      </c>
      <c r="E6">
        <v>0.40526677777777698</v>
      </c>
      <c r="F6">
        <v>0.405126222222222</v>
      </c>
      <c r="G6">
        <v>0.43255566666666601</v>
      </c>
      <c r="H6">
        <v>0.39490255555555498</v>
      </c>
      <c r="I6">
        <v>0.42070616666666599</v>
      </c>
      <c r="J6">
        <v>0.58401377777777697</v>
      </c>
    </row>
    <row r="9" spans="1:12" x14ac:dyDescent="0.25">
      <c r="A9">
        <v>777</v>
      </c>
      <c r="B9">
        <v>8</v>
      </c>
      <c r="C9">
        <v>0.68518900000000005</v>
      </c>
      <c r="D9">
        <v>0.68512988888888804</v>
      </c>
      <c r="E9">
        <v>0.68509022222222205</v>
      </c>
      <c r="F9">
        <v>0.68498199999999998</v>
      </c>
      <c r="G9">
        <v>0.688974444444444</v>
      </c>
      <c r="H9">
        <v>0.35392772222222202</v>
      </c>
      <c r="I9">
        <v>0.36267305555555501</v>
      </c>
      <c r="J9">
        <v>0.50444177777777699</v>
      </c>
    </row>
    <row r="10" spans="1:12" x14ac:dyDescent="0.25">
      <c r="A10">
        <v>45116</v>
      </c>
      <c r="B10">
        <v>8</v>
      </c>
      <c r="C10">
        <v>0.68518900000000005</v>
      </c>
      <c r="D10">
        <v>0.68511444444444403</v>
      </c>
      <c r="E10">
        <v>0.68500666666666599</v>
      </c>
      <c r="F10">
        <v>0.685058888888888</v>
      </c>
      <c r="G10">
        <v>0.688974444444444</v>
      </c>
      <c r="H10">
        <v>0.323016111111111</v>
      </c>
      <c r="I10">
        <v>0.36190611111111098</v>
      </c>
      <c r="J10">
        <v>0.49056644444444403</v>
      </c>
    </row>
    <row r="11" spans="1:12" x14ac:dyDescent="0.25">
      <c r="A11">
        <v>4403</v>
      </c>
      <c r="B11">
        <v>8</v>
      </c>
      <c r="C11">
        <v>0.68518900000000005</v>
      </c>
      <c r="D11">
        <v>0.68496255555555496</v>
      </c>
      <c r="E11">
        <v>0.68503888888888798</v>
      </c>
      <c r="F11">
        <v>0.68499777777777704</v>
      </c>
      <c r="G11">
        <v>0.688974444444444</v>
      </c>
      <c r="H11">
        <v>0.34082961111111099</v>
      </c>
      <c r="I11">
        <v>0.37461494444444399</v>
      </c>
      <c r="J11">
        <v>0.487516</v>
      </c>
    </row>
    <row r="12" spans="1:12" x14ac:dyDescent="0.25">
      <c r="A12">
        <v>92879</v>
      </c>
      <c r="B12">
        <v>8</v>
      </c>
      <c r="C12">
        <v>0.68518900000000005</v>
      </c>
      <c r="D12">
        <v>0.68475833333333302</v>
      </c>
      <c r="E12">
        <v>0.68484066666666599</v>
      </c>
      <c r="F12">
        <v>0.68506422222222196</v>
      </c>
      <c r="G12">
        <v>0.688974444444444</v>
      </c>
      <c r="H12">
        <v>0.38059472222222201</v>
      </c>
      <c r="I12">
        <v>0.361604166666666</v>
      </c>
      <c r="J12">
        <v>0.492720555555555</v>
      </c>
      <c r="L12" s="5"/>
    </row>
    <row r="13" spans="1:12" x14ac:dyDescent="0.25">
      <c r="A13">
        <v>34770</v>
      </c>
      <c r="B13">
        <v>8</v>
      </c>
      <c r="C13">
        <v>0.68518900000000005</v>
      </c>
      <c r="D13">
        <v>0.68523000000000001</v>
      </c>
      <c r="E13">
        <v>0.68524755555555505</v>
      </c>
      <c r="F13">
        <v>0.68502377777777701</v>
      </c>
      <c r="G13">
        <v>0.688974444444444</v>
      </c>
      <c r="H13">
        <v>0.35101894444444398</v>
      </c>
      <c r="I13">
        <v>0.3644965</v>
      </c>
      <c r="J13">
        <v>0.52486944444444406</v>
      </c>
    </row>
    <row r="16" spans="1:12" x14ac:dyDescent="0.25">
      <c r="A16">
        <v>777</v>
      </c>
      <c r="B16">
        <v>7</v>
      </c>
      <c r="C16">
        <v>0.517665777777777</v>
      </c>
      <c r="D16">
        <v>0.517685333333333</v>
      </c>
      <c r="E16">
        <v>0.51745133333333304</v>
      </c>
      <c r="F16">
        <v>0.51742422222222195</v>
      </c>
      <c r="G16">
        <v>0.50465244444444401</v>
      </c>
      <c r="H16">
        <v>0.47051483333333299</v>
      </c>
      <c r="I16">
        <v>0.50515727777777697</v>
      </c>
      <c r="J16">
        <v>0.53749177777777701</v>
      </c>
    </row>
    <row r="17" spans="1:10" x14ac:dyDescent="0.25">
      <c r="A17">
        <v>45116</v>
      </c>
      <c r="B17">
        <v>7</v>
      </c>
      <c r="C17">
        <v>0.517665777777777</v>
      </c>
      <c r="D17">
        <v>0.51741377777777697</v>
      </c>
      <c r="E17">
        <v>0.517529111111111</v>
      </c>
      <c r="F17">
        <v>0.51756133333333298</v>
      </c>
      <c r="G17">
        <v>0.50465244444444401</v>
      </c>
      <c r="H17">
        <v>0.47937905555555499</v>
      </c>
      <c r="I17">
        <v>0.48723594444444401</v>
      </c>
      <c r="J17">
        <v>0.55813933333333299</v>
      </c>
    </row>
    <row r="18" spans="1:10" x14ac:dyDescent="0.25">
      <c r="A18">
        <v>4403</v>
      </c>
      <c r="B18">
        <v>7</v>
      </c>
      <c r="C18">
        <v>0.517665777777777</v>
      </c>
      <c r="D18">
        <v>0.51746422222222199</v>
      </c>
      <c r="E18">
        <v>0.51748577777777705</v>
      </c>
      <c r="F18">
        <v>0.51746411111111101</v>
      </c>
      <c r="G18">
        <v>0.50465244444444401</v>
      </c>
      <c r="H18">
        <v>0.47057955555555497</v>
      </c>
      <c r="I18">
        <v>0.49726894444444403</v>
      </c>
      <c r="J18">
        <v>0.53784422222222195</v>
      </c>
    </row>
    <row r="19" spans="1:10" x14ac:dyDescent="0.25">
      <c r="A19">
        <v>92879</v>
      </c>
      <c r="B19">
        <v>7</v>
      </c>
      <c r="C19">
        <v>0.517665777777777</v>
      </c>
      <c r="D19">
        <v>0.51721866666666605</v>
      </c>
      <c r="E19">
        <v>0.51712155555555495</v>
      </c>
      <c r="F19">
        <v>0.51741677777777695</v>
      </c>
      <c r="G19">
        <v>0.50465244444444401</v>
      </c>
      <c r="H19">
        <v>0.46587027777777701</v>
      </c>
      <c r="I19">
        <v>0.50071216666666596</v>
      </c>
      <c r="J19">
        <v>0.54132411111111101</v>
      </c>
    </row>
    <row r="20" spans="1:10" x14ac:dyDescent="0.25">
      <c r="A20">
        <v>34770</v>
      </c>
      <c r="B20">
        <v>7</v>
      </c>
      <c r="C20">
        <v>0.517665777777777</v>
      </c>
      <c r="D20">
        <v>0.517604888888888</v>
      </c>
      <c r="E20">
        <v>0.51760555555555499</v>
      </c>
      <c r="F20">
        <v>0.51747266666666603</v>
      </c>
      <c r="G20">
        <v>0.50465244444444401</v>
      </c>
      <c r="H20">
        <v>0.46794799999999898</v>
      </c>
      <c r="I20">
        <v>0.501196722222222</v>
      </c>
      <c r="J20">
        <v>0.51547733333333301</v>
      </c>
    </row>
    <row r="23" spans="1:10" x14ac:dyDescent="0.25">
      <c r="A23">
        <v>777</v>
      </c>
      <c r="B23">
        <v>6</v>
      </c>
      <c r="C23">
        <v>0.69185177777777696</v>
      </c>
      <c r="D23">
        <v>0.69247133333333299</v>
      </c>
      <c r="E23">
        <v>0.69252122222222201</v>
      </c>
      <c r="F23">
        <v>0.69247866666666602</v>
      </c>
      <c r="G23">
        <v>0.72191899999999998</v>
      </c>
      <c r="H23">
        <v>0.595766388888888</v>
      </c>
      <c r="I23">
        <v>0.656497</v>
      </c>
      <c r="J23">
        <v>0.49039611111111098</v>
      </c>
    </row>
    <row r="24" spans="1:10" x14ac:dyDescent="0.25">
      <c r="A24">
        <v>45116</v>
      </c>
      <c r="B24">
        <v>6</v>
      </c>
      <c r="C24">
        <v>0.69185177777777696</v>
      </c>
      <c r="D24">
        <v>0.69233477777777697</v>
      </c>
      <c r="E24">
        <v>0.69242311111111099</v>
      </c>
      <c r="F24">
        <v>0.69267655555555496</v>
      </c>
      <c r="G24">
        <v>0.72191899999999998</v>
      </c>
      <c r="H24">
        <v>0.49272688888888799</v>
      </c>
      <c r="I24">
        <v>0.64506655555555503</v>
      </c>
      <c r="J24">
        <v>0.50275855555555504</v>
      </c>
    </row>
    <row r="25" spans="1:10" x14ac:dyDescent="0.25">
      <c r="A25">
        <v>4403</v>
      </c>
      <c r="B25">
        <v>6</v>
      </c>
      <c r="C25">
        <v>0.69185177777777696</v>
      </c>
      <c r="D25">
        <v>0.69282899999999903</v>
      </c>
      <c r="E25">
        <v>0.69252688888888803</v>
      </c>
      <c r="F25">
        <v>0.69258811111111096</v>
      </c>
      <c r="G25">
        <v>0.72191899999999998</v>
      </c>
      <c r="H25">
        <v>0.62439500000000003</v>
      </c>
      <c r="I25">
        <v>0.65147911111111101</v>
      </c>
      <c r="J25">
        <v>0.49488355555555502</v>
      </c>
    </row>
    <row r="26" spans="1:10" x14ac:dyDescent="0.25">
      <c r="A26">
        <v>92879</v>
      </c>
      <c r="B26">
        <v>6</v>
      </c>
      <c r="C26">
        <v>0.69185177777777696</v>
      </c>
      <c r="D26">
        <v>0.69258233333333297</v>
      </c>
      <c r="E26">
        <v>0.69264499999999996</v>
      </c>
      <c r="F26">
        <v>0.69274544444444397</v>
      </c>
      <c r="G26">
        <v>0.72191899999999998</v>
      </c>
      <c r="H26">
        <v>0.60652244444444403</v>
      </c>
      <c r="I26">
        <v>0.65660138888888797</v>
      </c>
      <c r="J26">
        <v>0.496808444444444</v>
      </c>
    </row>
    <row r="27" spans="1:10" x14ac:dyDescent="0.25">
      <c r="A27">
        <v>34770</v>
      </c>
      <c r="B27">
        <v>6</v>
      </c>
      <c r="C27">
        <v>0.69185177777777696</v>
      </c>
      <c r="D27">
        <v>0.69251277777777698</v>
      </c>
      <c r="E27">
        <v>0.69247966666666605</v>
      </c>
      <c r="F27">
        <v>0.69256566666666597</v>
      </c>
      <c r="G27">
        <v>0.72191899999999998</v>
      </c>
      <c r="H27">
        <v>0.49176166666666599</v>
      </c>
      <c r="I27">
        <v>0.64990611111111096</v>
      </c>
      <c r="J27">
        <v>0.50813344444444397</v>
      </c>
    </row>
    <row r="30" spans="1:10" x14ac:dyDescent="0.25">
      <c r="A30">
        <v>777</v>
      </c>
      <c r="B30">
        <v>5</v>
      </c>
      <c r="C30">
        <v>0.51083355555555499</v>
      </c>
      <c r="D30">
        <v>0.51088188888888797</v>
      </c>
      <c r="E30">
        <v>0.51106822222222204</v>
      </c>
      <c r="F30">
        <v>0.51100455555555502</v>
      </c>
      <c r="G30">
        <v>0.49463538888888797</v>
      </c>
      <c r="H30">
        <v>0.48161683333333299</v>
      </c>
      <c r="I30">
        <v>0.512683277777777</v>
      </c>
      <c r="J30">
        <v>0.51445244444444405</v>
      </c>
    </row>
    <row r="31" spans="1:10" x14ac:dyDescent="0.25">
      <c r="A31">
        <v>45116</v>
      </c>
      <c r="B31">
        <v>5</v>
      </c>
      <c r="C31">
        <v>0.51083355555555499</v>
      </c>
      <c r="D31">
        <v>0.51086922222222197</v>
      </c>
      <c r="E31">
        <v>0.51090277777777704</v>
      </c>
      <c r="F31">
        <v>0.51112744444444402</v>
      </c>
      <c r="G31">
        <v>0.49463538888888797</v>
      </c>
      <c r="H31">
        <v>0.498805833333333</v>
      </c>
      <c r="I31">
        <v>0.51264777777777704</v>
      </c>
      <c r="J31">
        <v>0.50891205555555497</v>
      </c>
    </row>
    <row r="32" spans="1:10" x14ac:dyDescent="0.25">
      <c r="A32">
        <v>4403</v>
      </c>
      <c r="B32">
        <v>5</v>
      </c>
      <c r="C32">
        <v>0.51083355555555499</v>
      </c>
      <c r="D32">
        <v>0.51119922222222203</v>
      </c>
      <c r="E32">
        <v>0.511005222222222</v>
      </c>
      <c r="F32">
        <v>0.51093088888888805</v>
      </c>
      <c r="G32">
        <v>0.49463538888888797</v>
      </c>
      <c r="H32">
        <v>0.48723983333333298</v>
      </c>
      <c r="I32">
        <v>0.50689822222222203</v>
      </c>
      <c r="J32">
        <v>0.48480116666666601</v>
      </c>
    </row>
    <row r="33" spans="1:10" x14ac:dyDescent="0.25">
      <c r="A33">
        <v>92879</v>
      </c>
      <c r="B33">
        <v>5</v>
      </c>
      <c r="C33">
        <v>0.51083355555555499</v>
      </c>
      <c r="D33">
        <v>0.51082033333333299</v>
      </c>
      <c r="E33">
        <v>0.51072799999999996</v>
      </c>
      <c r="F33">
        <v>0.510957555555555</v>
      </c>
      <c r="G33">
        <v>0.49463538888888797</v>
      </c>
      <c r="H33">
        <v>0.47580822222222202</v>
      </c>
      <c r="I33">
        <v>0.51078722222222195</v>
      </c>
      <c r="J33">
        <v>0.52085688888888804</v>
      </c>
    </row>
    <row r="34" spans="1:10" x14ac:dyDescent="0.25">
      <c r="A34">
        <v>34770</v>
      </c>
      <c r="B34">
        <v>5</v>
      </c>
      <c r="C34">
        <v>0.51083355555555499</v>
      </c>
      <c r="D34">
        <v>0.51089233333333295</v>
      </c>
      <c r="E34">
        <v>0.51074688888888797</v>
      </c>
      <c r="F34">
        <v>0.51082577777777705</v>
      </c>
      <c r="G34">
        <v>0.49463538888888797</v>
      </c>
      <c r="H34">
        <v>0.48215405555555502</v>
      </c>
      <c r="I34">
        <v>0.50294927777777698</v>
      </c>
      <c r="J34">
        <v>0.57516572222222195</v>
      </c>
    </row>
    <row r="37" spans="1:10" x14ac:dyDescent="0.25">
      <c r="A37">
        <v>777</v>
      </c>
      <c r="B37">
        <v>4</v>
      </c>
      <c r="C37">
        <v>0.688305888888888</v>
      </c>
      <c r="D37">
        <v>0.68826777777777703</v>
      </c>
      <c r="E37">
        <v>0.68821711111111095</v>
      </c>
      <c r="F37">
        <v>0.68817588888888803</v>
      </c>
      <c r="G37">
        <v>0.765905888888888</v>
      </c>
      <c r="H37">
        <v>0.54815755555555501</v>
      </c>
      <c r="I37">
        <v>0.64485499999999996</v>
      </c>
      <c r="J37">
        <v>0.50561611111111104</v>
      </c>
    </row>
    <row r="38" spans="1:10" x14ac:dyDescent="0.25">
      <c r="A38">
        <v>45116</v>
      </c>
      <c r="B38">
        <v>4</v>
      </c>
      <c r="C38">
        <v>0.688305888888888</v>
      </c>
      <c r="D38">
        <v>0.68819411111111095</v>
      </c>
      <c r="E38">
        <v>0.68824422222222204</v>
      </c>
      <c r="F38">
        <v>0.688350666666666</v>
      </c>
      <c r="G38">
        <v>0.765905888888888</v>
      </c>
      <c r="H38">
        <v>0.55245377777777704</v>
      </c>
      <c r="I38">
        <v>0.62357633333333296</v>
      </c>
      <c r="J38">
        <v>0.50324766666666598</v>
      </c>
    </row>
    <row r="39" spans="1:10" x14ac:dyDescent="0.25">
      <c r="A39">
        <v>4403</v>
      </c>
      <c r="B39">
        <v>4</v>
      </c>
      <c r="C39">
        <v>0.688305888888888</v>
      </c>
      <c r="D39">
        <v>0.68844166666666595</v>
      </c>
      <c r="E39">
        <v>0.68825366666666599</v>
      </c>
      <c r="F39">
        <v>0.68819388888888799</v>
      </c>
      <c r="G39">
        <v>0.765905888888888</v>
      </c>
      <c r="H39">
        <v>0.55607961111111104</v>
      </c>
      <c r="I39">
        <v>0.64682494444444405</v>
      </c>
      <c r="J39">
        <v>0.51565111111111095</v>
      </c>
    </row>
    <row r="40" spans="1:10" x14ac:dyDescent="0.25">
      <c r="A40">
        <v>92879</v>
      </c>
      <c r="B40">
        <v>4</v>
      </c>
      <c r="C40">
        <v>0.688305888888888</v>
      </c>
      <c r="D40">
        <v>0.68808444444444405</v>
      </c>
      <c r="E40">
        <v>0.68807733333333299</v>
      </c>
      <c r="F40">
        <v>0.68819988888888795</v>
      </c>
      <c r="G40">
        <v>0.765905888888888</v>
      </c>
      <c r="H40">
        <v>0.57519055555555498</v>
      </c>
      <c r="I40">
        <v>0.63399366666666601</v>
      </c>
      <c r="J40">
        <v>0.50550050000000002</v>
      </c>
    </row>
    <row r="41" spans="1:10" x14ac:dyDescent="0.25">
      <c r="A41">
        <v>34770</v>
      </c>
      <c r="B41">
        <v>4</v>
      </c>
      <c r="C41">
        <v>0.688305888888888</v>
      </c>
      <c r="D41">
        <v>0.68826733333333301</v>
      </c>
      <c r="E41">
        <v>0.68816344444444399</v>
      </c>
      <c r="F41">
        <v>0.68819133333333304</v>
      </c>
      <c r="G41">
        <v>0.765905888888888</v>
      </c>
      <c r="H41">
        <v>0.56813861111111097</v>
      </c>
      <c r="I41">
        <v>0.62684738888888802</v>
      </c>
      <c r="J41">
        <v>0.49496922222222201</v>
      </c>
    </row>
    <row r="44" spans="1:10" x14ac:dyDescent="0.25">
      <c r="A44">
        <v>777</v>
      </c>
      <c r="B44">
        <v>3</v>
      </c>
      <c r="C44">
        <v>0.50621899999999997</v>
      </c>
      <c r="D44">
        <v>0.50723177777777695</v>
      </c>
      <c r="E44">
        <v>0.50729366666666598</v>
      </c>
      <c r="F44">
        <v>0.50724599999999997</v>
      </c>
      <c r="G44">
        <v>0.50651500000000005</v>
      </c>
      <c r="H44">
        <v>0.53583499999999995</v>
      </c>
      <c r="I44">
        <v>0.555500833333333</v>
      </c>
      <c r="J44">
        <v>0.52042277777777701</v>
      </c>
    </row>
    <row r="45" spans="1:10" x14ac:dyDescent="0.25">
      <c r="A45">
        <v>45116</v>
      </c>
      <c r="B45">
        <v>3</v>
      </c>
      <c r="C45">
        <v>0.50621899999999997</v>
      </c>
      <c r="D45">
        <v>0.50712244444444399</v>
      </c>
      <c r="E45">
        <v>0.50711300000000004</v>
      </c>
      <c r="F45">
        <v>0.507318222222222</v>
      </c>
      <c r="G45">
        <v>0.50651500000000005</v>
      </c>
      <c r="H45">
        <v>0.54804211111111101</v>
      </c>
      <c r="I45">
        <v>0.552897722222222</v>
      </c>
      <c r="J45">
        <v>0.52371616666666598</v>
      </c>
    </row>
    <row r="46" spans="1:10" x14ac:dyDescent="0.25">
      <c r="A46">
        <v>4403</v>
      </c>
      <c r="B46">
        <v>3</v>
      </c>
      <c r="C46">
        <v>0.50621899999999997</v>
      </c>
      <c r="D46">
        <v>0.50737922222222198</v>
      </c>
      <c r="E46">
        <v>0.50728977777777695</v>
      </c>
      <c r="F46">
        <v>0.50726155555555497</v>
      </c>
      <c r="G46">
        <v>0.50651500000000005</v>
      </c>
      <c r="H46">
        <v>0.54562572222222205</v>
      </c>
      <c r="I46">
        <v>0.55494288888888899</v>
      </c>
      <c r="J46">
        <v>0.51328922222222195</v>
      </c>
    </row>
    <row r="47" spans="1:10" x14ac:dyDescent="0.25">
      <c r="A47">
        <v>92879</v>
      </c>
      <c r="B47">
        <v>3</v>
      </c>
      <c r="C47">
        <v>0.50621899999999997</v>
      </c>
      <c r="D47">
        <v>0.50719433333333297</v>
      </c>
      <c r="E47">
        <v>0.50709311111111099</v>
      </c>
      <c r="F47">
        <v>0.50724566666666604</v>
      </c>
      <c r="G47">
        <v>0.50651500000000005</v>
      </c>
      <c r="H47">
        <v>0.53615277777777703</v>
      </c>
      <c r="I47">
        <v>0.55384955555555504</v>
      </c>
      <c r="J47">
        <v>0.50824699999999901</v>
      </c>
    </row>
    <row r="48" spans="1:10" x14ac:dyDescent="0.25">
      <c r="A48">
        <v>34770</v>
      </c>
      <c r="B48">
        <v>3</v>
      </c>
      <c r="C48">
        <v>0.50621899999999997</v>
      </c>
      <c r="D48">
        <v>0.50714555555555496</v>
      </c>
      <c r="E48">
        <v>0.50699044444444397</v>
      </c>
      <c r="F48">
        <v>0.50709988888888802</v>
      </c>
      <c r="G48">
        <v>0.50651500000000005</v>
      </c>
      <c r="H48">
        <v>0.54363344444444395</v>
      </c>
      <c r="I48">
        <v>0.54359961111111099</v>
      </c>
      <c r="J48">
        <v>0.52426005555555499</v>
      </c>
    </row>
    <row r="51" spans="1:10" x14ac:dyDescent="0.25">
      <c r="A51">
        <v>777</v>
      </c>
      <c r="B51">
        <v>2</v>
      </c>
      <c r="C51">
        <v>0.64907433333333298</v>
      </c>
      <c r="D51">
        <v>0.64862588888888895</v>
      </c>
      <c r="E51">
        <v>0.64885722222222197</v>
      </c>
      <c r="F51">
        <v>0.64888333333333303</v>
      </c>
      <c r="G51">
        <v>0.67549611111111096</v>
      </c>
      <c r="H51">
        <v>0.51794105555555503</v>
      </c>
      <c r="I51">
        <v>0.529064166666666</v>
      </c>
      <c r="J51">
        <v>0.48700399999999999</v>
      </c>
    </row>
    <row r="52" spans="1:10" x14ac:dyDescent="0.25">
      <c r="A52">
        <v>45116</v>
      </c>
      <c r="B52">
        <v>2</v>
      </c>
      <c r="C52">
        <v>0.64907433333333298</v>
      </c>
      <c r="D52">
        <v>0.64881277777777702</v>
      </c>
      <c r="E52">
        <v>0.64878022222222198</v>
      </c>
      <c r="F52">
        <v>0.64896166666666599</v>
      </c>
      <c r="G52">
        <v>0.67549611111111096</v>
      </c>
      <c r="H52">
        <v>0.52256483333333303</v>
      </c>
      <c r="I52">
        <v>0.52804477777777703</v>
      </c>
      <c r="J52">
        <v>0.50020072222222201</v>
      </c>
    </row>
    <row r="53" spans="1:10" x14ac:dyDescent="0.25">
      <c r="A53">
        <v>4403</v>
      </c>
      <c r="B53">
        <v>2</v>
      </c>
      <c r="C53">
        <v>0.64907433333333298</v>
      </c>
      <c r="D53">
        <v>0.64875044444444396</v>
      </c>
      <c r="E53">
        <v>0.64879299999999995</v>
      </c>
      <c r="F53">
        <v>0.64883222222222203</v>
      </c>
      <c r="G53">
        <v>0.67549611111111096</v>
      </c>
      <c r="H53">
        <v>0.50878449999999997</v>
      </c>
      <c r="I53">
        <v>0.51807177777777702</v>
      </c>
      <c r="J53">
        <v>0.51151244444444399</v>
      </c>
    </row>
    <row r="54" spans="1:10" x14ac:dyDescent="0.25">
      <c r="A54">
        <v>92879</v>
      </c>
      <c r="B54">
        <v>2</v>
      </c>
      <c r="C54">
        <v>0.64907433333333298</v>
      </c>
      <c r="D54">
        <v>0.64879466666666596</v>
      </c>
      <c r="E54">
        <v>0.64868433333333297</v>
      </c>
      <c r="F54">
        <v>0.64886888888888805</v>
      </c>
      <c r="G54">
        <v>0.67549611111111096</v>
      </c>
      <c r="H54">
        <v>0.52163649999999995</v>
      </c>
      <c r="I54">
        <v>0.53858961111111103</v>
      </c>
      <c r="J54">
        <v>0.467140555555555</v>
      </c>
    </row>
    <row r="55" spans="1:10" x14ac:dyDescent="0.25">
      <c r="A55">
        <v>34770</v>
      </c>
      <c r="B55">
        <v>2</v>
      </c>
      <c r="C55">
        <v>0.64907433333333298</v>
      </c>
      <c r="D55">
        <v>0.64877688888888896</v>
      </c>
      <c r="E55">
        <v>0.64874677777777701</v>
      </c>
      <c r="F55">
        <v>0.64875899999999997</v>
      </c>
      <c r="G55">
        <v>0.67549611111111096</v>
      </c>
      <c r="H55">
        <v>0.52462294444444402</v>
      </c>
      <c r="I55">
        <v>0.52218722222222203</v>
      </c>
      <c r="J55">
        <v>0.48646522222222199</v>
      </c>
    </row>
    <row r="58" spans="1:10" x14ac:dyDescent="0.25">
      <c r="A58">
        <v>777</v>
      </c>
      <c r="B58">
        <v>1</v>
      </c>
      <c r="C58">
        <v>0.43983988888888798</v>
      </c>
      <c r="D58">
        <v>0.43983877777777702</v>
      </c>
      <c r="E58">
        <v>0.43960966666666601</v>
      </c>
      <c r="F58">
        <v>0.43953422222222199</v>
      </c>
      <c r="G58">
        <v>0.43535877777777698</v>
      </c>
      <c r="H58">
        <v>0.54284572222222205</v>
      </c>
      <c r="I58">
        <v>0.54616911111111099</v>
      </c>
      <c r="J58">
        <v>0.55390566666666596</v>
      </c>
    </row>
    <row r="59" spans="1:10" x14ac:dyDescent="0.25">
      <c r="A59">
        <v>45116</v>
      </c>
      <c r="B59">
        <v>1</v>
      </c>
      <c r="C59">
        <v>0.43983988888888798</v>
      </c>
      <c r="D59">
        <v>0.439436555555555</v>
      </c>
      <c r="E59">
        <v>0.43958411111111101</v>
      </c>
      <c r="F59">
        <v>0.43957022222222197</v>
      </c>
      <c r="G59">
        <v>0.43535877777777698</v>
      </c>
      <c r="H59">
        <v>0.51506888888888802</v>
      </c>
      <c r="I59">
        <v>0.54597027777777696</v>
      </c>
      <c r="J59">
        <v>0.58099916666666596</v>
      </c>
    </row>
    <row r="60" spans="1:10" x14ac:dyDescent="0.25">
      <c r="A60">
        <v>4403</v>
      </c>
      <c r="B60">
        <v>1</v>
      </c>
      <c r="C60">
        <v>0.43983988888888798</v>
      </c>
      <c r="D60">
        <v>0.43976977777777698</v>
      </c>
      <c r="E60">
        <v>0.43973733333333298</v>
      </c>
      <c r="F60">
        <v>0.43965122222222203</v>
      </c>
      <c r="G60">
        <v>0.43535877777777698</v>
      </c>
      <c r="H60">
        <v>0.53904716666666597</v>
      </c>
      <c r="I60">
        <v>0.547478944444444</v>
      </c>
      <c r="J60">
        <v>0.489051666666666</v>
      </c>
    </row>
    <row r="61" spans="1:10" x14ac:dyDescent="0.25">
      <c r="A61">
        <v>92879</v>
      </c>
      <c r="B61">
        <v>1</v>
      </c>
      <c r="C61">
        <v>0.43983988888888798</v>
      </c>
      <c r="D61">
        <v>0.43946422222222198</v>
      </c>
      <c r="E61">
        <v>0.43945977777777701</v>
      </c>
      <c r="F61">
        <v>0.43957444444444399</v>
      </c>
      <c r="G61">
        <v>0.43535877777777698</v>
      </c>
      <c r="H61">
        <v>0.53582172222222202</v>
      </c>
      <c r="I61">
        <v>0.54324644444444403</v>
      </c>
      <c r="J61">
        <v>0.587485777777777</v>
      </c>
    </row>
    <row r="62" spans="1:10" x14ac:dyDescent="0.25">
      <c r="A62">
        <v>34770</v>
      </c>
      <c r="B62">
        <v>1</v>
      </c>
      <c r="C62">
        <v>0.43983988888888798</v>
      </c>
      <c r="D62">
        <v>0.43975488888888797</v>
      </c>
      <c r="E62">
        <v>0.43978855555555502</v>
      </c>
      <c r="F62">
        <v>0.43964266666666602</v>
      </c>
      <c r="G62">
        <v>0.43535877777777698</v>
      </c>
      <c r="H62">
        <v>0.55098772222222203</v>
      </c>
      <c r="I62">
        <v>0.53588244444444399</v>
      </c>
      <c r="J62">
        <v>0.56947594444444405</v>
      </c>
    </row>
    <row r="65" spans="1:10" x14ac:dyDescent="0.25">
      <c r="A65">
        <v>777</v>
      </c>
      <c r="B65">
        <v>0</v>
      </c>
      <c r="C65">
        <v>0.66053311111111102</v>
      </c>
      <c r="D65">
        <v>0.66128633333333298</v>
      </c>
      <c r="E65">
        <v>0.66103033333333305</v>
      </c>
      <c r="F65">
        <v>0.66094422222222204</v>
      </c>
      <c r="G65">
        <v>0.67925322222222195</v>
      </c>
      <c r="H65">
        <v>0.41040527777777702</v>
      </c>
      <c r="I65">
        <v>0.27798411111111099</v>
      </c>
      <c r="J65">
        <v>0.56898000000000004</v>
      </c>
    </row>
    <row r="66" spans="1:10" x14ac:dyDescent="0.25">
      <c r="A66">
        <v>45116</v>
      </c>
      <c r="B66">
        <v>0</v>
      </c>
      <c r="C66">
        <v>0.66053311111111102</v>
      </c>
      <c r="D66">
        <v>0.66123677777777701</v>
      </c>
      <c r="E66">
        <v>0.66119311111111101</v>
      </c>
      <c r="F66">
        <v>0.66113944444444395</v>
      </c>
      <c r="G66">
        <v>0.67925322222222195</v>
      </c>
      <c r="H66">
        <v>0.3956075</v>
      </c>
      <c r="I66">
        <v>0.27530666666666598</v>
      </c>
      <c r="J66">
        <v>0.49672355555555497</v>
      </c>
    </row>
    <row r="67" spans="1:10" x14ac:dyDescent="0.25">
      <c r="A67">
        <v>4403</v>
      </c>
      <c r="B67">
        <v>0</v>
      </c>
      <c r="C67">
        <v>0.66053311111111102</v>
      </c>
      <c r="D67">
        <v>0.66083377777777697</v>
      </c>
      <c r="E67">
        <v>0.66091200000000005</v>
      </c>
      <c r="F67">
        <v>0.66107977777777704</v>
      </c>
      <c r="G67">
        <v>0.67925322222222195</v>
      </c>
      <c r="H67">
        <v>0.40696983333333298</v>
      </c>
      <c r="I67">
        <v>0.28691361111111102</v>
      </c>
      <c r="J67">
        <v>0.51372477777777703</v>
      </c>
    </row>
    <row r="68" spans="1:10" x14ac:dyDescent="0.25">
      <c r="A68">
        <v>92879</v>
      </c>
      <c r="B68">
        <v>0</v>
      </c>
      <c r="C68">
        <v>0.66053311111111102</v>
      </c>
      <c r="D68">
        <v>0.66087544444444402</v>
      </c>
      <c r="E68">
        <v>0.66099699999999995</v>
      </c>
      <c r="F68">
        <v>0.661092666666666</v>
      </c>
      <c r="G68">
        <v>0.67925322222222195</v>
      </c>
      <c r="H68">
        <v>0.36060883333333299</v>
      </c>
      <c r="I68">
        <v>0.295266722222222</v>
      </c>
      <c r="J68">
        <v>0.391931444444444</v>
      </c>
    </row>
    <row r="69" spans="1:10" x14ac:dyDescent="0.25">
      <c r="A69">
        <v>34770</v>
      </c>
      <c r="B69">
        <v>0</v>
      </c>
      <c r="C69">
        <v>0.66053311111111102</v>
      </c>
      <c r="D69">
        <v>0.66115877777777698</v>
      </c>
      <c r="E69">
        <v>0.66119744444444395</v>
      </c>
      <c r="F69">
        <v>0.66112966666666595</v>
      </c>
      <c r="G69">
        <v>0.67925322222222195</v>
      </c>
      <c r="H69">
        <v>0.39754027777777701</v>
      </c>
      <c r="I69">
        <v>0.28944038888888801</v>
      </c>
      <c r="J69">
        <v>0.57926066666666598</v>
      </c>
    </row>
    <row r="72" spans="1:10" x14ac:dyDescent="0.25">
      <c r="A72">
        <v>9</v>
      </c>
    </row>
    <row r="73" spans="1:10" x14ac:dyDescent="0.25">
      <c r="B73" t="s">
        <v>132</v>
      </c>
      <c r="C73">
        <f>AVERAGE(C2:C6)</f>
        <v>0.40520133333333302</v>
      </c>
      <c r="D73">
        <f t="shared" ref="D73:J73" si="0">AVERAGE(D2:D6)</f>
        <v>0.40517668888888869</v>
      </c>
      <c r="E73">
        <f t="shared" si="0"/>
        <v>0.40518319999999941</v>
      </c>
      <c r="F73">
        <f t="shared" si="0"/>
        <v>0.4051695999999998</v>
      </c>
      <c r="G73">
        <f t="shared" si="0"/>
        <v>0.43255566666666601</v>
      </c>
      <c r="H73">
        <f t="shared" si="0"/>
        <v>0.41694306666666614</v>
      </c>
      <c r="I73">
        <f t="shared" si="0"/>
        <v>0.43331367777777735</v>
      </c>
      <c r="J73">
        <f t="shared" si="0"/>
        <v>0.5788088666666662</v>
      </c>
    </row>
    <row r="74" spans="1:10" x14ac:dyDescent="0.25">
      <c r="B74" t="s">
        <v>133</v>
      </c>
      <c r="C74">
        <f>MEDIAN(C2:C6)</f>
        <v>0.40520133333333302</v>
      </c>
      <c r="D74">
        <f t="shared" ref="D74:J74" si="1">MEDIAN(D2:D6)</f>
        <v>0.40518111111111099</v>
      </c>
      <c r="E74">
        <f t="shared" si="1"/>
        <v>0.40516855555555498</v>
      </c>
      <c r="F74">
        <f t="shared" si="1"/>
        <v>0.40516333333333299</v>
      </c>
      <c r="G74">
        <f t="shared" si="1"/>
        <v>0.43255566666666601</v>
      </c>
      <c r="H74">
        <f t="shared" si="1"/>
        <v>0.428419555555555</v>
      </c>
      <c r="I74">
        <f t="shared" si="1"/>
        <v>0.43893822222222201</v>
      </c>
      <c r="J74">
        <f t="shared" si="1"/>
        <v>0.58401377777777697</v>
      </c>
    </row>
    <row r="75" spans="1:10" x14ac:dyDescent="0.25">
      <c r="B75" t="s">
        <v>134</v>
      </c>
      <c r="C75">
        <v>0</v>
      </c>
      <c r="D75">
        <f>_xlfn.STDEV.S(D2:D6)</f>
        <v>1.2150965007648371E-4</v>
      </c>
      <c r="E75">
        <f t="shared" ref="E75:J75" si="2">_xlfn.STDEV.S(E2:E6)</f>
        <v>5.8500416796858792E-5</v>
      </c>
      <c r="F75">
        <f t="shared" si="2"/>
        <v>3.173429425870788E-5</v>
      </c>
      <c r="G75">
        <f t="shared" si="2"/>
        <v>0</v>
      </c>
      <c r="H75">
        <f t="shared" si="2"/>
        <v>2.02069075028645E-2</v>
      </c>
      <c r="I75">
        <f t="shared" si="2"/>
        <v>1.4520801281722685E-2</v>
      </c>
      <c r="J75">
        <f t="shared" si="2"/>
        <v>6.4464419386861552E-2</v>
      </c>
    </row>
    <row r="76" spans="1:10" x14ac:dyDescent="0.25">
      <c r="A76">
        <v>8</v>
      </c>
    </row>
    <row r="77" spans="1:10" x14ac:dyDescent="0.25">
      <c r="B77" t="s">
        <v>132</v>
      </c>
      <c r="C77">
        <f>AVERAGE(C9:C13)</f>
        <v>0.68518900000000005</v>
      </c>
      <c r="D77">
        <f t="shared" ref="D77:J77" si="3">AVERAGE(D9:D13)</f>
        <v>0.68503904444444397</v>
      </c>
      <c r="E77">
        <f t="shared" si="3"/>
        <v>0.68504479999999934</v>
      </c>
      <c r="F77">
        <f t="shared" si="3"/>
        <v>0.68502533333333282</v>
      </c>
      <c r="G77">
        <f t="shared" si="3"/>
        <v>0.688974444444444</v>
      </c>
      <c r="H77">
        <f t="shared" si="3"/>
        <v>0.34987742222222196</v>
      </c>
      <c r="I77">
        <f t="shared" si="3"/>
        <v>0.36505895555555518</v>
      </c>
      <c r="J77">
        <f t="shared" si="3"/>
        <v>0.500022844444444</v>
      </c>
    </row>
    <row r="78" spans="1:10" x14ac:dyDescent="0.25">
      <c r="B78" t="s">
        <v>133</v>
      </c>
      <c r="C78">
        <f>MEDIAN(C9:C13)</f>
        <v>0.68518900000000005</v>
      </c>
      <c r="D78">
        <f t="shared" ref="D78:J78" si="4">MEDIAN(D9:D13)</f>
        <v>0.68511444444444403</v>
      </c>
      <c r="E78">
        <f t="shared" si="4"/>
        <v>0.68503888888888798</v>
      </c>
      <c r="F78">
        <f t="shared" si="4"/>
        <v>0.68502377777777701</v>
      </c>
      <c r="G78">
        <f t="shared" si="4"/>
        <v>0.688974444444444</v>
      </c>
      <c r="H78">
        <f t="shared" si="4"/>
        <v>0.35101894444444398</v>
      </c>
      <c r="I78">
        <f t="shared" si="4"/>
        <v>0.36267305555555501</v>
      </c>
      <c r="J78">
        <f t="shared" si="4"/>
        <v>0.492720555555555</v>
      </c>
    </row>
    <row r="79" spans="1:10" x14ac:dyDescent="0.25">
      <c r="B79" t="s">
        <v>134</v>
      </c>
      <c r="C79">
        <f>_xlfn.STDEV.S(C9:C13)</f>
        <v>0</v>
      </c>
      <c r="D79">
        <f>_xlfn.STDEV.S(D9:D13)</f>
        <v>1.8374654779661201E-4</v>
      </c>
      <c r="E79">
        <f t="shared" ref="D79:J79" si="5">_xlfn.STDEV.S(E9:E13)</f>
        <v>1.4691196658528588E-4</v>
      </c>
      <c r="F79">
        <f t="shared" si="5"/>
        <v>3.632432779990085E-5</v>
      </c>
      <c r="G79">
        <f t="shared" si="5"/>
        <v>0</v>
      </c>
      <c r="H79">
        <f t="shared" si="5"/>
        <v>2.1003889180780701E-2</v>
      </c>
      <c r="I79">
        <f t="shared" si="5"/>
        <v>5.4589786834213947E-3</v>
      </c>
      <c r="J79">
        <f t="shared" si="5"/>
        <v>1.5297455550668835E-2</v>
      </c>
    </row>
    <row r="80" spans="1:10" x14ac:dyDescent="0.25">
      <c r="A80">
        <v>7</v>
      </c>
    </row>
    <row r="81" spans="1:10" x14ac:dyDescent="0.25">
      <c r="B81" t="s">
        <v>132</v>
      </c>
      <c r="C81">
        <f>AVERAGE(C16:C20)</f>
        <v>0.517665777777777</v>
      </c>
      <c r="D81">
        <f t="shared" ref="D81:J81" si="6">AVERAGE(D16:D20)</f>
        <v>0.51747737777777714</v>
      </c>
      <c r="E81">
        <f t="shared" si="6"/>
        <v>0.51743866666666616</v>
      </c>
      <c r="F81">
        <f t="shared" si="6"/>
        <v>0.51746782222222187</v>
      </c>
      <c r="G81">
        <f t="shared" si="6"/>
        <v>0.50465244444444401</v>
      </c>
      <c r="H81">
        <f t="shared" si="6"/>
        <v>0.47085834444444374</v>
      </c>
      <c r="I81">
        <f t="shared" si="6"/>
        <v>0.49831421111111052</v>
      </c>
      <c r="J81">
        <f t="shared" si="6"/>
        <v>0.53805535555555528</v>
      </c>
    </row>
    <row r="82" spans="1:10" x14ac:dyDescent="0.25">
      <c r="B82" t="s">
        <v>133</v>
      </c>
      <c r="C82">
        <f>MEDIAN(C16:C20)</f>
        <v>0.517665777777777</v>
      </c>
      <c r="D82">
        <f t="shared" ref="D82:J82" si="7">MEDIAN(D16:D20)</f>
        <v>0.51746422222222199</v>
      </c>
      <c r="E82">
        <f t="shared" si="7"/>
        <v>0.51748577777777705</v>
      </c>
      <c r="F82">
        <f t="shared" si="7"/>
        <v>0.51746411111111101</v>
      </c>
      <c r="G82">
        <f t="shared" si="7"/>
        <v>0.50465244444444401</v>
      </c>
      <c r="H82">
        <f t="shared" si="7"/>
        <v>0.47051483333333299</v>
      </c>
      <c r="I82">
        <f t="shared" si="7"/>
        <v>0.50071216666666596</v>
      </c>
      <c r="J82">
        <f t="shared" si="7"/>
        <v>0.53784422222222195</v>
      </c>
    </row>
    <row r="83" spans="1:10" x14ac:dyDescent="0.25">
      <c r="B83" t="s">
        <v>134</v>
      </c>
      <c r="C83">
        <f>_xlfn.STDEV.S(C16:C20)</f>
        <v>0</v>
      </c>
      <c r="D83">
        <f t="shared" ref="D83:J83" si="8">_xlfn.STDEV.S(D16:D20)</f>
        <v>1.8073050669269522E-4</v>
      </c>
      <c r="E83">
        <f t="shared" si="8"/>
        <v>1.8639437812754882E-4</v>
      </c>
      <c r="F83">
        <f t="shared" si="8"/>
        <v>5.7636933032493099E-5</v>
      </c>
      <c r="G83">
        <f t="shared" si="8"/>
        <v>0</v>
      </c>
      <c r="H83">
        <f t="shared" si="8"/>
        <v>5.1514355965949273E-3</v>
      </c>
      <c r="I83">
        <f t="shared" si="8"/>
        <v>6.7953513025221903E-3</v>
      </c>
      <c r="J83">
        <f t="shared" si="8"/>
        <v>1.5200166207343407E-2</v>
      </c>
    </row>
    <row r="84" spans="1:10" x14ac:dyDescent="0.25">
      <c r="A84">
        <v>6</v>
      </c>
    </row>
    <row r="85" spans="1:10" x14ac:dyDescent="0.25">
      <c r="B85" t="s">
        <v>132</v>
      </c>
      <c r="C85">
        <f>AVERAGE(C23:C27)</f>
        <v>0.69185177777777696</v>
      </c>
      <c r="D85">
        <f t="shared" ref="D85:J85" si="9">AVERAGE(D23:D27)</f>
        <v>0.69254604444444379</v>
      </c>
      <c r="E85">
        <f t="shared" si="9"/>
        <v>0.69251917777777738</v>
      </c>
      <c r="F85">
        <f t="shared" si="9"/>
        <v>0.69261088888888833</v>
      </c>
      <c r="G85">
        <f t="shared" si="9"/>
        <v>0.72191899999999998</v>
      </c>
      <c r="H85">
        <f t="shared" si="9"/>
        <v>0.56223447777777724</v>
      </c>
      <c r="I85">
        <f t="shared" si="9"/>
        <v>0.65191003333333308</v>
      </c>
      <c r="J85">
        <f t="shared" si="9"/>
        <v>0.49859602222222177</v>
      </c>
    </row>
    <row r="86" spans="1:10" x14ac:dyDescent="0.25">
      <c r="B86" t="s">
        <v>133</v>
      </c>
      <c r="C86">
        <f>MEDIAN(C23:C27)</f>
        <v>0.69185177777777696</v>
      </c>
      <c r="D86">
        <f>MEDIAN(D23:D27)</f>
        <v>0.69251277777777698</v>
      </c>
      <c r="E86">
        <f t="shared" ref="D86:J86" si="10">MEDIAN(E23:E27)</f>
        <v>0.69252122222222201</v>
      </c>
      <c r="F86">
        <f t="shared" si="10"/>
        <v>0.69258811111111096</v>
      </c>
      <c r="G86">
        <f t="shared" si="10"/>
        <v>0.72191899999999998</v>
      </c>
      <c r="H86">
        <f t="shared" si="10"/>
        <v>0.595766388888888</v>
      </c>
      <c r="I86">
        <f t="shared" si="10"/>
        <v>0.65147911111111101</v>
      </c>
      <c r="J86">
        <f t="shared" si="10"/>
        <v>0.496808444444444</v>
      </c>
    </row>
    <row r="87" spans="1:10" x14ac:dyDescent="0.25">
      <c r="B87" t="s">
        <v>134</v>
      </c>
      <c r="C87">
        <v>0</v>
      </c>
      <c r="D87">
        <f>_xlfn.STDEV.S(D23:D27)</f>
        <v>1.8214194708758482E-4</v>
      </c>
      <c r="E87">
        <f t="shared" ref="E87:J87" si="11">_xlfn.STDEV.S(E23:E27)</f>
        <v>8.1677421816433342E-5</v>
      </c>
      <c r="F87">
        <f t="shared" si="11"/>
        <v>1.0303385515766536E-4</v>
      </c>
      <c r="G87">
        <f t="shared" si="11"/>
        <v>0</v>
      </c>
      <c r="H87">
        <f t="shared" si="11"/>
        <v>6.4705999714515738E-2</v>
      </c>
      <c r="I87">
        <f t="shared" si="11"/>
        <v>4.8498367621759072E-3</v>
      </c>
      <c r="J87">
        <f t="shared" si="11"/>
        <v>6.9373174154150419E-3</v>
      </c>
    </row>
    <row r="88" spans="1:10" x14ac:dyDescent="0.25">
      <c r="A88">
        <v>5</v>
      </c>
    </row>
    <row r="89" spans="1:10" x14ac:dyDescent="0.25">
      <c r="B89" t="s">
        <v>132</v>
      </c>
      <c r="C89">
        <f>AVERAGE(C30:C34)</f>
        <v>0.51083355555555499</v>
      </c>
      <c r="D89">
        <f t="shared" ref="D89:J89" si="12">AVERAGE(D30:D34)</f>
        <v>0.51093259999999963</v>
      </c>
      <c r="E89">
        <f t="shared" si="12"/>
        <v>0.5108902222222218</v>
      </c>
      <c r="F89">
        <f t="shared" si="12"/>
        <v>0.5109692444444438</v>
      </c>
      <c r="G89">
        <f t="shared" si="12"/>
        <v>0.49463538888888803</v>
      </c>
      <c r="H89">
        <f t="shared" si="12"/>
        <v>0.48512495555555518</v>
      </c>
      <c r="I89">
        <f t="shared" si="12"/>
        <v>0.509193155555555</v>
      </c>
      <c r="J89">
        <f t="shared" si="12"/>
        <v>0.52083765555555495</v>
      </c>
    </row>
    <row r="90" spans="1:10" x14ac:dyDescent="0.25">
      <c r="B90" t="s">
        <v>133</v>
      </c>
      <c r="C90">
        <f>MEDIAN(C30:C34)</f>
        <v>0.51083355555555499</v>
      </c>
      <c r="D90">
        <f t="shared" ref="D90:J90" si="13">MEDIAN(D30:D34)</f>
        <v>0.51088188888888797</v>
      </c>
      <c r="E90">
        <f t="shared" si="13"/>
        <v>0.51090277777777704</v>
      </c>
      <c r="F90">
        <f t="shared" si="13"/>
        <v>0.510957555555555</v>
      </c>
      <c r="G90">
        <f t="shared" si="13"/>
        <v>0.49463538888888797</v>
      </c>
      <c r="H90">
        <f t="shared" si="13"/>
        <v>0.48215405555555502</v>
      </c>
      <c r="I90">
        <f t="shared" si="13"/>
        <v>0.51078722222222195</v>
      </c>
      <c r="J90">
        <f t="shared" si="13"/>
        <v>0.51445244444444405</v>
      </c>
    </row>
    <row r="91" spans="1:10" x14ac:dyDescent="0.25">
      <c r="B91" t="s">
        <v>134</v>
      </c>
      <c r="C91">
        <f>_xlfn.STDEV.S(C30:C34)</f>
        <v>0</v>
      </c>
      <c r="D91">
        <f t="shared" ref="D91:J91" si="14">_xlfn.STDEV.S(D30:D34)</f>
        <v>1.5157587025802212E-4</v>
      </c>
      <c r="E91">
        <f t="shared" si="14"/>
        <v>1.515974404488812E-4</v>
      </c>
      <c r="F91">
        <f t="shared" si="14"/>
        <v>1.1007335937670645E-4</v>
      </c>
      <c r="G91">
        <f t="shared" si="14"/>
        <v>6.2063353831181828E-17</v>
      </c>
      <c r="H91">
        <f t="shared" si="14"/>
        <v>8.6541003738968263E-3</v>
      </c>
      <c r="I91">
        <f t="shared" si="14"/>
        <v>4.2103783995731843E-3</v>
      </c>
      <c r="J91">
        <f t="shared" si="14"/>
        <v>3.3290984460478922E-2</v>
      </c>
    </row>
    <row r="92" spans="1:10" x14ac:dyDescent="0.25">
      <c r="A92">
        <v>4</v>
      </c>
    </row>
    <row r="93" spans="1:10" x14ac:dyDescent="0.25">
      <c r="B93" t="s">
        <v>132</v>
      </c>
      <c r="C93">
        <f>AVERAGE(C37:C41)</f>
        <v>0.688305888888888</v>
      </c>
      <c r="D93">
        <f t="shared" ref="D93:J93" si="15">AVERAGE(D37:D41)</f>
        <v>0.68825106666666613</v>
      </c>
      <c r="E93">
        <f t="shared" si="15"/>
        <v>0.68819115555555521</v>
      </c>
      <c r="F93">
        <f t="shared" si="15"/>
        <v>0.6882223333333326</v>
      </c>
      <c r="G93">
        <f t="shared" si="15"/>
        <v>0.765905888888888</v>
      </c>
      <c r="H93">
        <f t="shared" si="15"/>
        <v>0.56000402222222179</v>
      </c>
      <c r="I93">
        <f t="shared" si="15"/>
        <v>0.63521946666666618</v>
      </c>
      <c r="J93">
        <f t="shared" si="15"/>
        <v>0.50499692222222214</v>
      </c>
    </row>
    <row r="94" spans="1:10" x14ac:dyDescent="0.25">
      <c r="B94" t="s">
        <v>133</v>
      </c>
      <c r="C94">
        <f>MEDIAN(C37:C41)</f>
        <v>0.688305888888888</v>
      </c>
      <c r="D94">
        <f t="shared" ref="D94:J94" si="16">MEDIAN(D37:D41)</f>
        <v>0.68826733333333301</v>
      </c>
      <c r="E94">
        <f t="shared" si="16"/>
        <v>0.68821711111111095</v>
      </c>
      <c r="F94">
        <f t="shared" si="16"/>
        <v>0.68819388888888799</v>
      </c>
      <c r="G94">
        <f t="shared" si="16"/>
        <v>0.765905888888888</v>
      </c>
      <c r="H94">
        <f t="shared" si="16"/>
        <v>0.55607961111111104</v>
      </c>
      <c r="I94">
        <f t="shared" si="16"/>
        <v>0.63399366666666601</v>
      </c>
      <c r="J94">
        <f t="shared" si="16"/>
        <v>0.50550050000000002</v>
      </c>
    </row>
    <row r="95" spans="1:10" x14ac:dyDescent="0.25">
      <c r="B95" t="s">
        <v>134</v>
      </c>
      <c r="C95">
        <f>_xlfn.STDEV.S(C37:C41)</f>
        <v>0</v>
      </c>
      <c r="D95">
        <f t="shared" ref="D95:J95" si="17">_xlfn.STDEV.S(D37:D41)</f>
        <v>1.3026811383236349E-4</v>
      </c>
      <c r="E95">
        <f t="shared" si="17"/>
        <v>7.266499318492751E-5</v>
      </c>
      <c r="F95">
        <f t="shared" si="17"/>
        <v>7.2284801947556811E-5</v>
      </c>
      <c r="G95">
        <f t="shared" si="17"/>
        <v>0</v>
      </c>
      <c r="H95">
        <f t="shared" si="17"/>
        <v>1.1286588249998368E-2</v>
      </c>
      <c r="I95">
        <f t="shared" si="17"/>
        <v>1.0424579641923514E-2</v>
      </c>
      <c r="J95">
        <f t="shared" si="17"/>
        <v>7.3784041063627657E-3</v>
      </c>
    </row>
    <row r="96" spans="1:10" x14ac:dyDescent="0.25">
      <c r="A96">
        <v>3</v>
      </c>
    </row>
    <row r="97" spans="1:10" x14ac:dyDescent="0.25">
      <c r="B97" t="s">
        <v>132</v>
      </c>
      <c r="C97">
        <f>AVERAGE(C44:C48)</f>
        <v>0.50621899999999997</v>
      </c>
      <c r="D97">
        <f t="shared" ref="D97:J97" si="18">AVERAGE(D44:D48)</f>
        <v>0.50721466666666615</v>
      </c>
      <c r="E97">
        <f t="shared" si="18"/>
        <v>0.50715599999999961</v>
      </c>
      <c r="F97">
        <f t="shared" si="18"/>
        <v>0.50723426666666627</v>
      </c>
      <c r="G97">
        <f t="shared" si="18"/>
        <v>0.50651500000000005</v>
      </c>
      <c r="H97">
        <f t="shared" si="18"/>
        <v>0.54185781111111075</v>
      </c>
      <c r="I97">
        <f t="shared" si="18"/>
        <v>0.55215812222222205</v>
      </c>
      <c r="J97">
        <f t="shared" si="18"/>
        <v>0.51798704444444377</v>
      </c>
    </row>
    <row r="98" spans="1:10" x14ac:dyDescent="0.25">
      <c r="B98" t="s">
        <v>133</v>
      </c>
      <c r="C98">
        <f>MEDIAN(C44:C48)</f>
        <v>0.50621899999999997</v>
      </c>
      <c r="D98">
        <f t="shared" ref="D98:J98" si="19">MEDIAN(D44:D48)</f>
        <v>0.50719433333333297</v>
      </c>
      <c r="E98">
        <f t="shared" si="19"/>
        <v>0.50711300000000004</v>
      </c>
      <c r="F98">
        <f t="shared" si="19"/>
        <v>0.50724599999999997</v>
      </c>
      <c r="G98">
        <f t="shared" si="19"/>
        <v>0.50651500000000005</v>
      </c>
      <c r="H98">
        <f t="shared" si="19"/>
        <v>0.54363344444444395</v>
      </c>
      <c r="I98">
        <f t="shared" si="19"/>
        <v>0.55384955555555504</v>
      </c>
      <c r="J98">
        <f t="shared" si="19"/>
        <v>0.52042277777777701</v>
      </c>
    </row>
    <row r="99" spans="1:10" x14ac:dyDescent="0.25">
      <c r="B99" t="s">
        <v>134</v>
      </c>
      <c r="C99">
        <f>_xlfn.STDEV.S(C44:C48)</f>
        <v>0</v>
      </c>
      <c r="D99">
        <f t="shared" ref="D99:J99" si="20">_xlfn.STDEV.S(D44:D48)</f>
        <v>1.0132379950286831E-4</v>
      </c>
      <c r="E99">
        <f t="shared" si="20"/>
        <v>1.3234543745348576E-4</v>
      </c>
      <c r="F99">
        <f t="shared" si="20"/>
        <v>8.0805688285521605E-5</v>
      </c>
      <c r="G99">
        <f t="shared" si="20"/>
        <v>0</v>
      </c>
      <c r="H99">
        <f t="shared" si="20"/>
        <v>5.5771241106024275E-3</v>
      </c>
      <c r="I99">
        <f t="shared" si="20"/>
        <v>4.8883716685683073E-3</v>
      </c>
      <c r="J99">
        <f t="shared" si="20"/>
        <v>6.9829131836175009E-3</v>
      </c>
    </row>
    <row r="100" spans="1:10" x14ac:dyDescent="0.25">
      <c r="A100">
        <v>2</v>
      </c>
    </row>
    <row r="101" spans="1:10" x14ac:dyDescent="0.25">
      <c r="B101" t="s">
        <v>132</v>
      </c>
      <c r="C101">
        <f>AVERAGE(C51:C55)</f>
        <v>0.64907433333333298</v>
      </c>
      <c r="D101">
        <f>AVERAGE(D51:D55)</f>
        <v>0.64875213333333304</v>
      </c>
      <c r="E101">
        <f t="shared" ref="D101:J101" si="21">AVERAGE(E51:E55)</f>
        <v>0.64877231111111078</v>
      </c>
      <c r="F101">
        <f t="shared" si="21"/>
        <v>0.64886102222222186</v>
      </c>
      <c r="G101">
        <f t="shared" si="21"/>
        <v>0.67549611111111096</v>
      </c>
      <c r="H101">
        <f t="shared" si="21"/>
        <v>0.51910996666666631</v>
      </c>
      <c r="I101">
        <f t="shared" si="21"/>
        <v>0.52719151111111073</v>
      </c>
      <c r="J101">
        <f t="shared" si="21"/>
        <v>0.49046458888888855</v>
      </c>
    </row>
    <row r="102" spans="1:10" x14ac:dyDescent="0.25">
      <c r="B102" t="s">
        <v>133</v>
      </c>
      <c r="C102">
        <f>MEDIAN(C51:C55)</f>
        <v>0.64907433333333298</v>
      </c>
      <c r="D102">
        <f t="shared" ref="D102:J102" si="22">MEDIAN(D51:D55)</f>
        <v>0.64877688888888896</v>
      </c>
      <c r="E102">
        <f t="shared" si="22"/>
        <v>0.64878022222222198</v>
      </c>
      <c r="F102">
        <f t="shared" si="22"/>
        <v>0.64886888888888805</v>
      </c>
      <c r="G102">
        <f t="shared" si="22"/>
        <v>0.67549611111111096</v>
      </c>
      <c r="H102">
        <f t="shared" si="22"/>
        <v>0.52163649999999995</v>
      </c>
      <c r="I102">
        <f t="shared" si="22"/>
        <v>0.52804477777777703</v>
      </c>
      <c r="J102">
        <f t="shared" si="22"/>
        <v>0.48700399999999999</v>
      </c>
    </row>
    <row r="103" spans="1:10" x14ac:dyDescent="0.25">
      <c r="B103" t="s">
        <v>134</v>
      </c>
      <c r="C103">
        <v>0</v>
      </c>
      <c r="D103">
        <f>_xlfn.STDEV.S(D51:D55)</f>
        <v>7.4229681926921815E-5</v>
      </c>
      <c r="E103">
        <f t="shared" ref="E103:J103" si="23">_xlfn.STDEV.S(E51:E55)</f>
        <v>6.3428213530089433E-5</v>
      </c>
      <c r="F103">
        <f t="shared" si="23"/>
        <v>7.4038753615930915E-5</v>
      </c>
      <c r="G103">
        <f t="shared" si="23"/>
        <v>0</v>
      </c>
      <c r="H103">
        <f t="shared" si="23"/>
        <v>6.2588739685601339E-3</v>
      </c>
      <c r="I103">
        <f t="shared" si="23"/>
        <v>7.7840225751017655E-3</v>
      </c>
      <c r="J103">
        <f t="shared" si="23"/>
        <v>1.6656722786151316E-2</v>
      </c>
    </row>
    <row r="104" spans="1:10" x14ac:dyDescent="0.25">
      <c r="A104">
        <v>1</v>
      </c>
    </row>
    <row r="105" spans="1:10" x14ac:dyDescent="0.25">
      <c r="B105" t="s">
        <v>132</v>
      </c>
      <c r="C105">
        <f>AVERAGE(C58:C62)</f>
        <v>0.43983988888888803</v>
      </c>
      <c r="D105">
        <f t="shared" ref="D105:J105" si="24">AVERAGE(D58:D62)</f>
        <v>0.43965284444444375</v>
      </c>
      <c r="E105">
        <f t="shared" si="24"/>
        <v>0.43963588888888838</v>
      </c>
      <c r="F105">
        <f t="shared" si="24"/>
        <v>0.43959455555555521</v>
      </c>
      <c r="G105">
        <f t="shared" si="24"/>
        <v>0.43535877777777704</v>
      </c>
      <c r="H105">
        <f t="shared" si="24"/>
        <v>0.53675424444444397</v>
      </c>
      <c r="I105">
        <f t="shared" si="24"/>
        <v>0.54374944444444395</v>
      </c>
      <c r="J105">
        <f t="shared" si="24"/>
        <v>0.55618364444444379</v>
      </c>
    </row>
    <row r="106" spans="1:10" x14ac:dyDescent="0.25">
      <c r="B106" t="s">
        <v>133</v>
      </c>
      <c r="C106">
        <f>MEDIAN(C58:C62)</f>
        <v>0.43983988888888798</v>
      </c>
      <c r="D106">
        <f>MEDIAN(D58:D62)</f>
        <v>0.43975488888888797</v>
      </c>
      <c r="E106">
        <f t="shared" ref="D106:J106" si="25">MEDIAN(E58:E62)</f>
        <v>0.43960966666666601</v>
      </c>
      <c r="F106">
        <f t="shared" si="25"/>
        <v>0.43957444444444399</v>
      </c>
      <c r="G106">
        <f t="shared" si="25"/>
        <v>0.43535877777777698</v>
      </c>
      <c r="H106">
        <f t="shared" si="25"/>
        <v>0.53904716666666597</v>
      </c>
      <c r="I106">
        <f t="shared" si="25"/>
        <v>0.54597027777777696</v>
      </c>
      <c r="J106">
        <f t="shared" si="25"/>
        <v>0.56947594444444405</v>
      </c>
    </row>
    <row r="107" spans="1:10" x14ac:dyDescent="0.25">
      <c r="B107" t="s">
        <v>134</v>
      </c>
      <c r="C107">
        <v>0</v>
      </c>
      <c r="D107">
        <f>_xlfn.STDEV.S(D58:D62)</f>
        <v>1.8776108735796656E-4</v>
      </c>
      <c r="E107">
        <f t="shared" ref="E107:J107" si="26">_xlfn.STDEV.S(E58:E62)</f>
        <v>1.3036655350060131E-4</v>
      </c>
      <c r="F107">
        <f t="shared" si="26"/>
        <v>5.0404536342911856E-5</v>
      </c>
      <c r="G107">
        <f t="shared" si="26"/>
        <v>6.2063353831181828E-17</v>
      </c>
      <c r="H107">
        <f t="shared" si="26"/>
        <v>1.3379833021665895E-2</v>
      </c>
      <c r="I107">
        <f t="shared" si="26"/>
        <v>4.6593657219148998E-3</v>
      </c>
      <c r="J107">
        <f t="shared" si="26"/>
        <v>3.9636506394930542E-2</v>
      </c>
    </row>
    <row r="108" spans="1:10" x14ac:dyDescent="0.25">
      <c r="A108">
        <v>0</v>
      </c>
    </row>
    <row r="109" spans="1:10" x14ac:dyDescent="0.25">
      <c r="B109" t="s">
        <v>132</v>
      </c>
      <c r="C109">
        <f>AVERAGE(C65:C69)</f>
        <v>0.66053311111111102</v>
      </c>
      <c r="D109">
        <f t="shared" ref="D109:J109" si="27">AVERAGE(D65:D69)</f>
        <v>0.66107822222222157</v>
      </c>
      <c r="E109">
        <f t="shared" si="27"/>
        <v>0.66106597777777765</v>
      </c>
      <c r="F109">
        <f t="shared" si="27"/>
        <v>0.66107715555555502</v>
      </c>
      <c r="G109">
        <f t="shared" si="27"/>
        <v>0.67925322222222195</v>
      </c>
      <c r="H109">
        <f t="shared" si="27"/>
        <v>0.39422634444444399</v>
      </c>
      <c r="I109">
        <f t="shared" si="27"/>
        <v>0.28498229999999963</v>
      </c>
      <c r="J109">
        <f t="shared" si="27"/>
        <v>0.51012408888888838</v>
      </c>
    </row>
    <row r="110" spans="1:10" x14ac:dyDescent="0.25">
      <c r="B110" t="s">
        <v>133</v>
      </c>
      <c r="C110">
        <f>MEDIAN(C65:C69)</f>
        <v>0.66053311111111102</v>
      </c>
      <c r="D110">
        <f t="shared" ref="D110:J110" si="28">MEDIAN(D65:D69)</f>
        <v>0.66115877777777698</v>
      </c>
      <c r="E110">
        <f t="shared" si="28"/>
        <v>0.66103033333333305</v>
      </c>
      <c r="F110">
        <f t="shared" si="28"/>
        <v>0.661092666666666</v>
      </c>
      <c r="G110">
        <f t="shared" si="28"/>
        <v>0.67925322222222195</v>
      </c>
      <c r="H110">
        <f t="shared" si="28"/>
        <v>0.39754027777777701</v>
      </c>
      <c r="I110">
        <f t="shared" si="28"/>
        <v>0.28691361111111102</v>
      </c>
      <c r="J110">
        <f t="shared" si="28"/>
        <v>0.51372477777777703</v>
      </c>
    </row>
    <row r="111" spans="1:10" x14ac:dyDescent="0.25">
      <c r="B111" t="s">
        <v>134</v>
      </c>
      <c r="C111">
        <f>_xlfn.STDEV.S(C65:C69)</f>
        <v>0</v>
      </c>
      <c r="D111">
        <f t="shared" ref="D111:J111" si="29">_xlfn.STDEV.S(D65:D69)</f>
        <v>2.0964923674830879E-4</v>
      </c>
      <c r="E111">
        <f t="shared" si="29"/>
        <v>1.256821240123666E-4</v>
      </c>
      <c r="F111">
        <f t="shared" si="29"/>
        <v>7.8351873298307593E-5</v>
      </c>
      <c r="G111">
        <f t="shared" si="29"/>
        <v>0</v>
      </c>
      <c r="H111">
        <f t="shared" si="29"/>
        <v>1.9793819685559443E-2</v>
      </c>
      <c r="I111">
        <f t="shared" si="29"/>
        <v>8.2457017245313232E-3</v>
      </c>
      <c r="J111">
        <f t="shared" si="29"/>
        <v>7.4843044290042557E-2</v>
      </c>
    </row>
  </sheetData>
  <conditionalFormatting sqref="C2:J69">
    <cfRule type="expression" dxfId="0" priority="2">
      <formula>C2=MAX($C2:$J2)</formula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725CD-FAD6-4AF6-B090-3BB041CAC825}">
  <dimension ref="A1:B7"/>
  <sheetViews>
    <sheetView workbookViewId="0">
      <selection activeCell="J22" sqref="J22"/>
    </sheetView>
  </sheetViews>
  <sheetFormatPr baseColWidth="10" defaultRowHeight="15" x14ac:dyDescent="0.25"/>
  <cols>
    <col min="1" max="1" width="13.85546875" bestFit="1" customWidth="1"/>
    <col min="2" max="2" width="8.42578125" bestFit="1" customWidth="1"/>
  </cols>
  <sheetData>
    <row r="1" spans="1:2" x14ac:dyDescent="0.25">
      <c r="A1" t="s">
        <v>28</v>
      </c>
      <c r="B1" t="s">
        <v>29</v>
      </c>
    </row>
    <row r="2" spans="1:2" x14ac:dyDescent="0.25">
      <c r="A2" t="s">
        <v>14</v>
      </c>
      <c r="B2">
        <v>0.1</v>
      </c>
    </row>
    <row r="3" spans="1:2" x14ac:dyDescent="0.25">
      <c r="A3" t="s">
        <v>57</v>
      </c>
      <c r="B3">
        <v>10</v>
      </c>
    </row>
    <row r="4" spans="1:2" x14ac:dyDescent="0.25">
      <c r="A4" t="s">
        <v>58</v>
      </c>
      <c r="B4">
        <v>0.01</v>
      </c>
    </row>
    <row r="5" spans="1:2" x14ac:dyDescent="0.25">
      <c r="A5" t="s">
        <v>59</v>
      </c>
      <c r="B5">
        <v>0.01</v>
      </c>
    </row>
    <row r="6" spans="1:2" x14ac:dyDescent="0.25">
      <c r="A6" t="s">
        <v>60</v>
      </c>
      <c r="B6">
        <v>0.9</v>
      </c>
    </row>
    <row r="7" spans="1:2" x14ac:dyDescent="0.25">
      <c r="A7" t="s">
        <v>61</v>
      </c>
      <c r="B7">
        <v>50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868B-A130-447A-8B6F-5A9D29A6F930}">
  <dimension ref="A1:B10"/>
  <sheetViews>
    <sheetView workbookViewId="0"/>
  </sheetViews>
  <sheetFormatPr baseColWidth="10" defaultRowHeight="15" x14ac:dyDescent="0.25"/>
  <cols>
    <col min="1" max="1" width="14.140625" bestFit="1" customWidth="1"/>
    <col min="2" max="2" width="10.5703125" bestFit="1" customWidth="1"/>
  </cols>
  <sheetData>
    <row r="1" spans="1:2" x14ac:dyDescent="0.25">
      <c r="A1" t="s">
        <v>28</v>
      </c>
      <c r="B1" t="s">
        <v>29</v>
      </c>
    </row>
    <row r="2" spans="1:2" x14ac:dyDescent="0.25">
      <c r="A2" t="s">
        <v>32</v>
      </c>
      <c r="B2" t="s">
        <v>33</v>
      </c>
    </row>
    <row r="3" spans="1:2" x14ac:dyDescent="0.25">
      <c r="A3" t="s">
        <v>14</v>
      </c>
      <c r="B3">
        <v>0.1</v>
      </c>
    </row>
    <row r="4" spans="1:2" x14ac:dyDescent="0.25">
      <c r="A4" t="s">
        <v>34</v>
      </c>
      <c r="B4">
        <v>30</v>
      </c>
    </row>
    <row r="5" spans="1:2" x14ac:dyDescent="0.25">
      <c r="A5" t="s">
        <v>35</v>
      </c>
      <c r="B5" t="s">
        <v>36</v>
      </c>
    </row>
    <row r="6" spans="1:2" x14ac:dyDescent="0.25">
      <c r="A6" t="s">
        <v>37</v>
      </c>
      <c r="B6" t="s">
        <v>26</v>
      </c>
    </row>
    <row r="7" spans="1:2" x14ac:dyDescent="0.25">
      <c r="A7" t="s">
        <v>38</v>
      </c>
      <c r="B7">
        <v>1</v>
      </c>
    </row>
    <row r="8" spans="1:2" x14ac:dyDescent="0.25">
      <c r="A8" t="s">
        <v>39</v>
      </c>
      <c r="B8">
        <v>20</v>
      </c>
    </row>
    <row r="9" spans="1:2" x14ac:dyDescent="0.25">
      <c r="A9" t="s">
        <v>40</v>
      </c>
      <c r="B9" t="s">
        <v>41</v>
      </c>
    </row>
    <row r="10" spans="1:2" x14ac:dyDescent="0.25">
      <c r="A10" t="s">
        <v>42</v>
      </c>
      <c r="B10">
        <v>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F1C8-BA8E-4FA6-807F-D60059AF15EC}">
  <dimension ref="A1:B11"/>
  <sheetViews>
    <sheetView workbookViewId="0"/>
  </sheetViews>
  <sheetFormatPr baseColWidth="10" defaultRowHeight="15" x14ac:dyDescent="0.25"/>
  <cols>
    <col min="1" max="1" width="14.140625" bestFit="1" customWidth="1"/>
    <col min="2" max="2" width="10.5703125" bestFit="1" customWidth="1"/>
  </cols>
  <sheetData>
    <row r="1" spans="1:2" x14ac:dyDescent="0.25">
      <c r="A1" t="s">
        <v>28</v>
      </c>
      <c r="B1" t="s">
        <v>29</v>
      </c>
    </row>
    <row r="2" spans="1:2" x14ac:dyDescent="0.25">
      <c r="A2" t="s">
        <v>32</v>
      </c>
      <c r="B2" t="s">
        <v>33</v>
      </c>
    </row>
    <row r="3" spans="1:2" x14ac:dyDescent="0.25">
      <c r="A3" t="s">
        <v>14</v>
      </c>
      <c r="B3">
        <v>0.1</v>
      </c>
    </row>
    <row r="4" spans="1:2" x14ac:dyDescent="0.25">
      <c r="A4" t="s">
        <v>34</v>
      </c>
      <c r="B4">
        <v>30</v>
      </c>
    </row>
    <row r="5" spans="1:2" x14ac:dyDescent="0.25">
      <c r="A5" t="s">
        <v>54</v>
      </c>
      <c r="B5" t="s">
        <v>55</v>
      </c>
    </row>
    <row r="6" spans="1:2" x14ac:dyDescent="0.25">
      <c r="A6" t="s">
        <v>35</v>
      </c>
      <c r="B6" t="s">
        <v>36</v>
      </c>
    </row>
    <row r="7" spans="1:2" x14ac:dyDescent="0.25">
      <c r="A7" t="s">
        <v>37</v>
      </c>
      <c r="B7" t="s">
        <v>26</v>
      </c>
    </row>
    <row r="8" spans="1:2" x14ac:dyDescent="0.25">
      <c r="A8" t="s">
        <v>38</v>
      </c>
      <c r="B8">
        <v>1</v>
      </c>
    </row>
    <row r="9" spans="1:2" x14ac:dyDescent="0.25">
      <c r="A9" t="s">
        <v>39</v>
      </c>
      <c r="B9">
        <v>5</v>
      </c>
    </row>
    <row r="10" spans="1:2" x14ac:dyDescent="0.25">
      <c r="A10" t="s">
        <v>42</v>
      </c>
      <c r="B10">
        <v>2</v>
      </c>
    </row>
    <row r="11" spans="1:2" x14ac:dyDescent="0.25">
      <c r="A11" t="s">
        <v>56</v>
      </c>
      <c r="B11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4BEA-0775-4072-B5D8-47402912B0FE}">
  <dimension ref="A1:B13"/>
  <sheetViews>
    <sheetView workbookViewId="0">
      <selection activeCell="C19" sqref="C19"/>
    </sheetView>
  </sheetViews>
  <sheetFormatPr baseColWidth="10" defaultRowHeight="15" x14ac:dyDescent="0.25"/>
  <cols>
    <col min="1" max="1" width="18.140625" bestFit="1" customWidth="1"/>
    <col min="2" max="2" width="8.5703125" bestFit="1" customWidth="1"/>
  </cols>
  <sheetData>
    <row r="1" spans="1:2" x14ac:dyDescent="0.25">
      <c r="A1" t="s">
        <v>28</v>
      </c>
      <c r="B1" t="s">
        <v>29</v>
      </c>
    </row>
    <row r="2" spans="1:2" x14ac:dyDescent="0.25">
      <c r="A2" t="s">
        <v>43</v>
      </c>
      <c r="B2" t="s">
        <v>26</v>
      </c>
    </row>
    <row r="3" spans="1:2" x14ac:dyDescent="0.25">
      <c r="A3" t="s">
        <v>44</v>
      </c>
      <c r="B3" t="s">
        <v>27</v>
      </c>
    </row>
    <row r="4" spans="1:2" x14ac:dyDescent="0.25">
      <c r="A4" t="s">
        <v>45</v>
      </c>
      <c r="B4" t="s">
        <v>41</v>
      </c>
    </row>
    <row r="5" spans="1:2" x14ac:dyDescent="0.25">
      <c r="A5" t="s">
        <v>46</v>
      </c>
      <c r="B5" t="s">
        <v>27</v>
      </c>
    </row>
    <row r="6" spans="1:2" x14ac:dyDescent="0.25">
      <c r="A6" t="s">
        <v>47</v>
      </c>
      <c r="B6" t="s">
        <v>48</v>
      </c>
    </row>
    <row r="7" spans="1:2" x14ac:dyDescent="0.25">
      <c r="A7" t="s">
        <v>14</v>
      </c>
      <c r="B7">
        <v>0.1</v>
      </c>
    </row>
    <row r="8" spans="1:2" x14ac:dyDescent="0.25">
      <c r="A8" t="s">
        <v>49</v>
      </c>
      <c r="B8" t="s">
        <v>53</v>
      </c>
    </row>
    <row r="9" spans="1:2" x14ac:dyDescent="0.25">
      <c r="A9" t="s">
        <v>50</v>
      </c>
      <c r="B9">
        <v>1</v>
      </c>
    </row>
    <row r="10" spans="1:2" x14ac:dyDescent="0.25">
      <c r="A10" t="s">
        <v>51</v>
      </c>
      <c r="B10">
        <v>500</v>
      </c>
    </row>
    <row r="11" spans="1:2" x14ac:dyDescent="0.25">
      <c r="A11" t="s">
        <v>38</v>
      </c>
      <c r="B11">
        <v>1</v>
      </c>
    </row>
    <row r="12" spans="1:2" x14ac:dyDescent="0.25">
      <c r="A12" t="s">
        <v>52</v>
      </c>
      <c r="B12" t="s">
        <v>26</v>
      </c>
    </row>
    <row r="13" spans="1:2" x14ac:dyDescent="0.25">
      <c r="A13" t="s">
        <v>24</v>
      </c>
      <c r="B13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C9F74-378E-4554-A338-EAA9D1B2FF86}">
  <dimension ref="A1:B13"/>
  <sheetViews>
    <sheetView workbookViewId="0">
      <selection activeCell="D25" sqref="D25"/>
    </sheetView>
  </sheetViews>
  <sheetFormatPr baseColWidth="10" defaultRowHeight="15" x14ac:dyDescent="0.25"/>
  <cols>
    <col min="1" max="1" width="18.140625" bestFit="1" customWidth="1"/>
    <col min="2" max="2" width="8.5703125" bestFit="1" customWidth="1"/>
  </cols>
  <sheetData>
    <row r="1" spans="1:2" x14ac:dyDescent="0.25">
      <c r="A1" t="s">
        <v>28</v>
      </c>
      <c r="B1" t="s">
        <v>29</v>
      </c>
    </row>
    <row r="2" spans="1:2" x14ac:dyDescent="0.25">
      <c r="A2" t="s">
        <v>43</v>
      </c>
      <c r="B2" t="s">
        <v>26</v>
      </c>
    </row>
    <row r="3" spans="1:2" x14ac:dyDescent="0.25">
      <c r="A3" t="s">
        <v>44</v>
      </c>
      <c r="B3" t="s">
        <v>27</v>
      </c>
    </row>
    <row r="4" spans="1:2" x14ac:dyDescent="0.25">
      <c r="A4" t="s">
        <v>45</v>
      </c>
      <c r="B4" t="s">
        <v>41</v>
      </c>
    </row>
    <row r="5" spans="1:2" x14ac:dyDescent="0.25">
      <c r="A5" t="s">
        <v>46</v>
      </c>
      <c r="B5" t="s">
        <v>27</v>
      </c>
    </row>
    <row r="6" spans="1:2" x14ac:dyDescent="0.25">
      <c r="A6" t="s">
        <v>47</v>
      </c>
      <c r="B6" t="s">
        <v>48</v>
      </c>
    </row>
    <row r="7" spans="1:2" x14ac:dyDescent="0.25">
      <c r="A7" t="s">
        <v>14</v>
      </c>
      <c r="B7">
        <v>0.1</v>
      </c>
    </row>
    <row r="8" spans="1:2" x14ac:dyDescent="0.25">
      <c r="A8" t="s">
        <v>49</v>
      </c>
      <c r="B8" t="s">
        <v>53</v>
      </c>
    </row>
    <row r="9" spans="1:2" x14ac:dyDescent="0.25">
      <c r="A9" t="s">
        <v>50</v>
      </c>
      <c r="B9">
        <v>1</v>
      </c>
    </row>
    <row r="10" spans="1:2" x14ac:dyDescent="0.25">
      <c r="A10" t="s">
        <v>51</v>
      </c>
      <c r="B10">
        <v>100</v>
      </c>
    </row>
    <row r="11" spans="1:2" x14ac:dyDescent="0.25">
      <c r="A11" t="s">
        <v>38</v>
      </c>
      <c r="B11">
        <v>1</v>
      </c>
    </row>
    <row r="12" spans="1:2" x14ac:dyDescent="0.25">
      <c r="A12" t="s">
        <v>52</v>
      </c>
      <c r="B12" t="s">
        <v>26</v>
      </c>
    </row>
    <row r="13" spans="1:2" x14ac:dyDescent="0.25">
      <c r="A13" t="s">
        <v>24</v>
      </c>
      <c r="B13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AFB6F-96BB-4FA8-B788-9A8FFB6F1F8E}">
  <dimension ref="A1:B13"/>
  <sheetViews>
    <sheetView workbookViewId="0">
      <selection activeCell="C12" sqref="C12"/>
    </sheetView>
  </sheetViews>
  <sheetFormatPr baseColWidth="10" defaultRowHeight="15" x14ac:dyDescent="0.25"/>
  <cols>
    <col min="1" max="1" width="18.140625" bestFit="1" customWidth="1"/>
    <col min="2" max="2" width="8.5703125" bestFit="1" customWidth="1"/>
  </cols>
  <sheetData>
    <row r="1" spans="1:2" x14ac:dyDescent="0.25">
      <c r="A1" t="s">
        <v>28</v>
      </c>
      <c r="B1" t="s">
        <v>29</v>
      </c>
    </row>
    <row r="2" spans="1:2" x14ac:dyDescent="0.25">
      <c r="A2" t="s">
        <v>43</v>
      </c>
      <c r="B2" t="s">
        <v>26</v>
      </c>
    </row>
    <row r="3" spans="1:2" x14ac:dyDescent="0.25">
      <c r="A3" t="s">
        <v>44</v>
      </c>
      <c r="B3" t="s">
        <v>27</v>
      </c>
    </row>
    <row r="4" spans="1:2" x14ac:dyDescent="0.25">
      <c r="A4" t="s">
        <v>45</v>
      </c>
      <c r="B4" t="s">
        <v>41</v>
      </c>
    </row>
    <row r="5" spans="1:2" x14ac:dyDescent="0.25">
      <c r="A5" t="s">
        <v>46</v>
      </c>
      <c r="B5" t="s">
        <v>27</v>
      </c>
    </row>
    <row r="6" spans="1:2" x14ac:dyDescent="0.25">
      <c r="A6" t="s">
        <v>47</v>
      </c>
      <c r="B6" t="s">
        <v>48</v>
      </c>
    </row>
    <row r="7" spans="1:2" x14ac:dyDescent="0.25">
      <c r="A7" t="s">
        <v>14</v>
      </c>
      <c r="B7">
        <v>0.1</v>
      </c>
    </row>
    <row r="8" spans="1:2" x14ac:dyDescent="0.25">
      <c r="A8" t="s">
        <v>49</v>
      </c>
      <c r="B8" t="s">
        <v>53</v>
      </c>
    </row>
    <row r="9" spans="1:2" x14ac:dyDescent="0.25">
      <c r="A9" t="s">
        <v>50</v>
      </c>
      <c r="B9">
        <v>1</v>
      </c>
    </row>
    <row r="10" spans="1:2" x14ac:dyDescent="0.25">
      <c r="A10" t="s">
        <v>51</v>
      </c>
      <c r="B10">
        <v>50</v>
      </c>
    </row>
    <row r="11" spans="1:2" x14ac:dyDescent="0.25">
      <c r="A11" t="s">
        <v>38</v>
      </c>
      <c r="B11">
        <v>1</v>
      </c>
    </row>
    <row r="12" spans="1:2" x14ac:dyDescent="0.25">
      <c r="A12" t="s">
        <v>52</v>
      </c>
      <c r="B12" t="s">
        <v>26</v>
      </c>
    </row>
    <row r="13" spans="1:2" x14ac:dyDescent="0.25">
      <c r="A13" t="s">
        <v>24</v>
      </c>
      <c r="B13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2AB39-7364-4596-83A8-2C3979A060DF}">
  <dimension ref="A1:B15"/>
  <sheetViews>
    <sheetView workbookViewId="0">
      <selection activeCell="B16" sqref="B16"/>
    </sheetView>
  </sheetViews>
  <sheetFormatPr baseColWidth="10" defaultRowHeight="15" x14ac:dyDescent="0.25"/>
  <cols>
    <col min="2" max="2" width="18.7109375" bestFit="1" customWidth="1"/>
  </cols>
  <sheetData>
    <row r="1" spans="1:2" x14ac:dyDescent="0.25">
      <c r="A1" t="s">
        <v>1</v>
      </c>
      <c r="B1" t="s">
        <v>94</v>
      </c>
    </row>
    <row r="2" spans="1:2" x14ac:dyDescent="0.25">
      <c r="A2">
        <v>0</v>
      </c>
      <c r="B2">
        <v>0.60592099999999904</v>
      </c>
    </row>
    <row r="3" spans="1:2" x14ac:dyDescent="0.25">
      <c r="A3">
        <v>1</v>
      </c>
      <c r="B3">
        <v>0.60126944444444397</v>
      </c>
    </row>
    <row r="4" spans="1:2" x14ac:dyDescent="0.25">
      <c r="A4">
        <v>2</v>
      </c>
      <c r="B4">
        <v>0.482588944444444</v>
      </c>
    </row>
    <row r="5" spans="1:2" x14ac:dyDescent="0.25">
      <c r="A5">
        <v>3</v>
      </c>
      <c r="B5">
        <v>0.56833738888888796</v>
      </c>
    </row>
    <row r="6" spans="1:2" x14ac:dyDescent="0.25">
      <c r="A6">
        <v>4</v>
      </c>
      <c r="B6">
        <v>0.58301266666666596</v>
      </c>
    </row>
    <row r="7" spans="1:2" x14ac:dyDescent="0.25">
      <c r="A7">
        <v>5</v>
      </c>
      <c r="B7">
        <v>0.62031599999999998</v>
      </c>
    </row>
    <row r="8" spans="1:2" x14ac:dyDescent="0.25">
      <c r="A8">
        <v>6</v>
      </c>
      <c r="B8">
        <v>0.59259855555555496</v>
      </c>
    </row>
    <row r="9" spans="1:2" x14ac:dyDescent="0.25">
      <c r="A9">
        <v>7</v>
      </c>
      <c r="B9">
        <v>0.61475588888888799</v>
      </c>
    </row>
    <row r="10" spans="1:2" x14ac:dyDescent="0.25">
      <c r="A10">
        <v>8</v>
      </c>
      <c r="B10">
        <v>0.77983127777777705</v>
      </c>
    </row>
    <row r="11" spans="1:2" x14ac:dyDescent="0.25">
      <c r="A11">
        <v>9</v>
      </c>
      <c r="B11">
        <v>0.68878561111111103</v>
      </c>
    </row>
    <row r="13" spans="1:2" x14ac:dyDescent="0.25">
      <c r="A13" t="s">
        <v>130</v>
      </c>
      <c r="B13">
        <f>AVERAGE(Tabelle11[Test AUC])</f>
        <v>0.61374167777777733</v>
      </c>
    </row>
    <row r="14" spans="1:2" x14ac:dyDescent="0.25">
      <c r="A14" t="s">
        <v>133</v>
      </c>
      <c r="B14">
        <f>MEDIAN(Tabelle11[Test AUC])</f>
        <v>0.60359522222222151</v>
      </c>
    </row>
    <row r="15" spans="1:2" x14ac:dyDescent="0.25">
      <c r="A15" t="s">
        <v>134</v>
      </c>
      <c r="B15">
        <f>_xlfn.STDEV.S(Tabelle11[Test AUC])</f>
        <v>7.7554432319688088E-2</v>
      </c>
    </row>
  </sheetData>
  <conditionalFormatting sqref="B2:B11">
    <cfRule type="expression" dxfId="11" priority="1">
      <formula>B2=MAX(B$2:B$11)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FD607-CEA6-4527-AC77-A4485E2F8AF9}">
  <dimension ref="A1:B16"/>
  <sheetViews>
    <sheetView workbookViewId="0">
      <selection activeCell="S3" sqref="S3"/>
    </sheetView>
  </sheetViews>
  <sheetFormatPr baseColWidth="10" defaultRowHeight="15" x14ac:dyDescent="0.25"/>
  <cols>
    <col min="1" max="1" width="17.140625" bestFit="1" customWidth="1"/>
    <col min="2" max="2" width="21.42578125" bestFit="1" customWidth="1"/>
  </cols>
  <sheetData>
    <row r="1" spans="1:2" x14ac:dyDescent="0.25">
      <c r="A1" t="s">
        <v>28</v>
      </c>
      <c r="B1" t="s">
        <v>29</v>
      </c>
    </row>
    <row r="2" spans="1:2" x14ac:dyDescent="0.25">
      <c r="A2" t="s">
        <v>13</v>
      </c>
      <c r="B2">
        <v>32</v>
      </c>
    </row>
    <row r="3" spans="1:2" ht="409.5" x14ac:dyDescent="0.25">
      <c r="A3" t="s">
        <v>62</v>
      </c>
      <c r="B3" s="2" t="s">
        <v>126</v>
      </c>
    </row>
    <row r="4" spans="1:2" x14ac:dyDescent="0.25">
      <c r="A4" t="s">
        <v>14</v>
      </c>
      <c r="B4">
        <v>0.1</v>
      </c>
    </row>
    <row r="5" spans="1:2" x14ac:dyDescent="0.25">
      <c r="A5" t="s">
        <v>15</v>
      </c>
      <c r="B5">
        <v>0.2</v>
      </c>
    </row>
    <row r="6" spans="1:2" x14ac:dyDescent="0.25">
      <c r="A6" t="s">
        <v>16</v>
      </c>
      <c r="B6">
        <v>100</v>
      </c>
    </row>
    <row r="7" spans="1:2" x14ac:dyDescent="0.25">
      <c r="A7" t="s">
        <v>63</v>
      </c>
      <c r="B7" t="s">
        <v>64</v>
      </c>
    </row>
    <row r="8" spans="1:2" x14ac:dyDescent="0.25">
      <c r="A8" t="s">
        <v>65</v>
      </c>
      <c r="B8" t="s">
        <v>72</v>
      </c>
    </row>
    <row r="9" spans="1:2" x14ac:dyDescent="0.25">
      <c r="A9" t="s">
        <v>66</v>
      </c>
      <c r="B9">
        <v>0.1</v>
      </c>
    </row>
    <row r="10" spans="1:2" x14ac:dyDescent="0.25">
      <c r="A10" t="s">
        <v>67</v>
      </c>
      <c r="B10" t="s">
        <v>68</v>
      </c>
    </row>
    <row r="11" spans="1:2" x14ac:dyDescent="0.25">
      <c r="A11" t="s">
        <v>22</v>
      </c>
      <c r="B11" t="s">
        <v>69</v>
      </c>
    </row>
    <row r="12" spans="1:2" x14ac:dyDescent="0.25">
      <c r="A12" t="s">
        <v>23</v>
      </c>
      <c r="B12" t="s">
        <v>41</v>
      </c>
    </row>
    <row r="13" spans="1:2" x14ac:dyDescent="0.25">
      <c r="A13" t="s">
        <v>52</v>
      </c>
      <c r="B13" t="s">
        <v>26</v>
      </c>
    </row>
    <row r="14" spans="1:2" x14ac:dyDescent="0.25">
      <c r="A14" t="s">
        <v>70</v>
      </c>
      <c r="B14" t="s">
        <v>27</v>
      </c>
    </row>
    <row r="15" spans="1:2" x14ac:dyDescent="0.25">
      <c r="A15" t="s">
        <v>71</v>
      </c>
      <c r="B15">
        <v>0.1</v>
      </c>
    </row>
    <row r="16" spans="1:2" x14ac:dyDescent="0.25">
      <c r="A16" t="s">
        <v>24</v>
      </c>
      <c r="B16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D5D69-C78D-44E6-93E6-EFD6A60E4D9F}">
  <dimension ref="A1:B16"/>
  <sheetViews>
    <sheetView workbookViewId="0">
      <selection activeCell="C9" sqref="C9"/>
    </sheetView>
  </sheetViews>
  <sheetFormatPr baseColWidth="10" defaultRowHeight="15" x14ac:dyDescent="0.25"/>
  <cols>
    <col min="1" max="1" width="29.140625" bestFit="1" customWidth="1"/>
    <col min="2" max="2" width="23" bestFit="1" customWidth="1"/>
  </cols>
  <sheetData>
    <row r="1" spans="1:2" x14ac:dyDescent="0.25">
      <c r="A1" t="s">
        <v>28</v>
      </c>
      <c r="B1" t="s">
        <v>29</v>
      </c>
    </row>
    <row r="2" spans="1:2" x14ac:dyDescent="0.25">
      <c r="A2" t="s">
        <v>10</v>
      </c>
      <c r="B2" s="1" t="s">
        <v>30</v>
      </c>
    </row>
    <row r="3" spans="1:2" x14ac:dyDescent="0.25">
      <c r="A3" t="s">
        <v>11</v>
      </c>
      <c r="B3" s="1" t="s">
        <v>31</v>
      </c>
    </row>
    <row r="4" spans="1:2" x14ac:dyDescent="0.25">
      <c r="A4" t="s">
        <v>12</v>
      </c>
      <c r="B4" t="s">
        <v>25</v>
      </c>
    </row>
    <row r="5" spans="1:2" x14ac:dyDescent="0.25">
      <c r="A5" t="s">
        <v>13</v>
      </c>
      <c r="B5">
        <v>32</v>
      </c>
    </row>
    <row r="6" spans="1:2" x14ac:dyDescent="0.25">
      <c r="A6" t="s">
        <v>14</v>
      </c>
      <c r="B6">
        <v>0.1</v>
      </c>
    </row>
    <row r="7" spans="1:2" x14ac:dyDescent="0.25">
      <c r="A7" t="s">
        <v>15</v>
      </c>
      <c r="B7">
        <v>0.2</v>
      </c>
    </row>
    <row r="8" spans="1:2" x14ac:dyDescent="0.25">
      <c r="A8" t="s">
        <v>16</v>
      </c>
      <c r="B8">
        <v>500</v>
      </c>
    </row>
    <row r="9" spans="1:2" x14ac:dyDescent="0.25">
      <c r="A9" t="s">
        <v>17</v>
      </c>
      <c r="B9">
        <v>20</v>
      </c>
    </row>
    <row r="10" spans="1:2" x14ac:dyDescent="0.25">
      <c r="A10" t="s">
        <v>18</v>
      </c>
      <c r="B10">
        <v>1</v>
      </c>
    </row>
    <row r="11" spans="1:2" x14ac:dyDescent="0.25">
      <c r="A11" t="s">
        <v>19</v>
      </c>
      <c r="B11">
        <v>2</v>
      </c>
    </row>
    <row r="12" spans="1:2" x14ac:dyDescent="0.25">
      <c r="A12" t="s">
        <v>20</v>
      </c>
      <c r="B12">
        <v>1E-3</v>
      </c>
    </row>
    <row r="13" spans="1:2" x14ac:dyDescent="0.25">
      <c r="A13" t="s">
        <v>21</v>
      </c>
      <c r="B13">
        <v>0.01</v>
      </c>
    </row>
    <row r="14" spans="1:2" x14ac:dyDescent="0.25">
      <c r="A14" t="s">
        <v>22</v>
      </c>
      <c r="B14" t="s">
        <v>26</v>
      </c>
    </row>
    <row r="15" spans="1:2" x14ac:dyDescent="0.25">
      <c r="A15" t="s">
        <v>23</v>
      </c>
      <c r="B15" t="s">
        <v>27</v>
      </c>
    </row>
    <row r="16" spans="1:2" x14ac:dyDescent="0.25">
      <c r="A16" t="s">
        <v>24</v>
      </c>
      <c r="B16">
        <v>0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00C28-627D-4DD7-A496-EC282D19DD96}">
  <dimension ref="A1:B15"/>
  <sheetViews>
    <sheetView workbookViewId="0">
      <selection activeCell="C15" sqref="C15"/>
    </sheetView>
  </sheetViews>
  <sheetFormatPr baseColWidth="10" defaultRowHeight="15" x14ac:dyDescent="0.25"/>
  <cols>
    <col min="2" max="2" width="19.140625" bestFit="1" customWidth="1"/>
  </cols>
  <sheetData>
    <row r="1" spans="1:2" x14ac:dyDescent="0.25">
      <c r="A1" t="s">
        <v>1</v>
      </c>
      <c r="B1" t="s">
        <v>94</v>
      </c>
    </row>
    <row r="2" spans="1:2" x14ac:dyDescent="0.25">
      <c r="A2">
        <v>0</v>
      </c>
      <c r="B2">
        <v>0.97095603873478398</v>
      </c>
    </row>
    <row r="3" spans="1:2" x14ac:dyDescent="0.25">
      <c r="A3">
        <v>1</v>
      </c>
      <c r="B3">
        <v>0.99563377237117701</v>
      </c>
    </row>
    <row r="4" spans="1:2" x14ac:dyDescent="0.25">
      <c r="A4">
        <v>2</v>
      </c>
      <c r="B4">
        <v>0.88485642750451199</v>
      </c>
    </row>
    <row r="5" spans="1:2" x14ac:dyDescent="0.25">
      <c r="A5">
        <v>3</v>
      </c>
      <c r="B5">
        <v>0.90371722155530299</v>
      </c>
    </row>
    <row r="6" spans="1:2" x14ac:dyDescent="0.25">
      <c r="A6">
        <v>4</v>
      </c>
      <c r="B6">
        <v>0.93373809068895397</v>
      </c>
    </row>
    <row r="7" spans="1:2" x14ac:dyDescent="0.25">
      <c r="A7">
        <v>5</v>
      </c>
      <c r="B7">
        <v>0.85497830222679105</v>
      </c>
    </row>
    <row r="8" spans="1:2" x14ac:dyDescent="0.25">
      <c r="A8" s="3">
        <v>6</v>
      </c>
      <c r="B8" s="4">
        <v>0.97450612059057196</v>
      </c>
    </row>
    <row r="9" spans="1:2" x14ac:dyDescent="0.25">
      <c r="A9">
        <v>7</v>
      </c>
      <c r="B9">
        <v>0.94366541995763698</v>
      </c>
    </row>
    <row r="10" spans="1:2" x14ac:dyDescent="0.25">
      <c r="A10" s="3">
        <v>8</v>
      </c>
      <c r="B10" s="4">
        <v>0.88116533982822098</v>
      </c>
    </row>
    <row r="11" spans="1:2" x14ac:dyDescent="0.25">
      <c r="A11">
        <v>9</v>
      </c>
      <c r="B11">
        <v>0.96254441866158602</v>
      </c>
    </row>
    <row r="13" spans="1:2" x14ac:dyDescent="0.25">
      <c r="A13" t="s">
        <v>132</v>
      </c>
      <c r="B13">
        <f>AVERAGE(Tabelle13[Test AUC])</f>
        <v>0.93057611521195371</v>
      </c>
    </row>
    <row r="14" spans="1:2" x14ac:dyDescent="0.25">
      <c r="A14" t="s">
        <v>133</v>
      </c>
      <c r="B14">
        <f>MEDIAN(Tabelle13[Test AUC])</f>
        <v>0.93870175532329547</v>
      </c>
    </row>
    <row r="15" spans="1:2" x14ac:dyDescent="0.25">
      <c r="A15" t="s">
        <v>134</v>
      </c>
      <c r="B15">
        <f>_xlfn.STDEV.S(Tabelle13[Test AUC])</f>
        <v>4.7098392080479258E-2</v>
      </c>
    </row>
  </sheetData>
  <conditionalFormatting sqref="B2:B11">
    <cfRule type="expression" dxfId="10" priority="1">
      <formula>B2=MAX(B$2:B$11)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F6751-152A-4EE3-A1A4-9980A8DC1197}">
  <dimension ref="A1:C22"/>
  <sheetViews>
    <sheetView workbookViewId="0">
      <selection activeCell="B22" sqref="A20:B22"/>
    </sheetView>
  </sheetViews>
  <sheetFormatPr baseColWidth="10" defaultRowHeight="15" x14ac:dyDescent="0.25"/>
  <cols>
    <col min="1" max="1" width="24.28515625" bestFit="1" customWidth="1"/>
    <col min="2" max="2" width="14.42578125" bestFit="1" customWidth="1"/>
    <col min="3" max="3" width="20.140625" bestFit="1" customWidth="1"/>
  </cols>
  <sheetData>
    <row r="1" spans="1:3" x14ac:dyDescent="0.25">
      <c r="A1" t="s">
        <v>84</v>
      </c>
      <c r="B1" t="s">
        <v>85</v>
      </c>
      <c r="C1" t="s">
        <v>86</v>
      </c>
    </row>
    <row r="2" spans="1:3" x14ac:dyDescent="0.25">
      <c r="A2">
        <v>1E-4</v>
      </c>
      <c r="B2" t="s">
        <v>87</v>
      </c>
      <c r="C2">
        <v>0.19716541111111099</v>
      </c>
    </row>
    <row r="3" spans="1:3" x14ac:dyDescent="0.25">
      <c r="A3">
        <v>1E-4</v>
      </c>
      <c r="B3" t="s">
        <v>88</v>
      </c>
      <c r="C3">
        <v>0.2078933</v>
      </c>
    </row>
    <row r="4" spans="1:3" x14ac:dyDescent="0.25">
      <c r="A4">
        <v>1E-4</v>
      </c>
      <c r="B4" t="s">
        <v>89</v>
      </c>
      <c r="C4">
        <v>0.25731834444444401</v>
      </c>
    </row>
    <row r="5" spans="1:3" x14ac:dyDescent="0.25">
      <c r="A5">
        <v>1E-4</v>
      </c>
      <c r="B5" t="s">
        <v>90</v>
      </c>
      <c r="C5">
        <v>0.29115987777777702</v>
      </c>
    </row>
    <row r="6" spans="1:3" x14ac:dyDescent="0.25">
      <c r="A6">
        <v>1E-4</v>
      </c>
      <c r="B6" t="s">
        <v>91</v>
      </c>
      <c r="C6">
        <v>0.323646322222222</v>
      </c>
    </row>
    <row r="7" spans="1:3" x14ac:dyDescent="0.25">
      <c r="A7">
        <v>1E-3</v>
      </c>
      <c r="B7" t="s">
        <v>87</v>
      </c>
      <c r="C7">
        <v>0.316577377777777</v>
      </c>
    </row>
    <row r="8" spans="1:3" x14ac:dyDescent="0.25">
      <c r="A8">
        <v>1E-3</v>
      </c>
      <c r="B8" t="s">
        <v>88</v>
      </c>
      <c r="C8">
        <v>0.37665785555555498</v>
      </c>
    </row>
    <row r="9" spans="1:3" x14ac:dyDescent="0.25">
      <c r="A9">
        <v>1E-3</v>
      </c>
      <c r="B9" t="s">
        <v>89</v>
      </c>
      <c r="C9">
        <v>0.35733213333333302</v>
      </c>
    </row>
    <row r="10" spans="1:3" x14ac:dyDescent="0.25">
      <c r="A10">
        <v>1E-3</v>
      </c>
      <c r="B10" t="s">
        <v>90</v>
      </c>
      <c r="C10">
        <v>0.38306323333333298</v>
      </c>
    </row>
    <row r="11" spans="1:3" x14ac:dyDescent="0.25">
      <c r="A11">
        <v>1E-3</v>
      </c>
      <c r="B11" t="s">
        <v>91</v>
      </c>
      <c r="C11">
        <v>0.404012044444444</v>
      </c>
    </row>
    <row r="12" spans="1:3" x14ac:dyDescent="0.25">
      <c r="A12">
        <v>0.01</v>
      </c>
      <c r="B12" t="s">
        <v>87</v>
      </c>
      <c r="C12">
        <v>0.33323087777777699</v>
      </c>
    </row>
    <row r="13" spans="1:3" x14ac:dyDescent="0.25">
      <c r="A13">
        <v>0.01</v>
      </c>
      <c r="B13" t="s">
        <v>88</v>
      </c>
      <c r="C13">
        <v>0.33435933333333301</v>
      </c>
    </row>
    <row r="14" spans="1:3" x14ac:dyDescent="0.25">
      <c r="A14">
        <v>0.01</v>
      </c>
      <c r="B14" t="s">
        <v>89</v>
      </c>
      <c r="C14">
        <v>0.36533165555555502</v>
      </c>
    </row>
    <row r="15" spans="1:3" x14ac:dyDescent="0.25">
      <c r="A15">
        <v>0.01</v>
      </c>
      <c r="B15" t="s">
        <v>90</v>
      </c>
      <c r="C15">
        <v>0.39693328888888801</v>
      </c>
    </row>
    <row r="16" spans="1:3" x14ac:dyDescent="0.25">
      <c r="A16">
        <v>0.01</v>
      </c>
      <c r="B16" t="s">
        <v>91</v>
      </c>
      <c r="C16">
        <v>0.414871122222222</v>
      </c>
    </row>
    <row r="18" spans="1:2" x14ac:dyDescent="0.25">
      <c r="A18" t="s">
        <v>93</v>
      </c>
    </row>
    <row r="20" spans="1:2" x14ac:dyDescent="0.25">
      <c r="A20" t="s">
        <v>132</v>
      </c>
      <c r="B20">
        <f>AVERAGE(Tabelle_Params_8_C__2[[ Average AUC]])</f>
        <v>0.3306368118518514</v>
      </c>
    </row>
    <row r="21" spans="1:2" x14ac:dyDescent="0.25">
      <c r="A21" t="s">
        <v>133</v>
      </c>
      <c r="B21">
        <f>MEDIAN(Tabelle_Params_8_C__2[[ Average AUC]])</f>
        <v>0.33435933333333301</v>
      </c>
    </row>
    <row r="22" spans="1:2" x14ac:dyDescent="0.25">
      <c r="A22" t="s">
        <v>134</v>
      </c>
      <c r="B22">
        <f>_xlfn.STDEV.S(Tabelle_Params_8_C__2[[ Average AUC]])</f>
        <v>6.7474406074188142E-2</v>
      </c>
    </row>
  </sheetData>
  <conditionalFormatting sqref="C2:C16">
    <cfRule type="expression" dxfId="9" priority="1">
      <formula>C2=MAX(C$2:C$16)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3303F-87FE-4205-B3EA-701B76971E5A}">
  <dimension ref="A1:C22"/>
  <sheetViews>
    <sheetView workbookViewId="0">
      <selection activeCell="B22" sqref="A20:B22"/>
    </sheetView>
  </sheetViews>
  <sheetFormatPr baseColWidth="10" defaultRowHeight="15" x14ac:dyDescent="0.25"/>
  <cols>
    <col min="1" max="1" width="24.28515625" bestFit="1" customWidth="1"/>
    <col min="2" max="2" width="14.42578125" bestFit="1" customWidth="1"/>
    <col min="3" max="3" width="20.140625" bestFit="1" customWidth="1"/>
  </cols>
  <sheetData>
    <row r="1" spans="1:3" x14ac:dyDescent="0.25">
      <c r="A1" t="s">
        <v>84</v>
      </c>
      <c r="B1" t="s">
        <v>85</v>
      </c>
      <c r="C1" t="s">
        <v>86</v>
      </c>
    </row>
    <row r="2" spans="1:3" x14ac:dyDescent="0.25">
      <c r="A2">
        <v>1E-4</v>
      </c>
      <c r="B2" t="s">
        <v>87</v>
      </c>
      <c r="C2">
        <v>0.37070612222222199</v>
      </c>
    </row>
    <row r="3" spans="1:3" x14ac:dyDescent="0.25">
      <c r="A3">
        <v>1E-4</v>
      </c>
      <c r="B3" t="s">
        <v>88</v>
      </c>
      <c r="C3">
        <v>0.57118539999999995</v>
      </c>
    </row>
    <row r="4" spans="1:3" x14ac:dyDescent="0.25">
      <c r="A4">
        <v>1E-4</v>
      </c>
      <c r="B4" t="s">
        <v>89</v>
      </c>
      <c r="C4">
        <v>0.58235571111111095</v>
      </c>
    </row>
    <row r="5" spans="1:3" x14ac:dyDescent="0.25">
      <c r="A5">
        <v>1E-4</v>
      </c>
      <c r="B5" t="s">
        <v>90</v>
      </c>
      <c r="C5">
        <v>0.562151411111111</v>
      </c>
    </row>
    <row r="6" spans="1:3" x14ac:dyDescent="0.25">
      <c r="A6">
        <v>1E-4</v>
      </c>
      <c r="B6" t="s">
        <v>91</v>
      </c>
      <c r="C6">
        <v>0.572044988888888</v>
      </c>
    </row>
    <row r="7" spans="1:3" x14ac:dyDescent="0.25">
      <c r="A7">
        <v>1E-3</v>
      </c>
      <c r="B7" t="s">
        <v>87</v>
      </c>
      <c r="C7">
        <v>0.48506802222222201</v>
      </c>
    </row>
    <row r="8" spans="1:3" x14ac:dyDescent="0.25">
      <c r="A8">
        <v>1E-3</v>
      </c>
      <c r="B8" t="s">
        <v>88</v>
      </c>
      <c r="C8">
        <v>0.60449844444444401</v>
      </c>
    </row>
    <row r="9" spans="1:3" x14ac:dyDescent="0.25">
      <c r="A9">
        <v>1E-3</v>
      </c>
      <c r="B9" t="s">
        <v>89</v>
      </c>
      <c r="C9">
        <v>0.59141659999999996</v>
      </c>
    </row>
    <row r="10" spans="1:3" x14ac:dyDescent="0.25">
      <c r="A10">
        <v>1E-3</v>
      </c>
      <c r="B10" t="s">
        <v>90</v>
      </c>
      <c r="C10">
        <v>0.57933575555555505</v>
      </c>
    </row>
    <row r="11" spans="1:3" x14ac:dyDescent="0.25">
      <c r="A11">
        <v>1E-3</v>
      </c>
      <c r="B11" t="s">
        <v>91</v>
      </c>
      <c r="C11">
        <v>0.56823123333333303</v>
      </c>
    </row>
    <row r="12" spans="1:3" x14ac:dyDescent="0.25">
      <c r="A12">
        <v>0.01</v>
      </c>
      <c r="B12" t="s">
        <v>87</v>
      </c>
      <c r="C12">
        <v>0.60540818888888803</v>
      </c>
    </row>
    <row r="13" spans="1:3" x14ac:dyDescent="0.25">
      <c r="A13">
        <v>0.01</v>
      </c>
      <c r="B13" t="s">
        <v>88</v>
      </c>
      <c r="C13">
        <v>0.58310695555555503</v>
      </c>
    </row>
    <row r="14" spans="1:3" x14ac:dyDescent="0.25">
      <c r="A14">
        <v>0.01</v>
      </c>
      <c r="B14" t="s">
        <v>89</v>
      </c>
      <c r="C14">
        <v>0.56816957777777699</v>
      </c>
    </row>
    <row r="15" spans="1:3" x14ac:dyDescent="0.25">
      <c r="A15">
        <v>0.01</v>
      </c>
      <c r="B15" t="s">
        <v>90</v>
      </c>
      <c r="C15">
        <v>0.558839444444444</v>
      </c>
    </row>
    <row r="16" spans="1:3" x14ac:dyDescent="0.25">
      <c r="A16">
        <v>0.01</v>
      </c>
      <c r="B16" t="s">
        <v>91</v>
      </c>
      <c r="C16">
        <v>0.55700373333333297</v>
      </c>
    </row>
    <row r="18" spans="1:2" x14ac:dyDescent="0.25">
      <c r="A18" t="s">
        <v>92</v>
      </c>
    </row>
    <row r="20" spans="1:2" x14ac:dyDescent="0.25">
      <c r="A20" t="s">
        <v>132</v>
      </c>
      <c r="B20">
        <f>AVERAGE(Tabelle_Params_6_C[[ Average AUC]])</f>
        <v>0.5573014392592589</v>
      </c>
    </row>
    <row r="21" spans="1:2" x14ac:dyDescent="0.25">
      <c r="A21" t="s">
        <v>133</v>
      </c>
      <c r="B21">
        <f>MEDIAN(Tabelle_Params_6_C[[ Average AUC]])</f>
        <v>0.57118539999999995</v>
      </c>
    </row>
    <row r="22" spans="1:2" x14ac:dyDescent="0.25">
      <c r="A22" t="s">
        <v>134</v>
      </c>
      <c r="B22">
        <f>_xlfn.STDEV.S(Tabelle_Params_6_C[[ Average AUC]])</f>
        <v>5.8672201864228772E-2</v>
      </c>
    </row>
  </sheetData>
  <conditionalFormatting sqref="C2:C16">
    <cfRule type="expression" dxfId="8" priority="1">
      <formula>C2=MAX(C$2:C$16)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7925A-1F00-4EC3-943E-6E01C2893086}">
  <dimension ref="A1:C16"/>
  <sheetViews>
    <sheetView workbookViewId="0">
      <selection activeCell="B16" sqref="A14:B16"/>
    </sheetView>
  </sheetViews>
  <sheetFormatPr baseColWidth="10" defaultRowHeight="15" x14ac:dyDescent="0.25"/>
  <cols>
    <col min="1" max="1" width="14.85546875" bestFit="1" customWidth="1"/>
    <col min="2" max="2" width="9.85546875" bestFit="1" customWidth="1"/>
    <col min="3" max="3" width="20.140625" bestFit="1" customWidth="1"/>
  </cols>
  <sheetData>
    <row r="1" spans="1:3" x14ac:dyDescent="0.25">
      <c r="A1" t="s">
        <v>74</v>
      </c>
      <c r="B1" t="s">
        <v>78</v>
      </c>
      <c r="C1" t="s">
        <v>79</v>
      </c>
    </row>
    <row r="2" spans="1:3" x14ac:dyDescent="0.25">
      <c r="A2">
        <v>1E-3</v>
      </c>
      <c r="B2" t="s">
        <v>80</v>
      </c>
      <c r="C2">
        <v>0.31743005555555498</v>
      </c>
    </row>
    <row r="3" spans="1:3" x14ac:dyDescent="0.25">
      <c r="A3">
        <v>1E-3</v>
      </c>
      <c r="B3" t="s">
        <v>81</v>
      </c>
      <c r="C3">
        <v>0.376559166666666</v>
      </c>
    </row>
    <row r="4" spans="1:3" x14ac:dyDescent="0.25">
      <c r="A4">
        <v>1E-3</v>
      </c>
      <c r="B4" t="s">
        <v>82</v>
      </c>
      <c r="C4">
        <v>0.41291949999999999</v>
      </c>
    </row>
    <row r="5" spans="1:3" x14ac:dyDescent="0.25">
      <c r="A5">
        <v>5.0000000000000001E-3</v>
      </c>
      <c r="B5" t="s">
        <v>80</v>
      </c>
      <c r="C5">
        <v>0.75495161111111098</v>
      </c>
    </row>
    <row r="6" spans="1:3" x14ac:dyDescent="0.25">
      <c r="A6">
        <v>5.0000000000000001E-3</v>
      </c>
      <c r="B6" t="s">
        <v>81</v>
      </c>
      <c r="C6">
        <v>0.70974233333333303</v>
      </c>
    </row>
    <row r="7" spans="1:3" x14ac:dyDescent="0.25">
      <c r="A7">
        <v>5.0000000000000001E-3</v>
      </c>
      <c r="B7" t="s">
        <v>82</v>
      </c>
      <c r="C7">
        <v>0.64490916666666598</v>
      </c>
    </row>
    <row r="8" spans="1:3" x14ac:dyDescent="0.25">
      <c r="A8">
        <v>0.01</v>
      </c>
      <c r="B8" t="s">
        <v>80</v>
      </c>
      <c r="C8">
        <v>0.68701322222222205</v>
      </c>
    </row>
    <row r="9" spans="1:3" x14ac:dyDescent="0.25">
      <c r="A9">
        <v>0.01</v>
      </c>
      <c r="B9" t="s">
        <v>81</v>
      </c>
      <c r="C9">
        <v>0.69750094444444399</v>
      </c>
    </row>
    <row r="10" spans="1:3" x14ac:dyDescent="0.25">
      <c r="A10">
        <v>0.01</v>
      </c>
      <c r="B10" t="s">
        <v>82</v>
      </c>
      <c r="C10">
        <v>0.69749994444444396</v>
      </c>
    </row>
    <row r="12" spans="1:3" x14ac:dyDescent="0.25">
      <c r="A12" t="s">
        <v>83</v>
      </c>
    </row>
    <row r="14" spans="1:3" x14ac:dyDescent="0.25">
      <c r="A14" t="s">
        <v>132</v>
      </c>
      <c r="B14">
        <f>AVERAGE(Tabelle_Params_8_F[[ AUC]])</f>
        <v>0.58872510493827124</v>
      </c>
    </row>
    <row r="15" spans="1:3" x14ac:dyDescent="0.25">
      <c r="A15" t="s">
        <v>133</v>
      </c>
      <c r="B15">
        <f>MEDIAN(Tabelle_Params_8_F[[ AUC]])</f>
        <v>0.68701322222222205</v>
      </c>
    </row>
    <row r="16" spans="1:3" x14ac:dyDescent="0.25">
      <c r="A16" t="s">
        <v>134</v>
      </c>
      <c r="B16">
        <f>_xlfn.STDEV.S(Tabelle_Params_8_F[[ AUC]])</f>
        <v>0.16892334526131716</v>
      </c>
    </row>
  </sheetData>
  <conditionalFormatting sqref="C2:C10">
    <cfRule type="expression" dxfId="7" priority="1">
      <formula>C2=MAX(C$2:C$10)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4A5B2-E82A-495F-9CAA-DD30ADD2B5A6}">
  <dimension ref="A1:C16"/>
  <sheetViews>
    <sheetView workbookViewId="0">
      <selection activeCell="B14" sqref="B14"/>
    </sheetView>
  </sheetViews>
  <sheetFormatPr baseColWidth="10" defaultRowHeight="15" x14ac:dyDescent="0.25"/>
  <cols>
    <col min="1" max="1" width="14.85546875" bestFit="1" customWidth="1"/>
    <col min="2" max="2" width="11.7109375" bestFit="1" customWidth="1"/>
    <col min="3" max="3" width="31.7109375" bestFit="1" customWidth="1"/>
  </cols>
  <sheetData>
    <row r="1" spans="1:3" x14ac:dyDescent="0.25">
      <c r="A1" t="s">
        <v>74</v>
      </c>
      <c r="B1" t="s">
        <v>75</v>
      </c>
      <c r="C1" t="s">
        <v>76</v>
      </c>
    </row>
    <row r="2" spans="1:3" x14ac:dyDescent="0.25">
      <c r="A2">
        <v>1E-3</v>
      </c>
      <c r="B2">
        <v>400</v>
      </c>
      <c r="C2">
        <v>0.36381738888888798</v>
      </c>
    </row>
    <row r="3" spans="1:3" x14ac:dyDescent="0.25">
      <c r="A3">
        <v>1E-3</v>
      </c>
      <c r="B3">
        <v>500</v>
      </c>
      <c r="C3">
        <v>0.36267305555555501</v>
      </c>
    </row>
    <row r="4" spans="1:3" x14ac:dyDescent="0.25">
      <c r="A4">
        <v>1E-3</v>
      </c>
      <c r="B4">
        <v>600</v>
      </c>
      <c r="C4">
        <v>0.35885133333333302</v>
      </c>
    </row>
    <row r="5" spans="1:3" x14ac:dyDescent="0.25">
      <c r="A5">
        <v>5.0000000000000001E-3</v>
      </c>
      <c r="B5">
        <v>400</v>
      </c>
      <c r="C5">
        <v>0.64610361111111103</v>
      </c>
    </row>
    <row r="6" spans="1:3" x14ac:dyDescent="0.25">
      <c r="A6">
        <v>5.0000000000000001E-3</v>
      </c>
      <c r="B6">
        <v>500</v>
      </c>
      <c r="C6">
        <v>0.646373166666666</v>
      </c>
    </row>
    <row r="7" spans="1:3" x14ac:dyDescent="0.25">
      <c r="A7">
        <v>5.0000000000000001E-3</v>
      </c>
      <c r="B7">
        <v>600</v>
      </c>
      <c r="C7">
        <v>0.646409944444444</v>
      </c>
    </row>
    <row r="8" spans="1:3" x14ac:dyDescent="0.25">
      <c r="A8">
        <v>0.01</v>
      </c>
      <c r="B8">
        <v>400</v>
      </c>
      <c r="C8">
        <v>0.645848722222222</v>
      </c>
    </row>
    <row r="9" spans="1:3" x14ac:dyDescent="0.25">
      <c r="A9">
        <v>0.01</v>
      </c>
      <c r="B9">
        <v>500</v>
      </c>
      <c r="C9">
        <v>0.64602538888888805</v>
      </c>
    </row>
    <row r="10" spans="1:3" x14ac:dyDescent="0.25">
      <c r="A10">
        <v>0.01</v>
      </c>
      <c r="B10">
        <v>600</v>
      </c>
      <c r="C10">
        <v>0.645905888888888</v>
      </c>
    </row>
    <row r="12" spans="1:3" x14ac:dyDescent="0.25">
      <c r="A12" t="s">
        <v>77</v>
      </c>
    </row>
    <row r="14" spans="1:3" x14ac:dyDescent="0.25">
      <c r="A14" t="s">
        <v>132</v>
      </c>
      <c r="B14">
        <f>AVERAGE(Tabelle_Params_8_C[AUC])</f>
        <v>0.55133427777777722</v>
      </c>
    </row>
    <row r="15" spans="1:3" x14ac:dyDescent="0.25">
      <c r="A15" t="s">
        <v>133</v>
      </c>
      <c r="B15">
        <f>MEDIAN(Tabelle_Params_8_C[AUC])</f>
        <v>0.645905888888888</v>
      </c>
    </row>
    <row r="16" spans="1:3" x14ac:dyDescent="0.25">
      <c r="A16" t="s">
        <v>134</v>
      </c>
      <c r="B16">
        <f>_xlfn.STDEV.S(Tabelle_Params_8_C[AUC])</f>
        <v>0.1421713314917048</v>
      </c>
    </row>
  </sheetData>
  <conditionalFormatting sqref="C2:C10">
    <cfRule type="expression" dxfId="6" priority="1">
      <formula>C2=MAX(C$2:C$10)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2A0DE-CDA1-4987-A592-0C47634656C6}">
  <dimension ref="A1:I10"/>
  <sheetViews>
    <sheetView workbookViewId="0">
      <selection activeCell="M45" sqref="M45"/>
    </sheetView>
  </sheetViews>
  <sheetFormatPr baseColWidth="10" defaultRowHeight="15" x14ac:dyDescent="0.25"/>
  <cols>
    <col min="1" max="1" width="7.7109375" bestFit="1" customWidth="1"/>
    <col min="2" max="2" width="17.7109375" bestFit="1" customWidth="1"/>
    <col min="3" max="6" width="18.7109375" bestFit="1" customWidth="1"/>
    <col min="7" max="7" width="19.7109375" bestFit="1" customWidth="1"/>
    <col min="8" max="8" width="18.7109375" bestFit="1" customWidth="1"/>
    <col min="9" max="9" width="18.85546875" bestFit="1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73</v>
      </c>
    </row>
    <row r="2" spans="1:9" x14ac:dyDescent="0.25">
      <c r="A2">
        <v>777</v>
      </c>
      <c r="B2">
        <v>0.73067603948549198</v>
      </c>
      <c r="C2">
        <v>0.73227340711935296</v>
      </c>
      <c r="D2">
        <v>0.73595273706251796</v>
      </c>
      <c r="E2">
        <v>0.73414896799282003</v>
      </c>
      <c r="F2">
        <v>0.73459018845348401</v>
      </c>
      <c r="G2">
        <v>0.42171402931498603</v>
      </c>
      <c r="H2">
        <v>0.489292551600359</v>
      </c>
      <c r="I2">
        <v>0.52712832784923702</v>
      </c>
    </row>
    <row r="3" spans="1:9" x14ac:dyDescent="0.25">
      <c r="A3">
        <v>45116</v>
      </c>
      <c r="B3">
        <v>0.73067603948549198</v>
      </c>
      <c r="C3">
        <v>0.735183966497158</v>
      </c>
      <c r="D3">
        <v>0.73696679629075601</v>
      </c>
      <c r="E3">
        <v>0.73696081364044197</v>
      </c>
      <c r="F3">
        <v>0.73459018845348401</v>
      </c>
      <c r="G3">
        <v>0.47978462458869198</v>
      </c>
      <c r="H3">
        <v>0.54650912354172898</v>
      </c>
      <c r="I3">
        <v>0.60106790308106495</v>
      </c>
    </row>
    <row r="4" spans="1:9" x14ac:dyDescent="0.25">
      <c r="A4">
        <v>4403</v>
      </c>
      <c r="B4">
        <v>0.73067603948549198</v>
      </c>
      <c r="C4">
        <v>0.73627580017947902</v>
      </c>
      <c r="D4">
        <v>0.73545916841160597</v>
      </c>
      <c r="E4">
        <v>0.73440023930601195</v>
      </c>
      <c r="F4">
        <v>0.73459018845348401</v>
      </c>
      <c r="G4">
        <v>0.549466048459467</v>
      </c>
      <c r="H4">
        <v>0.46693688303918601</v>
      </c>
      <c r="I4">
        <v>0.639569249177385</v>
      </c>
    </row>
    <row r="5" spans="1:9" x14ac:dyDescent="0.25">
      <c r="A5">
        <v>92879</v>
      </c>
      <c r="B5">
        <v>0.73067603948549198</v>
      </c>
      <c r="C5">
        <v>0.73370924319473496</v>
      </c>
      <c r="D5">
        <v>0.73625486090337999</v>
      </c>
      <c r="E5">
        <v>0.73583308405623604</v>
      </c>
      <c r="F5">
        <v>0.73459018845348401</v>
      </c>
      <c r="G5">
        <v>0.272728088543224</v>
      </c>
      <c r="H5">
        <v>0.71711935387376602</v>
      </c>
      <c r="I5">
        <v>0.576524080167514</v>
      </c>
    </row>
    <row r="6" spans="1:9" x14ac:dyDescent="0.25">
      <c r="A6">
        <v>34770</v>
      </c>
      <c r="B6">
        <v>0.73067603948549198</v>
      </c>
      <c r="C6">
        <v>0.73720011965300603</v>
      </c>
      <c r="D6">
        <v>0.73767274902781899</v>
      </c>
      <c r="E6">
        <v>0.73620101705055296</v>
      </c>
      <c r="F6">
        <v>0.73459018845348401</v>
      </c>
      <c r="G6">
        <v>0.30892611426862099</v>
      </c>
      <c r="H6">
        <v>0.60925516003589497</v>
      </c>
      <c r="I6">
        <v>0.609111576428357</v>
      </c>
    </row>
    <row r="8" spans="1:9" x14ac:dyDescent="0.25">
      <c r="A8" t="s">
        <v>127</v>
      </c>
      <c r="B8">
        <f>AVERAGE(Tabelle_Waveform[LOF_AUC])</f>
        <v>0.73067603948549198</v>
      </c>
      <c r="C8">
        <f>AVERAGE(Tabelle_Waveform[LOF_50])</f>
        <v>0.73492850732874637</v>
      </c>
      <c r="D8">
        <f>AVERAGE(Tabelle_Waveform[LOF_100])</f>
        <v>0.73646126233921583</v>
      </c>
      <c r="E8">
        <f>AVERAGE(Tabelle_Waveform[LOF_500])</f>
        <v>0.7355088244092125</v>
      </c>
      <c r="F8">
        <f>AVERAGE(Tabelle_Waveform[KNN_AUC])</f>
        <v>0.73459018845348401</v>
      </c>
      <c r="G8">
        <f>AVERAGE(Tabelle_Waveform[MO_GAAL_AUC])</f>
        <v>0.40652378103499798</v>
      </c>
      <c r="H8">
        <f>AVERAGE(Tabelle_Waveform[AnoGAN_AUC])</f>
        <v>0.56582261441818704</v>
      </c>
      <c r="I8">
        <f>AVERAGE(Tabelle_Waveform[Deep_SVDD_AUC])</f>
        <v>0.59068022734071168</v>
      </c>
    </row>
    <row r="9" spans="1:9" x14ac:dyDescent="0.25">
      <c r="A9" t="s">
        <v>128</v>
      </c>
      <c r="B9">
        <f>MEDIAN(Tabelle_Waveform[LOF_AUC])</f>
        <v>0.73067603948549198</v>
      </c>
      <c r="C9">
        <f>MEDIAN(Tabelle_Waveform[LOF_50])</f>
        <v>0.735183966497158</v>
      </c>
      <c r="D9">
        <f>MEDIAN(Tabelle_Waveform[LOF_100])</f>
        <v>0.73625486090337999</v>
      </c>
      <c r="E9">
        <f>MEDIAN(Tabelle_Waveform[LOF_500])</f>
        <v>0.73583308405623604</v>
      </c>
      <c r="F9">
        <f>MEDIAN(Tabelle_Waveform[KNN_AUC])</f>
        <v>0.73459018845348401</v>
      </c>
      <c r="G9">
        <f>MEDIAN(Tabelle_Waveform[MO_GAAL_AUC])</f>
        <v>0.42171402931498603</v>
      </c>
      <c r="H9">
        <f>MEDIAN(Tabelle_Waveform[AnoGAN_AUC])</f>
        <v>0.54650912354172898</v>
      </c>
      <c r="I9">
        <f>MEDIAN(Tabelle_Waveform[Deep_SVDD_AUC])</f>
        <v>0.60106790308106495</v>
      </c>
    </row>
    <row r="10" spans="1:9" x14ac:dyDescent="0.25">
      <c r="A10" t="s">
        <v>129</v>
      </c>
      <c r="B10">
        <f>_xlfn.STDEV.S(Tabelle_Waveform[LOF_AUC])</f>
        <v>0</v>
      </c>
      <c r="C10">
        <f>_xlfn.STDEV.S(Tabelle_Waveform[LOF_50])</f>
        <v>1.9733754150247718E-3</v>
      </c>
      <c r="D10">
        <f>_xlfn.STDEV.S(Tabelle_Waveform[LOF_100])</f>
        <v>8.7015175721404624E-4</v>
      </c>
      <c r="E10">
        <f>_xlfn.STDEV.S(Tabelle_Waveform[LOF_500])</f>
        <v>1.2011159501961086E-3</v>
      </c>
      <c r="F10">
        <f>_xlfn.STDEV.S(Tabelle_Waveform[KNN_AUC])</f>
        <v>0</v>
      </c>
      <c r="G10">
        <f>_xlfn.STDEV.S(Tabelle_Waveform[MO_GAAL_AUC])</f>
        <v>0.11560382621808973</v>
      </c>
      <c r="H10">
        <f>_xlfn.STDEV.S(Tabelle_Waveform[AnoGAN_AUC])</f>
        <v>0.10097690169516349</v>
      </c>
      <c r="I10">
        <f>_xlfn.STDEV.S(Tabelle_Waveform[Deep_SVDD_AUC])</f>
        <v>4.2062439671242971E-2</v>
      </c>
    </row>
  </sheetData>
  <conditionalFormatting sqref="B2:I6">
    <cfRule type="expression" dxfId="5" priority="1">
      <formula>B2=MAX($B2:$I2)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25CDC-A440-49FC-875A-810888E3A18E}">
  <dimension ref="A1:I10"/>
  <sheetViews>
    <sheetView workbookViewId="0">
      <selection activeCell="C8" sqref="C8:C10"/>
    </sheetView>
  </sheetViews>
  <sheetFormatPr baseColWidth="10" defaultRowHeight="15" x14ac:dyDescent="0.25"/>
  <cols>
    <col min="1" max="1" width="7.7109375" bestFit="1" customWidth="1"/>
    <col min="2" max="6" width="18.7109375" bestFit="1" customWidth="1"/>
    <col min="7" max="7" width="19.7109375" bestFit="1" customWidth="1"/>
    <col min="8" max="8" width="18.7109375" bestFit="1" customWidth="1"/>
    <col min="9" max="9" width="18.85546875" bestFit="1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73</v>
      </c>
    </row>
    <row r="2" spans="1:9" x14ac:dyDescent="0.25">
      <c r="A2">
        <v>777</v>
      </c>
      <c r="B2">
        <v>0.82935436832960996</v>
      </c>
      <c r="C2">
        <v>0.76122331844129998</v>
      </c>
      <c r="D2">
        <v>0.74498945147679296</v>
      </c>
      <c r="E2">
        <v>0.66356415984115102</v>
      </c>
      <c r="F2">
        <v>0.80558528791263295</v>
      </c>
      <c r="G2">
        <v>0.436879498634897</v>
      </c>
      <c r="H2">
        <v>0.74484208240258098</v>
      </c>
      <c r="I2">
        <v>0.71339041945892201</v>
      </c>
    </row>
    <row r="3" spans="1:9" x14ac:dyDescent="0.25">
      <c r="A3">
        <v>45116</v>
      </c>
      <c r="B3">
        <v>0.82935436832960996</v>
      </c>
      <c r="C3">
        <v>0.76600893521965696</v>
      </c>
      <c r="D3">
        <v>0.73437112186646802</v>
      </c>
      <c r="E3">
        <v>0.66180348721767102</v>
      </c>
      <c r="F3">
        <v>0.80558528791263295</v>
      </c>
      <c r="G3">
        <v>0.34937329362124597</v>
      </c>
      <c r="H3">
        <v>0.42665673864482501</v>
      </c>
      <c r="I3">
        <v>0.68003071481757205</v>
      </c>
    </row>
    <row r="4" spans="1:9" x14ac:dyDescent="0.25">
      <c r="A4">
        <v>4403</v>
      </c>
      <c r="B4">
        <v>0.82935436832960996</v>
      </c>
      <c r="C4">
        <v>0.76330199801439502</v>
      </c>
      <c r="D4">
        <v>0.75056620749565595</v>
      </c>
      <c r="E4">
        <v>0.691168714321171</v>
      </c>
      <c r="F4">
        <v>0.80558528791263295</v>
      </c>
      <c r="G4">
        <v>0.35071512782328101</v>
      </c>
      <c r="H4">
        <v>0.44069558203027998</v>
      </c>
      <c r="I4">
        <v>0.64762503102506797</v>
      </c>
    </row>
    <row r="5" spans="1:9" x14ac:dyDescent="0.25">
      <c r="A5">
        <v>92879</v>
      </c>
      <c r="B5">
        <v>0.82935436832960996</v>
      </c>
      <c r="C5">
        <v>0.74992243732936203</v>
      </c>
      <c r="D5">
        <v>0.71901371308016804</v>
      </c>
      <c r="E5">
        <v>0.67429107719036896</v>
      </c>
      <c r="F5">
        <v>0.80558528791263295</v>
      </c>
      <c r="G5">
        <v>0.39747766195085599</v>
      </c>
      <c r="H5">
        <v>0.75719005956813101</v>
      </c>
      <c r="I5">
        <v>0.66126054852320604</v>
      </c>
    </row>
    <row r="6" spans="1:9" x14ac:dyDescent="0.25">
      <c r="A6">
        <v>34770</v>
      </c>
      <c r="B6">
        <v>0.82935436832960996</v>
      </c>
      <c r="C6">
        <v>0.79251985604368302</v>
      </c>
      <c r="D6">
        <v>0.756724683544303</v>
      </c>
      <c r="E6">
        <v>0.69581471829237995</v>
      </c>
      <c r="F6">
        <v>0.80558528791263295</v>
      </c>
      <c r="G6">
        <v>0.38462552742616002</v>
      </c>
      <c r="H6">
        <v>0.66389767932489396</v>
      </c>
      <c r="I6">
        <v>0.72109239265326397</v>
      </c>
    </row>
    <row r="8" spans="1:9" x14ac:dyDescent="0.25">
      <c r="A8" t="s">
        <v>127</v>
      </c>
      <c r="B8">
        <f>AVERAGE(Tabelle_Spambase[LOF_AUC])</f>
        <v>0.82935436832961007</v>
      </c>
      <c r="C8">
        <f>AVERAGE(Tabelle_Spambase[LOF_50])</f>
        <v>0.76659530900967932</v>
      </c>
      <c r="D8">
        <f>AVERAGE(Tabelle_Spambase[LOF_100])</f>
        <v>0.74113303549267762</v>
      </c>
      <c r="E8">
        <f>AVERAGE(Tabelle_Spambase[LOF_500])</f>
        <v>0.67732843137254828</v>
      </c>
      <c r="F8">
        <f>AVERAGE(Tabelle_Spambase[KNN_AUC])</f>
        <v>0.80558528791263284</v>
      </c>
      <c r="G8">
        <f>AVERAGE(Tabelle_Spambase[MO_GAAL_AUC])</f>
        <v>0.383814221891288</v>
      </c>
      <c r="H8">
        <f>AVERAGE(Tabelle_Spambase[AnoGAN_AUC])</f>
        <v>0.60665642839414224</v>
      </c>
      <c r="I8">
        <f>AVERAGE(Tabelle_Spambase[Deep_SVDD_AUC])</f>
        <v>0.68467982129560634</v>
      </c>
    </row>
    <row r="9" spans="1:9" x14ac:dyDescent="0.25">
      <c r="A9" t="s">
        <v>128</v>
      </c>
      <c r="B9">
        <f>MEDIAN(Tabelle_Spambase[LOF_AUC])</f>
        <v>0.82935436832960996</v>
      </c>
      <c r="C9">
        <f>MEDIAN(Tabelle_Spambase[LOF_50])</f>
        <v>0.76330199801439502</v>
      </c>
      <c r="D9">
        <f>MEDIAN(Tabelle_Spambase[LOF_100])</f>
        <v>0.74498945147679296</v>
      </c>
      <c r="E9">
        <f>MEDIAN(Tabelle_Spambase[LOF_500])</f>
        <v>0.67429107719036896</v>
      </c>
      <c r="F9">
        <f>MEDIAN(Tabelle_Spambase[KNN_AUC])</f>
        <v>0.80558528791263295</v>
      </c>
      <c r="G9">
        <f>MEDIAN(Tabelle_Spambase[MO_GAAL_AUC])</f>
        <v>0.38462552742616002</v>
      </c>
      <c r="H9">
        <f>MEDIAN(Tabelle_Spambase[AnoGAN_AUC])</f>
        <v>0.66389767932489396</v>
      </c>
      <c r="I9">
        <f>MEDIAN(Tabelle_Spambase[Deep_SVDD_AUC])</f>
        <v>0.68003071481757205</v>
      </c>
    </row>
    <row r="10" spans="1:9" x14ac:dyDescent="0.25">
      <c r="A10" t="s">
        <v>129</v>
      </c>
      <c r="B10">
        <v>0</v>
      </c>
      <c r="C10">
        <f>_xlfn.STDEV.S(Tabelle_Spambase[LOF_50])</f>
        <v>1.5733044867305871E-2</v>
      </c>
      <c r="D10">
        <f>_xlfn.STDEV.S(Tabelle_Spambase[LOF_100])</f>
        <v>1.4848771557968488E-2</v>
      </c>
      <c r="E10">
        <f>_xlfn.STDEV.S(Tabelle_Spambase[LOF_500])</f>
        <v>1.5596480519738814E-2</v>
      </c>
      <c r="F10">
        <v>0</v>
      </c>
      <c r="G10">
        <f>_xlfn.STDEV.S(Tabelle_Spambase[MO_GAAL_AUC])</f>
        <v>3.6348999212609298E-2</v>
      </c>
      <c r="H10">
        <f>_xlfn.STDEV.S(Tabelle_Spambase[AnoGAN_AUC])</f>
        <v>0.16199930611884092</v>
      </c>
      <c r="I10">
        <f>_xlfn.STDEV.S(Tabelle_Spambase[Deep_SVDD_AUC])</f>
        <v>3.198948190420435E-2</v>
      </c>
    </row>
  </sheetData>
  <conditionalFormatting sqref="B2:I6">
    <cfRule type="expression" dxfId="4" priority="1">
      <formula>B2=MAX($B2:$I2)</formula>
    </cfRule>
  </conditionalFormatting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b 0 2 b 2 a 6 - c 1 5 3 - 4 2 9 5 - a e 4 a - 9 7 a e d 3 9 9 3 c 1 f "   x m l n s = " h t t p : / / s c h e m a s . m i c r o s o f t . c o m / D a t a M a s h u p " > A A A A A N U G A A B Q S w M E F A A C A A g A a H j G V g u O h / G l A A A A 9 g A A A B I A H A B D b 2 5 m a W c v U G F j a 2 F n Z S 5 4 b W w g o h g A K K A U A A A A A A A A A A A A A A A A A A A A A A A A A A A A h Y 9 N D o I w G E S v Q r q n P 0 i M I R 9 l o e 4 k M T E x b p t S o R G K o c V y N x c e y S u I U d S d y 3 n z F j P 3 6 w 2 y o a m D i + q s b k 2 K G K Y o U E a 2 h T Z l i n p 3 D B c o 4 7 A V 8 i R K F Y y y s c l g i x R V z p 0 T Q r z 3 2 M 9 w 2 5 U k o p S R Q 7 7 Z y U o 1 A n 1 k / V 8 O t b F O G K k Q h / 1 r D I 8 w Y 3 M c 0 x h T I B O E X J u v E I 1 7 n + 0 P h G V f u 7 5 T v F D h a g 1 k i k D e H / g D U E s D B B Q A A g A I A G h 4 x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e M Z W e 6 4 I 1 s 4 D A A C Z R w A A E w A c A E Z v c m 1 1 b G F z L 1 N l Y 3 R p b 2 4 x L m 0 g o h g A K K A U A A A A A A A A A A A A A A A A A A A A A A A A A A A A 7 Z v t b t o 8 F M e / V + o 9 R O k X K m U o C e W l m / j A A w 9 b 9 0 K 3 h m 0 f l k e R G 0 5 L t m B X t s N W T b u b X c N u Y D c 2 s w Q C X b N 1 6 k M c I y N e T 8 K x j 8 / v B C d / w y D k E c G G l 7 4 6 j / b 3 9 v f Y F F G Y G P 3 o A l H H N r p G D H x / z x C 3 V w n E M Q h L n 8 3 r A x I m M 8 C 8 N o x i q P c J 5 u I D q 5 n 9 h / 5 r B p T 5 A 8 C R e M 5 2 Y / 5 4 C k w Y h o C 4 l 5 x 7 V y g E 4 3 F v 5 A 8 9 L 1 i 8 n g F L Y r H f W Y I D 1 3 Y b D + z m A 7 f l h z F i L D j 2 s / 7 U Q z Y 3 D 6 1 3 A 4 i j W c S B d k 3 L t I w + i Z M Z Z l 3 H t o x / c U g m E b 7 s O m 7 T t U S v C Q e P X 8 f Q z d / W R w T D f 4 d W G t i B O b 6 + M r 5 / x R O g 2 B Q B j t G 5 2 G d M E W Y X h M 5 S 7 2 I f Y L V 0 E K z P n 8 3 U 6 o j W u d h i c P j E v 1 j G 0 u 4 W 2 B s F 9 q M C e 7 P A 3 i q w t w v s n Q L 7 c Y H d s T c 2 f M n H 6 s n 3 b 1 O g x i U w n l x w M J 4 A E u O W D 9 t L S m Z i n F M z q 2 0 O r m W 8 y 7 b 3 4 t g L U Y w o 6 3 K a i G T s 7 0 X 4 D 2 2 s A 3 p g L h G t N Q 5 N y Z y 2 M 0 4 7 m l P Z n K 5 j t D 5 c B e w c V Y a d t m Z H M X a a 0 t n p Z O y 0 N D u K s d O S z s 5 x x k 5 T s 6 M Y O + 3 K s H O k 2 V G M n W P Z 7 D T s j J 2 G Z k c x d h x b N j y r C Y + r 4 V E N H k c 6 P M t f L U f D o x o 8 b m X g s T U 8 K s D T w 0 S k 8 l Z m n j K C 7 w w N s A + c X P l P v d O R w V N u U t f 1 9 8 K N e Z g n 7 g Q v k v W z j Q 8 E z 4 H y S D w W O T y D k N B J f U x + J j P L 2 0 Y U B d 9 d D 2 g A c B V 4 b w a D r c S 0 8 l 5 2 W M N / m r e L D P e N a O G 4 / G A c e 1 v R C M 8 y c r O 9 5 J Q e z r P R d o 4 H w m / Z o T w / H W 4 l F O G 3 7 F B e n I r f 3 N 7 z r Y S T + S 6 9 b h C b R g Q H L 0 Y n 3 r g y C u p G r / T k R e u o y 1 n 2 J q 4 1 + V P t X E 3 V z F a C 2 b u d r d 3 g q D q q f F t z p D B H 1 V H o m 5 o j h T m S r 9 a 3 V 6 q Z 5 k h d j u Q r 9 / m q D 8 2 R u h z J V / E 7 K y V W c 6 Q u R 5 3 K c O R q j h T m S P r K k D V 9 V n O k L k c V W C W S a 7 U a J G V A e o k o m r F g s l A i 2 X w y u b 8 i c A + I W u L u 3 + x R 2 T p C j 9 J r P p 1 F S E 4 5 H f m r D v y h c j q 6 c O 5 S O N W 7 + H 8 i g K E Y e I A m T B Z k 6 3 3 Q n O 0 m Z 4 K B 2 T l i I I u x Z f u a r 9 3 k 6 y 2 a w 2 K s Z f G 1 b F / z t Z t 8 Z T P B T t A v n 7 B x g i H o Y Z L / g 8 J Z 6 u N B 3 8 9 7 V u e f + A 3 2 H q 2 x 1 1 C L v b 8 6 Z + g E t y + H k p a X Y Z 6 X 4 a 7 l p a K 1 2 Z J W m 9 k q s 1 / / 4 d T K 6 7 O 1 e / V Z N Q 4 O z L W j t J x V T L / H Y b c P 1 1 X D I S T 4 I r r 8 H y 4 i f c Q x E a e m f u q w l G t A P w B Q S w E C L Q A U A A I A C A B o e M Z W C 4 6 H 8 a U A A A D 2 A A A A E g A A A A A A A A A A A A A A A A A A A A A A Q 2 9 u Z m l n L 1 B h Y 2 t h Z 2 U u e G 1 s U E s B A i 0 A F A A C A A g A a H j G V g / K 6 a u k A A A A 6 Q A A A B M A A A A A A A A A A A A A A A A A 8 Q A A A F t D b 2 5 0 Z W 5 0 X 1 R 5 c G V z X S 5 4 b W x Q S w E C L Q A U A A I A C A B o e M Z W e 6 4 I 1 s 4 D A A C Z R w A A E w A A A A A A A A A A A A A A A A D i A Q A A R m 9 y b X V s Y X M v U 2 V j d G l v b j E u b V B L B Q Y A A A A A A w A D A M I A A A D 9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i Q E A A A A A A D a J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a W Z h c j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b G V f Q 2 l m Y X I x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l m Y X I x M C 9 B d X R v U m V t b 3 Z l Z E N v b H V t b n M x L n t T Z W V k L D B 9 J n F 1 b 3 Q 7 L C Z x d W 9 0 O 1 N l Y 3 R p b 2 4 x L 0 N p Z m F y M T A v Q X V 0 b 1 J l b W 9 2 Z W R D b 2 x 1 b W 5 z M S 5 7 Q 2 x h c 3 M s M X 0 m c X V v d D s s J n F 1 b 3 Q 7 U 2 V j d G l v b j E v Q 2 l m Y X I x M C 9 B d X R v U m V t b 3 Z l Z E N v b H V t b n M x L n t M T 0 Z f Q V V D L D J 9 J n F 1 b 3 Q 7 L C Z x d W 9 0 O 1 N l Y 3 R p b 2 4 x L 0 N p Z m F y M T A v Q X V 0 b 1 J l b W 9 2 Z W R D b 2 x 1 b W 5 z M S 5 7 T E 9 G X z U w L D N 9 J n F 1 b 3 Q 7 L C Z x d W 9 0 O 1 N l Y 3 R p b 2 4 x L 0 N p Z m F y M T A v Q X V 0 b 1 J l b W 9 2 Z W R D b 2 x 1 b W 5 z M S 5 7 T E 9 G X z E w M C w 0 f S Z x d W 9 0 O y w m c X V v d D t T Z W N 0 a W 9 u M S 9 D a W Z h c j E w L 0 F 1 d G 9 S Z W 1 v d m V k Q 2 9 s d W 1 u c z E u e 0 x P R l 8 1 M D A s N X 0 m c X V v d D s s J n F 1 b 3 Q 7 U 2 V j d G l v b j E v Q 2 l m Y X I x M C 9 B d X R v U m V t b 3 Z l Z E N v b H V t b n M x L n t L T k 5 f Q V V D L D Z 9 J n F 1 b 3 Q 7 L C Z x d W 9 0 O 1 N l Y 3 R p b 2 4 x L 0 N p Z m F y M T A v Q X V 0 b 1 J l b W 9 2 Z W R D b 2 x 1 b W 5 z M S 5 7 T U 9 f R 0 F B T F 9 B V U M s N 3 0 m c X V v d D s s J n F 1 b 3 Q 7 U 2 V j d G l v b j E v Q 2 l m Y X I x M C 9 B d X R v U m V t b 3 Z l Z E N v b H V t b n M x L n t B b m 9 H Q U 5 f Q V V D L D h 9 J n F 1 b 3 Q 7 L C Z x d W 9 0 O 1 N l Y 3 R p b 2 4 x L 0 N p Z m F y M T A v Q X V 0 b 1 J l b W 9 2 Z W R D b 2 x 1 b W 5 z M S 5 7 R G V l c F N W R E R f Q V V D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D a W Z h c j E w L 0 F 1 d G 9 S Z W 1 v d m V k Q 2 9 s d W 1 u c z E u e 1 N l Z W Q s M H 0 m c X V v d D s s J n F 1 b 3 Q 7 U 2 V j d G l v b j E v Q 2 l m Y X I x M C 9 B d X R v U m V t b 3 Z l Z E N v b H V t b n M x L n t D b G F z c y w x f S Z x d W 9 0 O y w m c X V v d D t T Z W N 0 a W 9 u M S 9 D a W Z h c j E w L 0 F 1 d G 9 S Z W 1 v d m V k Q 2 9 s d W 1 u c z E u e 0 x P R l 9 B V U M s M n 0 m c X V v d D s s J n F 1 b 3 Q 7 U 2 V j d G l v b j E v Q 2 l m Y X I x M C 9 B d X R v U m V t b 3 Z l Z E N v b H V t b n M x L n t M T 0 Z f N T A s M 3 0 m c X V v d D s s J n F 1 b 3 Q 7 U 2 V j d G l v b j E v Q 2 l m Y X I x M C 9 B d X R v U m V t b 3 Z l Z E N v b H V t b n M x L n t M T 0 Z f M T A w L D R 9 J n F 1 b 3 Q 7 L C Z x d W 9 0 O 1 N l Y 3 R p b 2 4 x L 0 N p Z m F y M T A v Q X V 0 b 1 J l b W 9 2 Z W R D b 2 x 1 b W 5 z M S 5 7 T E 9 G X z U w M C w 1 f S Z x d W 9 0 O y w m c X V v d D t T Z W N 0 a W 9 u M S 9 D a W Z h c j E w L 0 F 1 d G 9 S Z W 1 v d m V k Q 2 9 s d W 1 u c z E u e 0 t O T l 9 B V U M s N n 0 m c X V v d D s s J n F 1 b 3 Q 7 U 2 V j d G l v b j E v Q 2 l m Y X I x M C 9 B d X R v U m V t b 3 Z l Z E N v b H V t b n M x L n t N T 1 9 H Q U F M X 0 F V Q y w 3 f S Z x d W 9 0 O y w m c X V v d D t T Z W N 0 a W 9 u M S 9 D a W Z h c j E w L 0 F 1 d G 9 S Z W 1 v d m V k Q 2 9 s d W 1 u c z E u e 0 F u b 0 d B T l 9 B V U M s O H 0 m c X V v d D s s J n F 1 b 3 Q 7 U 2 V j d G l v b j E v Q 2 l m Y X I x M C 9 B d X R v U m V t b 3 Z l Z E N v b H V t b n M x L n t E Z W V w U 1 Z E R F 9 B V U M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l Z W Q m c X V v d D s s J n F 1 b 3 Q 7 Q 2 x h c 3 M m c X V v d D s s J n F 1 b 3 Q 7 T E 9 G X 0 F V Q y Z x d W 9 0 O y w m c X V v d D t M T 0 Z f N T A m c X V v d D s s J n F 1 b 3 Q 7 T E 9 G X z E w M C Z x d W 9 0 O y w m c X V v d D t M T 0 Z f N T A w J n F 1 b 3 Q 7 L C Z x d W 9 0 O 0 t O T l 9 B V U M m c X V v d D s s J n F 1 b 3 Q 7 T U 9 f R 0 F B T F 9 B V U M m c X V v d D s s J n F 1 b 3 Q 7 Q W 5 v R 0 F O X 0 F V Q y Z x d W 9 0 O y w m c X V v d D t E Z W V w U 1 Z E R F 9 B V U M m c X V v d D t d I i A v P j x F b n R y e S B U e X B l P S J G a W x s Q 2 9 s d W 1 u V H l w Z X M i I F Z h b H V l P S J z Q m d Z R 0 J n W U d C Z 1 l H Q m c 9 P S I g L z 4 8 R W 5 0 c n k g V H l w Z T 0 i R m l s b E x h c 3 R V c G R h d G V k I i B W Y W x 1 Z T 0 i Z D I w M j M t M D Y t M D V U M T E 6 M j U 6 M j g u N T k 4 M T g 5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M 0 O W Z i O G Z j Y S 0 w Y z F l L T Q y M G Q t Y j c z M y 0 y M D Y 5 Y z M x N G M 5 N W Q i I C 8 + P C 9 T d G F i b G V F b n R y a W V z P j w v S X R l b T 4 8 S X R l b T 4 8 S X R l b U x v Y 2 F 0 a W 9 u P j x J d G V t V H l w Z T 5 G b 3 J t d W x h P C 9 J d G V t V H l w Z T 4 8 S X R l b V B h d G g + U 2 V j d G l v b j E v Q 2 l m Y X I x M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W Z h c j E w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m Y X I x M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W Z h c j E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V U M T E 6 M j k 6 M T M u O D k 1 M z c x M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Z m F y M T A g K D M p L 0 F 1 d G 9 S Z W 1 v d m V k Q 2 9 s d W 1 u c z E u e 0 N v b H V t b j E s M H 0 m c X V v d D s s J n F 1 b 3 Q 7 U 2 V j d G l v b j E v Q 2 l m Y X I x M C A o M y k v Q X V 0 b 1 J l b W 9 2 Z W R D b 2 x 1 b W 5 z M S 5 7 Q 2 9 s d W 1 u M i w x f S Z x d W 9 0 O y w m c X V v d D t T Z W N 0 a W 9 u M S 9 D a W Z h c j E w I C g z K S 9 B d X R v U m V t b 3 Z l Z E N v b H V t b n M x L n t D b 2 x 1 b W 4 z L D J 9 J n F 1 b 3 Q 7 L C Z x d W 9 0 O 1 N l Y 3 R p b 2 4 x L 0 N p Z m F y M T A g K D M p L 0 F 1 d G 9 S Z W 1 v d m V k Q 2 9 s d W 1 u c z E u e 0 N v b H V t b j Q s M 3 0 m c X V v d D s s J n F 1 b 3 Q 7 U 2 V j d G l v b j E v Q 2 l m Y X I x M C A o M y k v Q X V 0 b 1 J l b W 9 2 Z W R D b 2 x 1 b W 5 z M S 5 7 Q 2 9 s d W 1 u N S w 0 f S Z x d W 9 0 O y w m c X V v d D t T Z W N 0 a W 9 u M S 9 D a W Z h c j E w I C g z K S 9 B d X R v U m V t b 3 Z l Z E N v b H V t b n M x L n t D b 2 x 1 b W 4 2 L D V 9 J n F 1 b 3 Q 7 L C Z x d W 9 0 O 1 N l Y 3 R p b 2 4 x L 0 N p Z m F y M T A g K D M p L 0 F 1 d G 9 S Z W 1 v d m V k Q 2 9 s d W 1 u c z E u e 0 N v b H V t b j c s N n 0 m c X V v d D s s J n F 1 b 3 Q 7 U 2 V j d G l v b j E v Q 2 l m Y X I x M C A o M y k v Q X V 0 b 1 J l b W 9 2 Z W R D b 2 x 1 b W 5 z M S 5 7 Q 2 9 s d W 1 u O C w 3 f S Z x d W 9 0 O y w m c X V v d D t T Z W N 0 a W 9 u M S 9 D a W Z h c j E w I C g z K S 9 B d X R v U m V t b 3 Z l Z E N v b H V t b n M x L n t D b 2 x 1 b W 4 5 L D h 9 J n F 1 b 3 Q 7 L C Z x d W 9 0 O 1 N l Y 3 R p b 2 4 x L 0 N p Z m F y M T A g K D M p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D a W Z h c j E w I C g z K S 9 B d X R v U m V t b 3 Z l Z E N v b H V t b n M x L n t D b 2 x 1 b W 4 x L D B 9 J n F 1 b 3 Q 7 L C Z x d W 9 0 O 1 N l Y 3 R p b 2 4 x L 0 N p Z m F y M T A g K D M p L 0 F 1 d G 9 S Z W 1 v d m V k Q 2 9 s d W 1 u c z E u e 0 N v b H V t b j I s M X 0 m c X V v d D s s J n F 1 b 3 Q 7 U 2 V j d G l v b j E v Q 2 l m Y X I x M C A o M y k v Q X V 0 b 1 J l b W 9 2 Z W R D b 2 x 1 b W 5 z M S 5 7 Q 2 9 s d W 1 u M y w y f S Z x d W 9 0 O y w m c X V v d D t T Z W N 0 a W 9 u M S 9 D a W Z h c j E w I C g z K S 9 B d X R v U m V t b 3 Z l Z E N v b H V t b n M x L n t D b 2 x 1 b W 4 0 L D N 9 J n F 1 b 3 Q 7 L C Z x d W 9 0 O 1 N l Y 3 R p b 2 4 x L 0 N p Z m F y M T A g K D M p L 0 F 1 d G 9 S Z W 1 v d m V k Q 2 9 s d W 1 u c z E u e 0 N v b H V t b j U s N H 0 m c X V v d D s s J n F 1 b 3 Q 7 U 2 V j d G l v b j E v Q 2 l m Y X I x M C A o M y k v Q X V 0 b 1 J l b W 9 2 Z W R D b 2 x 1 b W 5 z M S 5 7 Q 2 9 s d W 1 u N i w 1 f S Z x d W 9 0 O y w m c X V v d D t T Z W N 0 a W 9 u M S 9 D a W Z h c j E w I C g z K S 9 B d X R v U m V t b 3 Z l Z E N v b H V t b n M x L n t D b 2 x 1 b W 4 3 L D Z 9 J n F 1 b 3 Q 7 L C Z x d W 9 0 O 1 N l Y 3 R p b 2 4 x L 0 N p Z m F y M T A g K D M p L 0 F 1 d G 9 S Z W 1 v d m V k Q 2 9 s d W 1 u c z E u e 0 N v b H V t b j g s N 3 0 m c X V v d D s s J n F 1 b 3 Q 7 U 2 V j d G l v b j E v Q 2 l m Y X I x M C A o M y k v Q X V 0 b 1 J l b W 9 2 Z W R D b 2 x 1 b W 5 z M S 5 7 Q 2 9 s d W 1 u O S w 4 f S Z x d W 9 0 O y w m c X V v d D t T Z W N 0 a W 9 u M S 9 D a W Z h c j E w I C g z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l m Y X I x M C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W Z h c j E w J T I w K D M p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m Y X I x M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V U M T E 6 M j k 6 M z E u O D Q 4 M j I 2 O F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Z m F y M T A g K D Q p L 0 F 1 d G 9 S Z W 1 v d m V k Q 2 9 s d W 1 u c z E u e 0 N v b H V t b j E s M H 0 m c X V v d D s s J n F 1 b 3 Q 7 U 2 V j d G l v b j E v Q 2 l m Y X I x M C A o N C k v Q X V 0 b 1 J l b W 9 2 Z W R D b 2 x 1 b W 5 z M S 5 7 Q 2 9 s d W 1 u M i w x f S Z x d W 9 0 O y w m c X V v d D t T Z W N 0 a W 9 u M S 9 D a W Z h c j E w I C g 0 K S 9 B d X R v U m V t b 3 Z l Z E N v b H V t b n M x L n t D b 2 x 1 b W 4 z L D J 9 J n F 1 b 3 Q 7 L C Z x d W 9 0 O 1 N l Y 3 R p b 2 4 x L 0 N p Z m F y M T A g K D Q p L 0 F 1 d G 9 S Z W 1 v d m V k Q 2 9 s d W 1 u c z E u e 0 N v b H V t b j Q s M 3 0 m c X V v d D s s J n F 1 b 3 Q 7 U 2 V j d G l v b j E v Q 2 l m Y X I x M C A o N C k v Q X V 0 b 1 J l b W 9 2 Z W R D b 2 x 1 b W 5 z M S 5 7 Q 2 9 s d W 1 u N S w 0 f S Z x d W 9 0 O y w m c X V v d D t T Z W N 0 a W 9 u M S 9 D a W Z h c j E w I C g 0 K S 9 B d X R v U m V t b 3 Z l Z E N v b H V t b n M x L n t D b 2 x 1 b W 4 2 L D V 9 J n F 1 b 3 Q 7 L C Z x d W 9 0 O 1 N l Y 3 R p b 2 4 x L 0 N p Z m F y M T A g K D Q p L 0 F 1 d G 9 S Z W 1 v d m V k Q 2 9 s d W 1 u c z E u e 0 N v b H V t b j c s N n 0 m c X V v d D s s J n F 1 b 3 Q 7 U 2 V j d G l v b j E v Q 2 l m Y X I x M C A o N C k v Q X V 0 b 1 J l b W 9 2 Z W R D b 2 x 1 b W 5 z M S 5 7 Q 2 9 s d W 1 u O C w 3 f S Z x d W 9 0 O y w m c X V v d D t T Z W N 0 a W 9 u M S 9 D a W Z h c j E w I C g 0 K S 9 B d X R v U m V t b 3 Z l Z E N v b H V t b n M x L n t D b 2 x 1 b W 4 5 L D h 9 J n F 1 b 3 Q 7 L C Z x d W 9 0 O 1 N l Y 3 R p b 2 4 x L 0 N p Z m F y M T A g K D Q p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D a W Z h c j E w I C g 0 K S 9 B d X R v U m V t b 3 Z l Z E N v b H V t b n M x L n t D b 2 x 1 b W 4 x L D B 9 J n F 1 b 3 Q 7 L C Z x d W 9 0 O 1 N l Y 3 R p b 2 4 x L 0 N p Z m F y M T A g K D Q p L 0 F 1 d G 9 S Z W 1 v d m V k Q 2 9 s d W 1 u c z E u e 0 N v b H V t b j I s M X 0 m c X V v d D s s J n F 1 b 3 Q 7 U 2 V j d G l v b j E v Q 2 l m Y X I x M C A o N C k v Q X V 0 b 1 J l b W 9 2 Z W R D b 2 x 1 b W 5 z M S 5 7 Q 2 9 s d W 1 u M y w y f S Z x d W 9 0 O y w m c X V v d D t T Z W N 0 a W 9 u M S 9 D a W Z h c j E w I C g 0 K S 9 B d X R v U m V t b 3 Z l Z E N v b H V t b n M x L n t D b 2 x 1 b W 4 0 L D N 9 J n F 1 b 3 Q 7 L C Z x d W 9 0 O 1 N l Y 3 R p b 2 4 x L 0 N p Z m F y M T A g K D Q p L 0 F 1 d G 9 S Z W 1 v d m V k Q 2 9 s d W 1 u c z E u e 0 N v b H V t b j U s N H 0 m c X V v d D s s J n F 1 b 3 Q 7 U 2 V j d G l v b j E v Q 2 l m Y X I x M C A o N C k v Q X V 0 b 1 J l b W 9 2 Z W R D b 2 x 1 b W 5 z M S 5 7 Q 2 9 s d W 1 u N i w 1 f S Z x d W 9 0 O y w m c X V v d D t T Z W N 0 a W 9 u M S 9 D a W Z h c j E w I C g 0 K S 9 B d X R v U m V t b 3 Z l Z E N v b H V t b n M x L n t D b 2 x 1 b W 4 3 L D Z 9 J n F 1 b 3 Q 7 L C Z x d W 9 0 O 1 N l Y 3 R p b 2 4 x L 0 N p Z m F y M T A g K D Q p L 0 F 1 d G 9 S Z W 1 v d m V k Q 2 9 s d W 1 u c z E u e 0 N v b H V t b j g s N 3 0 m c X V v d D s s J n F 1 b 3 Q 7 U 2 V j d G l v b j E v Q 2 l m Y X I x M C A o N C k v Q X V 0 b 1 J l b W 9 2 Z W R D b 2 x 1 b W 5 z M S 5 7 Q 2 9 s d W 1 u O S w 4 f S Z x d W 9 0 O y w m c X V v d D t T Z W N 0 a W 9 u M S 9 D a W Z h c j E w I C g 0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l m Y X I x M C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W Z h c j E w J T I w K D Q p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m Y X I x M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V U M T E 6 M j k 6 N D U u O D c 5 O T g w N l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Z m F y M T A g K D U p L 0 F 1 d G 9 S Z W 1 v d m V k Q 2 9 s d W 1 u c z E u e 0 N v b H V t b j E s M H 0 m c X V v d D s s J n F 1 b 3 Q 7 U 2 V j d G l v b j E v Q 2 l m Y X I x M C A o N S k v Q X V 0 b 1 J l b W 9 2 Z W R D b 2 x 1 b W 5 z M S 5 7 Q 2 9 s d W 1 u M i w x f S Z x d W 9 0 O y w m c X V v d D t T Z W N 0 a W 9 u M S 9 D a W Z h c j E w I C g 1 K S 9 B d X R v U m V t b 3 Z l Z E N v b H V t b n M x L n t D b 2 x 1 b W 4 z L D J 9 J n F 1 b 3 Q 7 L C Z x d W 9 0 O 1 N l Y 3 R p b 2 4 x L 0 N p Z m F y M T A g K D U p L 0 F 1 d G 9 S Z W 1 v d m V k Q 2 9 s d W 1 u c z E u e 0 N v b H V t b j Q s M 3 0 m c X V v d D s s J n F 1 b 3 Q 7 U 2 V j d G l v b j E v Q 2 l m Y X I x M C A o N S k v Q X V 0 b 1 J l b W 9 2 Z W R D b 2 x 1 b W 5 z M S 5 7 Q 2 9 s d W 1 u N S w 0 f S Z x d W 9 0 O y w m c X V v d D t T Z W N 0 a W 9 u M S 9 D a W Z h c j E w I C g 1 K S 9 B d X R v U m V t b 3 Z l Z E N v b H V t b n M x L n t D b 2 x 1 b W 4 2 L D V 9 J n F 1 b 3 Q 7 L C Z x d W 9 0 O 1 N l Y 3 R p b 2 4 x L 0 N p Z m F y M T A g K D U p L 0 F 1 d G 9 S Z W 1 v d m V k Q 2 9 s d W 1 u c z E u e 0 N v b H V t b j c s N n 0 m c X V v d D s s J n F 1 b 3 Q 7 U 2 V j d G l v b j E v Q 2 l m Y X I x M C A o N S k v Q X V 0 b 1 J l b W 9 2 Z W R D b 2 x 1 b W 5 z M S 5 7 Q 2 9 s d W 1 u O C w 3 f S Z x d W 9 0 O y w m c X V v d D t T Z W N 0 a W 9 u M S 9 D a W Z h c j E w I C g 1 K S 9 B d X R v U m V t b 3 Z l Z E N v b H V t b n M x L n t D b 2 x 1 b W 4 5 L D h 9 J n F 1 b 3 Q 7 L C Z x d W 9 0 O 1 N l Y 3 R p b 2 4 x L 0 N p Z m F y M T A g K D U p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D a W Z h c j E w I C g 1 K S 9 B d X R v U m V t b 3 Z l Z E N v b H V t b n M x L n t D b 2 x 1 b W 4 x L D B 9 J n F 1 b 3 Q 7 L C Z x d W 9 0 O 1 N l Y 3 R p b 2 4 x L 0 N p Z m F y M T A g K D U p L 0 F 1 d G 9 S Z W 1 v d m V k Q 2 9 s d W 1 u c z E u e 0 N v b H V t b j I s M X 0 m c X V v d D s s J n F 1 b 3 Q 7 U 2 V j d G l v b j E v Q 2 l m Y X I x M C A o N S k v Q X V 0 b 1 J l b W 9 2 Z W R D b 2 x 1 b W 5 z M S 5 7 Q 2 9 s d W 1 u M y w y f S Z x d W 9 0 O y w m c X V v d D t T Z W N 0 a W 9 u M S 9 D a W Z h c j E w I C g 1 K S 9 B d X R v U m V t b 3 Z l Z E N v b H V t b n M x L n t D b 2 x 1 b W 4 0 L D N 9 J n F 1 b 3 Q 7 L C Z x d W 9 0 O 1 N l Y 3 R p b 2 4 x L 0 N p Z m F y M T A g K D U p L 0 F 1 d G 9 S Z W 1 v d m V k Q 2 9 s d W 1 u c z E u e 0 N v b H V t b j U s N H 0 m c X V v d D s s J n F 1 b 3 Q 7 U 2 V j d G l v b j E v Q 2 l m Y X I x M C A o N S k v Q X V 0 b 1 J l b W 9 2 Z W R D b 2 x 1 b W 5 z M S 5 7 Q 2 9 s d W 1 u N i w 1 f S Z x d W 9 0 O y w m c X V v d D t T Z W N 0 a W 9 u M S 9 D a W Z h c j E w I C g 1 K S 9 B d X R v U m V t b 3 Z l Z E N v b H V t b n M x L n t D b 2 x 1 b W 4 3 L D Z 9 J n F 1 b 3 Q 7 L C Z x d W 9 0 O 1 N l Y 3 R p b 2 4 x L 0 N p Z m F y M T A g K D U p L 0 F 1 d G 9 S Z W 1 v d m V k Q 2 9 s d W 1 u c z E u e 0 N v b H V t b j g s N 3 0 m c X V v d D s s J n F 1 b 3 Q 7 U 2 V j d G l v b j E v Q 2 l m Y X I x M C A o N S k v Q X V 0 b 1 J l b W 9 2 Z W R D b 2 x 1 b W 5 z M S 5 7 Q 2 9 s d W 1 u O S w 4 f S Z x d W 9 0 O y w m c X V v d D t T Z W N 0 a W 9 u M S 9 D a W Z h c j E w I C g 1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l m Y X I x M C U y M C g 1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W Z h c j E w J T I w K D U p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m Y X I x M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V U M T E 6 M z A 6 M T U u N j Y w M T E 1 M F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Z m F y M T A g K D Y p L 0 F 1 d G 9 S Z W 1 v d m V k Q 2 9 s d W 1 u c z E u e 0 N v b H V t b j E s M H 0 m c X V v d D s s J n F 1 b 3 Q 7 U 2 V j d G l v b j E v Q 2 l m Y X I x M C A o N i k v Q X V 0 b 1 J l b W 9 2 Z W R D b 2 x 1 b W 5 z M S 5 7 Q 2 9 s d W 1 u M i w x f S Z x d W 9 0 O y w m c X V v d D t T Z W N 0 a W 9 u M S 9 D a W Z h c j E w I C g 2 K S 9 B d X R v U m V t b 3 Z l Z E N v b H V t b n M x L n t D b 2 x 1 b W 4 z L D J 9 J n F 1 b 3 Q 7 L C Z x d W 9 0 O 1 N l Y 3 R p b 2 4 x L 0 N p Z m F y M T A g K D Y p L 0 F 1 d G 9 S Z W 1 v d m V k Q 2 9 s d W 1 u c z E u e 0 N v b H V t b j Q s M 3 0 m c X V v d D s s J n F 1 b 3 Q 7 U 2 V j d G l v b j E v Q 2 l m Y X I x M C A o N i k v Q X V 0 b 1 J l b W 9 2 Z W R D b 2 x 1 b W 5 z M S 5 7 Q 2 9 s d W 1 u N S w 0 f S Z x d W 9 0 O y w m c X V v d D t T Z W N 0 a W 9 u M S 9 D a W Z h c j E w I C g 2 K S 9 B d X R v U m V t b 3 Z l Z E N v b H V t b n M x L n t D b 2 x 1 b W 4 2 L D V 9 J n F 1 b 3 Q 7 L C Z x d W 9 0 O 1 N l Y 3 R p b 2 4 x L 0 N p Z m F y M T A g K D Y p L 0 F 1 d G 9 S Z W 1 v d m V k Q 2 9 s d W 1 u c z E u e 0 N v b H V t b j c s N n 0 m c X V v d D s s J n F 1 b 3 Q 7 U 2 V j d G l v b j E v Q 2 l m Y X I x M C A o N i k v Q X V 0 b 1 J l b W 9 2 Z W R D b 2 x 1 b W 5 z M S 5 7 Q 2 9 s d W 1 u O C w 3 f S Z x d W 9 0 O y w m c X V v d D t T Z W N 0 a W 9 u M S 9 D a W Z h c j E w I C g 2 K S 9 B d X R v U m V t b 3 Z l Z E N v b H V t b n M x L n t D b 2 x 1 b W 4 5 L D h 9 J n F 1 b 3 Q 7 L C Z x d W 9 0 O 1 N l Y 3 R p b 2 4 x L 0 N p Z m F y M T A g K D Y p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D a W Z h c j E w I C g 2 K S 9 B d X R v U m V t b 3 Z l Z E N v b H V t b n M x L n t D b 2 x 1 b W 4 x L D B 9 J n F 1 b 3 Q 7 L C Z x d W 9 0 O 1 N l Y 3 R p b 2 4 x L 0 N p Z m F y M T A g K D Y p L 0 F 1 d G 9 S Z W 1 v d m V k Q 2 9 s d W 1 u c z E u e 0 N v b H V t b j I s M X 0 m c X V v d D s s J n F 1 b 3 Q 7 U 2 V j d G l v b j E v Q 2 l m Y X I x M C A o N i k v Q X V 0 b 1 J l b W 9 2 Z W R D b 2 x 1 b W 5 z M S 5 7 Q 2 9 s d W 1 u M y w y f S Z x d W 9 0 O y w m c X V v d D t T Z W N 0 a W 9 u M S 9 D a W Z h c j E w I C g 2 K S 9 B d X R v U m V t b 3 Z l Z E N v b H V t b n M x L n t D b 2 x 1 b W 4 0 L D N 9 J n F 1 b 3 Q 7 L C Z x d W 9 0 O 1 N l Y 3 R p b 2 4 x L 0 N p Z m F y M T A g K D Y p L 0 F 1 d G 9 S Z W 1 v d m V k Q 2 9 s d W 1 u c z E u e 0 N v b H V t b j U s N H 0 m c X V v d D s s J n F 1 b 3 Q 7 U 2 V j d G l v b j E v Q 2 l m Y X I x M C A o N i k v Q X V 0 b 1 J l b W 9 2 Z W R D b 2 x 1 b W 5 z M S 5 7 Q 2 9 s d W 1 u N i w 1 f S Z x d W 9 0 O y w m c X V v d D t T Z W N 0 a W 9 u M S 9 D a W Z h c j E w I C g 2 K S 9 B d X R v U m V t b 3 Z l Z E N v b H V t b n M x L n t D b 2 x 1 b W 4 3 L D Z 9 J n F 1 b 3 Q 7 L C Z x d W 9 0 O 1 N l Y 3 R p b 2 4 x L 0 N p Z m F y M T A g K D Y p L 0 F 1 d G 9 S Z W 1 v d m V k Q 2 9 s d W 1 u c z E u e 0 N v b H V t b j g s N 3 0 m c X V v d D s s J n F 1 b 3 Q 7 U 2 V j d G l v b j E v Q 2 l m Y X I x M C A o N i k v Q X V 0 b 1 J l b W 9 2 Z W R D b 2 x 1 b W 5 z M S 5 7 Q 2 9 s d W 1 u O S w 4 f S Z x d W 9 0 O y w m c X V v d D t T Z W N 0 a W 9 u M S 9 D a W Z h c j E w I C g 2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l m Y X I x M C U y M C g 2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W Z h c j E w J T I w K D Y p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m Y X I x M C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V U M T E 6 M z A 6 N D c u M D M 2 M T c 2 M 1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Z m F y M T A g K D c p L 0 F 1 d G 9 S Z W 1 v d m V k Q 2 9 s d W 1 u c z E u e 0 N v b H V t b j E s M H 0 m c X V v d D s s J n F 1 b 3 Q 7 U 2 V j d G l v b j E v Q 2 l m Y X I x M C A o N y k v Q X V 0 b 1 J l b W 9 2 Z W R D b 2 x 1 b W 5 z M S 5 7 Q 2 9 s d W 1 u M i w x f S Z x d W 9 0 O y w m c X V v d D t T Z W N 0 a W 9 u M S 9 D a W Z h c j E w I C g 3 K S 9 B d X R v U m V t b 3 Z l Z E N v b H V t b n M x L n t D b 2 x 1 b W 4 z L D J 9 J n F 1 b 3 Q 7 L C Z x d W 9 0 O 1 N l Y 3 R p b 2 4 x L 0 N p Z m F y M T A g K D c p L 0 F 1 d G 9 S Z W 1 v d m V k Q 2 9 s d W 1 u c z E u e 0 N v b H V t b j Q s M 3 0 m c X V v d D s s J n F 1 b 3 Q 7 U 2 V j d G l v b j E v Q 2 l m Y X I x M C A o N y k v Q X V 0 b 1 J l b W 9 2 Z W R D b 2 x 1 b W 5 z M S 5 7 Q 2 9 s d W 1 u N S w 0 f S Z x d W 9 0 O y w m c X V v d D t T Z W N 0 a W 9 u M S 9 D a W Z h c j E w I C g 3 K S 9 B d X R v U m V t b 3 Z l Z E N v b H V t b n M x L n t D b 2 x 1 b W 4 2 L D V 9 J n F 1 b 3 Q 7 L C Z x d W 9 0 O 1 N l Y 3 R p b 2 4 x L 0 N p Z m F y M T A g K D c p L 0 F 1 d G 9 S Z W 1 v d m V k Q 2 9 s d W 1 u c z E u e 0 N v b H V t b j c s N n 0 m c X V v d D s s J n F 1 b 3 Q 7 U 2 V j d G l v b j E v Q 2 l m Y X I x M C A o N y k v Q X V 0 b 1 J l b W 9 2 Z W R D b 2 x 1 b W 5 z M S 5 7 Q 2 9 s d W 1 u O C w 3 f S Z x d W 9 0 O y w m c X V v d D t T Z W N 0 a W 9 u M S 9 D a W Z h c j E w I C g 3 K S 9 B d X R v U m V t b 3 Z l Z E N v b H V t b n M x L n t D b 2 x 1 b W 4 5 L D h 9 J n F 1 b 3 Q 7 L C Z x d W 9 0 O 1 N l Y 3 R p b 2 4 x L 0 N p Z m F y M T A g K D c p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D a W Z h c j E w I C g 3 K S 9 B d X R v U m V t b 3 Z l Z E N v b H V t b n M x L n t D b 2 x 1 b W 4 x L D B 9 J n F 1 b 3 Q 7 L C Z x d W 9 0 O 1 N l Y 3 R p b 2 4 x L 0 N p Z m F y M T A g K D c p L 0 F 1 d G 9 S Z W 1 v d m V k Q 2 9 s d W 1 u c z E u e 0 N v b H V t b j I s M X 0 m c X V v d D s s J n F 1 b 3 Q 7 U 2 V j d G l v b j E v Q 2 l m Y X I x M C A o N y k v Q X V 0 b 1 J l b W 9 2 Z W R D b 2 x 1 b W 5 z M S 5 7 Q 2 9 s d W 1 u M y w y f S Z x d W 9 0 O y w m c X V v d D t T Z W N 0 a W 9 u M S 9 D a W Z h c j E w I C g 3 K S 9 B d X R v U m V t b 3 Z l Z E N v b H V t b n M x L n t D b 2 x 1 b W 4 0 L D N 9 J n F 1 b 3 Q 7 L C Z x d W 9 0 O 1 N l Y 3 R p b 2 4 x L 0 N p Z m F y M T A g K D c p L 0 F 1 d G 9 S Z W 1 v d m V k Q 2 9 s d W 1 u c z E u e 0 N v b H V t b j U s N H 0 m c X V v d D s s J n F 1 b 3 Q 7 U 2 V j d G l v b j E v Q 2 l m Y X I x M C A o N y k v Q X V 0 b 1 J l b W 9 2 Z W R D b 2 x 1 b W 5 z M S 5 7 Q 2 9 s d W 1 u N i w 1 f S Z x d W 9 0 O y w m c X V v d D t T Z W N 0 a W 9 u M S 9 D a W Z h c j E w I C g 3 K S 9 B d X R v U m V t b 3 Z l Z E N v b H V t b n M x L n t D b 2 x 1 b W 4 3 L D Z 9 J n F 1 b 3 Q 7 L C Z x d W 9 0 O 1 N l Y 3 R p b 2 4 x L 0 N p Z m F y M T A g K D c p L 0 F 1 d G 9 S Z W 1 v d m V k Q 2 9 s d W 1 u c z E u e 0 N v b H V t b j g s N 3 0 m c X V v d D s s J n F 1 b 3 Q 7 U 2 V j d G l v b j E v Q 2 l m Y X I x M C A o N y k v Q X V 0 b 1 J l b W 9 2 Z W R D b 2 x 1 b W 5 z M S 5 7 Q 2 9 s d W 1 u O S w 4 f S Z x d W 9 0 O y w m c X V v d D t T Z W N 0 a W 9 u M S 9 D a W Z h c j E w I C g 3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l m Y X I x M C U y M C g 3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W Z h c j E w J T I w K D c p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m Y X I x M C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V U M T E 6 M z E 6 M z Y u M j Q w M D I 3 M l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Z m F y M T A g K D k p L 0 F 1 d G 9 S Z W 1 v d m V k Q 2 9 s d W 1 u c z E u e 0 N v b H V t b j E s M H 0 m c X V v d D s s J n F 1 b 3 Q 7 U 2 V j d G l v b j E v Q 2 l m Y X I x M C A o O S k v Q X V 0 b 1 J l b W 9 2 Z W R D b 2 x 1 b W 5 z M S 5 7 Q 2 9 s d W 1 u M i w x f S Z x d W 9 0 O y w m c X V v d D t T Z W N 0 a W 9 u M S 9 D a W Z h c j E w I C g 5 K S 9 B d X R v U m V t b 3 Z l Z E N v b H V t b n M x L n t D b 2 x 1 b W 4 z L D J 9 J n F 1 b 3 Q 7 L C Z x d W 9 0 O 1 N l Y 3 R p b 2 4 x L 0 N p Z m F y M T A g K D k p L 0 F 1 d G 9 S Z W 1 v d m V k Q 2 9 s d W 1 u c z E u e 0 N v b H V t b j Q s M 3 0 m c X V v d D s s J n F 1 b 3 Q 7 U 2 V j d G l v b j E v Q 2 l m Y X I x M C A o O S k v Q X V 0 b 1 J l b W 9 2 Z W R D b 2 x 1 b W 5 z M S 5 7 Q 2 9 s d W 1 u N S w 0 f S Z x d W 9 0 O y w m c X V v d D t T Z W N 0 a W 9 u M S 9 D a W Z h c j E w I C g 5 K S 9 B d X R v U m V t b 3 Z l Z E N v b H V t b n M x L n t D b 2 x 1 b W 4 2 L D V 9 J n F 1 b 3 Q 7 L C Z x d W 9 0 O 1 N l Y 3 R p b 2 4 x L 0 N p Z m F y M T A g K D k p L 0 F 1 d G 9 S Z W 1 v d m V k Q 2 9 s d W 1 u c z E u e 0 N v b H V t b j c s N n 0 m c X V v d D s s J n F 1 b 3 Q 7 U 2 V j d G l v b j E v Q 2 l m Y X I x M C A o O S k v Q X V 0 b 1 J l b W 9 2 Z W R D b 2 x 1 b W 5 z M S 5 7 Q 2 9 s d W 1 u O C w 3 f S Z x d W 9 0 O y w m c X V v d D t T Z W N 0 a W 9 u M S 9 D a W Z h c j E w I C g 5 K S 9 B d X R v U m V t b 3 Z l Z E N v b H V t b n M x L n t D b 2 x 1 b W 4 5 L D h 9 J n F 1 b 3 Q 7 L C Z x d W 9 0 O 1 N l Y 3 R p b 2 4 x L 0 N p Z m F y M T A g K D k p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D a W Z h c j E w I C g 5 K S 9 B d X R v U m V t b 3 Z l Z E N v b H V t b n M x L n t D b 2 x 1 b W 4 x L D B 9 J n F 1 b 3 Q 7 L C Z x d W 9 0 O 1 N l Y 3 R p b 2 4 x L 0 N p Z m F y M T A g K D k p L 0 F 1 d G 9 S Z W 1 v d m V k Q 2 9 s d W 1 u c z E u e 0 N v b H V t b j I s M X 0 m c X V v d D s s J n F 1 b 3 Q 7 U 2 V j d G l v b j E v Q 2 l m Y X I x M C A o O S k v Q X V 0 b 1 J l b W 9 2 Z W R D b 2 x 1 b W 5 z M S 5 7 Q 2 9 s d W 1 u M y w y f S Z x d W 9 0 O y w m c X V v d D t T Z W N 0 a W 9 u M S 9 D a W Z h c j E w I C g 5 K S 9 B d X R v U m V t b 3 Z l Z E N v b H V t b n M x L n t D b 2 x 1 b W 4 0 L D N 9 J n F 1 b 3 Q 7 L C Z x d W 9 0 O 1 N l Y 3 R p b 2 4 x L 0 N p Z m F y M T A g K D k p L 0 F 1 d G 9 S Z W 1 v d m V k Q 2 9 s d W 1 u c z E u e 0 N v b H V t b j U s N H 0 m c X V v d D s s J n F 1 b 3 Q 7 U 2 V j d G l v b j E v Q 2 l m Y X I x M C A o O S k v Q X V 0 b 1 J l b W 9 2 Z W R D b 2 x 1 b W 5 z M S 5 7 Q 2 9 s d W 1 u N i w 1 f S Z x d W 9 0 O y w m c X V v d D t T Z W N 0 a W 9 u M S 9 D a W Z h c j E w I C g 5 K S 9 B d X R v U m V t b 3 Z l Z E N v b H V t b n M x L n t D b 2 x 1 b W 4 3 L D Z 9 J n F 1 b 3 Q 7 L C Z x d W 9 0 O 1 N l Y 3 R p b 2 4 x L 0 N p Z m F y M T A g K D k p L 0 F 1 d G 9 S Z W 1 v d m V k Q 2 9 s d W 1 u c z E u e 0 N v b H V t b j g s N 3 0 m c X V v d D s s J n F 1 b 3 Q 7 U 2 V j d G l v b j E v Q 2 l m Y X I x M C A o O S k v Q X V 0 b 1 J l b W 9 2 Z W R D b 2 x 1 b W 5 z M S 5 7 Q 2 9 s d W 1 u O S w 4 f S Z x d W 9 0 O y w m c X V v d D t T Z W N 0 a W 9 u M S 9 D a W Z h c j E w I C g 5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l m Y X I x M C U y M C g 5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W Z h c j E w J T I w K D k p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m Y X I x M C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1 V D E x O j M x O j Q 5 L j E 5 M T U 3 N D F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W Z h c j E w I C g x M C k v Q X V 0 b 1 J l b W 9 2 Z W R D b 2 x 1 b W 5 z M S 5 7 Q 2 9 s d W 1 u M S w w f S Z x d W 9 0 O y w m c X V v d D t T Z W N 0 a W 9 u M S 9 D a W Z h c j E w I C g x M C k v Q X V 0 b 1 J l b W 9 2 Z W R D b 2 x 1 b W 5 z M S 5 7 Q 2 9 s d W 1 u M i w x f S Z x d W 9 0 O y w m c X V v d D t T Z W N 0 a W 9 u M S 9 D a W Z h c j E w I C g x M C k v Q X V 0 b 1 J l b W 9 2 Z W R D b 2 x 1 b W 5 z M S 5 7 Q 2 9 s d W 1 u M y w y f S Z x d W 9 0 O y w m c X V v d D t T Z W N 0 a W 9 u M S 9 D a W Z h c j E w I C g x M C k v Q X V 0 b 1 J l b W 9 2 Z W R D b 2 x 1 b W 5 z M S 5 7 Q 2 9 s d W 1 u N C w z f S Z x d W 9 0 O y w m c X V v d D t T Z W N 0 a W 9 u M S 9 D a W Z h c j E w I C g x M C k v Q X V 0 b 1 J l b W 9 2 Z W R D b 2 x 1 b W 5 z M S 5 7 Q 2 9 s d W 1 u N S w 0 f S Z x d W 9 0 O y w m c X V v d D t T Z W N 0 a W 9 u M S 9 D a W Z h c j E w I C g x M C k v Q X V 0 b 1 J l b W 9 2 Z W R D b 2 x 1 b W 5 z M S 5 7 Q 2 9 s d W 1 u N i w 1 f S Z x d W 9 0 O y w m c X V v d D t T Z W N 0 a W 9 u M S 9 D a W Z h c j E w I C g x M C k v Q X V 0 b 1 J l b W 9 2 Z W R D b 2 x 1 b W 5 z M S 5 7 Q 2 9 s d W 1 u N y w 2 f S Z x d W 9 0 O y w m c X V v d D t T Z W N 0 a W 9 u M S 9 D a W Z h c j E w I C g x M C k v Q X V 0 b 1 J l b W 9 2 Z W R D b 2 x 1 b W 5 z M S 5 7 Q 2 9 s d W 1 u O C w 3 f S Z x d W 9 0 O y w m c X V v d D t T Z W N 0 a W 9 u M S 9 D a W Z h c j E w I C g x M C k v Q X V 0 b 1 J l b W 9 2 Z W R D b 2 x 1 b W 5 z M S 5 7 Q 2 9 s d W 1 u O S w 4 f S Z x d W 9 0 O y w m c X V v d D t T Z W N 0 a W 9 u M S 9 D a W Z h c j E w I C g x M C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N p Z m F y M T A g K D E w K S 9 B d X R v U m V t b 3 Z l Z E N v b H V t b n M x L n t D b 2 x 1 b W 4 x L D B 9 J n F 1 b 3 Q 7 L C Z x d W 9 0 O 1 N l Y 3 R p b 2 4 x L 0 N p Z m F y M T A g K D E w K S 9 B d X R v U m V t b 3 Z l Z E N v b H V t b n M x L n t D b 2 x 1 b W 4 y L D F 9 J n F 1 b 3 Q 7 L C Z x d W 9 0 O 1 N l Y 3 R p b 2 4 x L 0 N p Z m F y M T A g K D E w K S 9 B d X R v U m V t b 3 Z l Z E N v b H V t b n M x L n t D b 2 x 1 b W 4 z L D J 9 J n F 1 b 3 Q 7 L C Z x d W 9 0 O 1 N l Y 3 R p b 2 4 x L 0 N p Z m F y M T A g K D E w K S 9 B d X R v U m V t b 3 Z l Z E N v b H V t b n M x L n t D b 2 x 1 b W 4 0 L D N 9 J n F 1 b 3 Q 7 L C Z x d W 9 0 O 1 N l Y 3 R p b 2 4 x L 0 N p Z m F y M T A g K D E w K S 9 B d X R v U m V t b 3 Z l Z E N v b H V t b n M x L n t D b 2 x 1 b W 4 1 L D R 9 J n F 1 b 3 Q 7 L C Z x d W 9 0 O 1 N l Y 3 R p b 2 4 x L 0 N p Z m F y M T A g K D E w K S 9 B d X R v U m V t b 3 Z l Z E N v b H V t b n M x L n t D b 2 x 1 b W 4 2 L D V 9 J n F 1 b 3 Q 7 L C Z x d W 9 0 O 1 N l Y 3 R p b 2 4 x L 0 N p Z m F y M T A g K D E w K S 9 B d X R v U m V t b 3 Z l Z E N v b H V t b n M x L n t D b 2 x 1 b W 4 3 L D Z 9 J n F 1 b 3 Q 7 L C Z x d W 9 0 O 1 N l Y 3 R p b 2 4 x L 0 N p Z m F y M T A g K D E w K S 9 B d X R v U m V t b 3 Z l Z E N v b H V t b n M x L n t D b 2 x 1 b W 4 4 L D d 9 J n F 1 b 3 Q 7 L C Z x d W 9 0 O 1 N l Y 3 R p b 2 4 x L 0 N p Z m F y M T A g K D E w K S 9 B d X R v U m V t b 3 Z l Z E N v b H V t b n M x L n t D b 2 x 1 b W 4 5 L D h 9 J n F 1 b 3 Q 7 L C Z x d W 9 0 O 1 N l Y 3 R p b 2 4 x L 0 N p Z m F y M T A g K D E w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l m Y X I x M C U y M C g x M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m Y X I x M C U y M C g x M C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W Z h c j E w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V U M T E 6 M z I 6 M D U u M z k 4 N z k 2 N 1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Z m F y M T A g K D E x K S 9 B d X R v U m V t b 3 Z l Z E N v b H V t b n M x L n t D b 2 x 1 b W 4 x L D B 9 J n F 1 b 3 Q 7 L C Z x d W 9 0 O 1 N l Y 3 R p b 2 4 x L 0 N p Z m F y M T A g K D E x K S 9 B d X R v U m V t b 3 Z l Z E N v b H V t b n M x L n t D b 2 x 1 b W 4 y L D F 9 J n F 1 b 3 Q 7 L C Z x d W 9 0 O 1 N l Y 3 R p b 2 4 x L 0 N p Z m F y M T A g K D E x K S 9 B d X R v U m V t b 3 Z l Z E N v b H V t b n M x L n t D b 2 x 1 b W 4 z L D J 9 J n F 1 b 3 Q 7 L C Z x d W 9 0 O 1 N l Y 3 R p b 2 4 x L 0 N p Z m F y M T A g K D E x K S 9 B d X R v U m V t b 3 Z l Z E N v b H V t b n M x L n t D b 2 x 1 b W 4 0 L D N 9 J n F 1 b 3 Q 7 L C Z x d W 9 0 O 1 N l Y 3 R p b 2 4 x L 0 N p Z m F y M T A g K D E x K S 9 B d X R v U m V t b 3 Z l Z E N v b H V t b n M x L n t D b 2 x 1 b W 4 1 L D R 9 J n F 1 b 3 Q 7 L C Z x d W 9 0 O 1 N l Y 3 R p b 2 4 x L 0 N p Z m F y M T A g K D E x K S 9 B d X R v U m V t b 3 Z l Z E N v b H V t b n M x L n t D b 2 x 1 b W 4 2 L D V 9 J n F 1 b 3 Q 7 L C Z x d W 9 0 O 1 N l Y 3 R p b 2 4 x L 0 N p Z m F y M T A g K D E x K S 9 B d X R v U m V t b 3 Z l Z E N v b H V t b n M x L n t D b 2 x 1 b W 4 3 L D Z 9 J n F 1 b 3 Q 7 L C Z x d W 9 0 O 1 N l Y 3 R p b 2 4 x L 0 N p Z m F y M T A g K D E x K S 9 B d X R v U m V t b 3 Z l Z E N v b H V t b n M x L n t D b 2 x 1 b W 4 4 L D d 9 J n F 1 b 3 Q 7 L C Z x d W 9 0 O 1 N l Y 3 R p b 2 4 x L 0 N p Z m F y M T A g K D E x K S 9 B d X R v U m V t b 3 Z l Z E N v b H V t b n M x L n t D b 2 x 1 b W 4 5 L D h 9 J n F 1 b 3 Q 7 L C Z x d W 9 0 O 1 N l Y 3 R p b 2 4 x L 0 N p Z m F y M T A g K D E x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l m Y X I x M C A o M T E p L 0 F 1 d G 9 S Z W 1 v d m V k Q 2 9 s d W 1 u c z E u e 0 N v b H V t b j E s M H 0 m c X V v d D s s J n F 1 b 3 Q 7 U 2 V j d G l v b j E v Q 2 l m Y X I x M C A o M T E p L 0 F 1 d G 9 S Z W 1 v d m V k Q 2 9 s d W 1 u c z E u e 0 N v b H V t b j I s M X 0 m c X V v d D s s J n F 1 b 3 Q 7 U 2 V j d G l v b j E v Q 2 l m Y X I x M C A o M T E p L 0 F 1 d G 9 S Z W 1 v d m V k Q 2 9 s d W 1 u c z E u e 0 N v b H V t b j M s M n 0 m c X V v d D s s J n F 1 b 3 Q 7 U 2 V j d G l v b j E v Q 2 l m Y X I x M C A o M T E p L 0 F 1 d G 9 S Z W 1 v d m V k Q 2 9 s d W 1 u c z E u e 0 N v b H V t b j Q s M 3 0 m c X V v d D s s J n F 1 b 3 Q 7 U 2 V j d G l v b j E v Q 2 l m Y X I x M C A o M T E p L 0 F 1 d G 9 S Z W 1 v d m V k Q 2 9 s d W 1 u c z E u e 0 N v b H V t b j U s N H 0 m c X V v d D s s J n F 1 b 3 Q 7 U 2 V j d G l v b j E v Q 2 l m Y X I x M C A o M T E p L 0 F 1 d G 9 S Z W 1 v d m V k Q 2 9 s d W 1 u c z E u e 0 N v b H V t b j Y s N X 0 m c X V v d D s s J n F 1 b 3 Q 7 U 2 V j d G l v b j E v Q 2 l m Y X I x M C A o M T E p L 0 F 1 d G 9 S Z W 1 v d m V k Q 2 9 s d W 1 u c z E u e 0 N v b H V t b j c s N n 0 m c X V v d D s s J n F 1 b 3 Q 7 U 2 V j d G l v b j E v Q 2 l m Y X I x M C A o M T E p L 0 F 1 d G 9 S Z W 1 v d m V k Q 2 9 s d W 1 u c z E u e 0 N v b H V t b j g s N 3 0 m c X V v d D s s J n F 1 b 3 Q 7 U 2 V j d G l v b j E v Q 2 l m Y X I x M C A o M T E p L 0 F 1 d G 9 S Z W 1 v d m V k Q 2 9 s d W 1 u c z E u e 0 N v b H V t b j k s O H 0 m c X V v d D s s J n F 1 b 3 Q 7 U 2 V j d G l v b j E v Q 2 l m Y X I x M C A o M T E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a W Z h c j E w J T I w K D E x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W Z h c j E w J T I w K D E x K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Z m F y M T A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V Q x M T o z M j o z M C 4 1 O D M y M D E y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l m Y X I x M C A o M T I p L 0 F 1 d G 9 S Z W 1 v d m V k Q 2 9 s d W 1 u c z E u e 0 N v b H V t b j E s M H 0 m c X V v d D s s J n F 1 b 3 Q 7 U 2 V j d G l v b j E v Q 2 l m Y X I x M C A o M T I p L 0 F 1 d G 9 S Z W 1 v d m V k Q 2 9 s d W 1 u c z E u e 0 N v b H V t b j I s M X 0 m c X V v d D s s J n F 1 b 3 Q 7 U 2 V j d G l v b j E v Q 2 l m Y X I x M C A o M T I p L 0 F 1 d G 9 S Z W 1 v d m V k Q 2 9 s d W 1 u c z E u e 0 N v b H V t b j M s M n 0 m c X V v d D s s J n F 1 b 3 Q 7 U 2 V j d G l v b j E v Q 2 l m Y X I x M C A o M T I p L 0 F 1 d G 9 S Z W 1 v d m V k Q 2 9 s d W 1 u c z E u e 0 N v b H V t b j Q s M 3 0 m c X V v d D s s J n F 1 b 3 Q 7 U 2 V j d G l v b j E v Q 2 l m Y X I x M C A o M T I p L 0 F 1 d G 9 S Z W 1 v d m V k Q 2 9 s d W 1 u c z E u e 0 N v b H V t b j U s N H 0 m c X V v d D s s J n F 1 b 3 Q 7 U 2 V j d G l v b j E v Q 2 l m Y X I x M C A o M T I p L 0 F 1 d G 9 S Z W 1 v d m V k Q 2 9 s d W 1 u c z E u e 0 N v b H V t b j Y s N X 0 m c X V v d D s s J n F 1 b 3 Q 7 U 2 V j d G l v b j E v Q 2 l m Y X I x M C A o M T I p L 0 F 1 d G 9 S Z W 1 v d m V k Q 2 9 s d W 1 u c z E u e 0 N v b H V t b j c s N n 0 m c X V v d D s s J n F 1 b 3 Q 7 U 2 V j d G l v b j E v Q 2 l m Y X I x M C A o M T I p L 0 F 1 d G 9 S Z W 1 v d m V k Q 2 9 s d W 1 u c z E u e 0 N v b H V t b j g s N 3 0 m c X V v d D s s J n F 1 b 3 Q 7 U 2 V j d G l v b j E v Q 2 l m Y X I x M C A o M T I p L 0 F 1 d G 9 S Z W 1 v d m V k Q 2 9 s d W 1 u c z E u e 0 N v b H V t b j k s O H 0 m c X V v d D s s J n F 1 b 3 Q 7 U 2 V j d G l v b j E v Q 2 l m Y X I x M C A o M T I p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D a W Z h c j E w I C g x M i k v Q X V 0 b 1 J l b W 9 2 Z W R D b 2 x 1 b W 5 z M S 5 7 Q 2 9 s d W 1 u M S w w f S Z x d W 9 0 O y w m c X V v d D t T Z W N 0 a W 9 u M S 9 D a W Z h c j E w I C g x M i k v Q X V 0 b 1 J l b W 9 2 Z W R D b 2 x 1 b W 5 z M S 5 7 Q 2 9 s d W 1 u M i w x f S Z x d W 9 0 O y w m c X V v d D t T Z W N 0 a W 9 u M S 9 D a W Z h c j E w I C g x M i k v Q X V 0 b 1 J l b W 9 2 Z W R D b 2 x 1 b W 5 z M S 5 7 Q 2 9 s d W 1 u M y w y f S Z x d W 9 0 O y w m c X V v d D t T Z W N 0 a W 9 u M S 9 D a W Z h c j E w I C g x M i k v Q X V 0 b 1 J l b W 9 2 Z W R D b 2 x 1 b W 5 z M S 5 7 Q 2 9 s d W 1 u N C w z f S Z x d W 9 0 O y w m c X V v d D t T Z W N 0 a W 9 u M S 9 D a W Z h c j E w I C g x M i k v Q X V 0 b 1 J l b W 9 2 Z W R D b 2 x 1 b W 5 z M S 5 7 Q 2 9 s d W 1 u N S w 0 f S Z x d W 9 0 O y w m c X V v d D t T Z W N 0 a W 9 u M S 9 D a W Z h c j E w I C g x M i k v Q X V 0 b 1 J l b W 9 2 Z W R D b 2 x 1 b W 5 z M S 5 7 Q 2 9 s d W 1 u N i w 1 f S Z x d W 9 0 O y w m c X V v d D t T Z W N 0 a W 9 u M S 9 D a W Z h c j E w I C g x M i k v Q X V 0 b 1 J l b W 9 2 Z W R D b 2 x 1 b W 5 z M S 5 7 Q 2 9 s d W 1 u N y w 2 f S Z x d W 9 0 O y w m c X V v d D t T Z W N 0 a W 9 u M S 9 D a W Z h c j E w I C g x M i k v Q X V 0 b 1 J l b W 9 2 Z W R D b 2 x 1 b W 5 z M S 5 7 Q 2 9 s d W 1 u O C w 3 f S Z x d W 9 0 O y w m c X V v d D t T Z W N 0 a W 9 u M S 9 D a W Z h c j E w I C g x M i k v Q X V 0 b 1 J l b W 9 2 Z W R D b 2 x 1 b W 5 z M S 5 7 Q 2 9 s d W 1 u O S w 4 f S Z x d W 9 0 O y w m c X V v d D t T Z W N 0 a W 9 u M S 9 D a W Z h c j E w I C g x M i k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Z m F y M T A l M j A o M T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Z m F y M T A l M j A o M T I p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v R 0 F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b G V f Q W 5 v R 0 F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1 V D E y O j A y O j E y L j M 5 N T A 2 M D B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5 v R 0 F O L 0 F 1 d G 9 S Z W 1 v d m V k Q 2 9 s d W 1 u c z E u e 0 5 h b W U s M H 0 m c X V v d D s s J n F 1 b 3 Q 7 U 2 V j d G l v b j E v Q W 5 v R 0 F O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u b 0 d B T i 9 B d X R v U m V t b 3 Z l Z E N v b H V t b n M x L n t O Y W 1 l L D B 9 J n F 1 b 3 Q 7 L C Z x d W 9 0 O 1 N l Y 3 R p b 2 4 x L 0 F u b 0 d B T i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5 v R 0 F O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b 0 d B T i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Z X B f U 1 Z E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1 V D E y O j A 1 O j I y L j Q y N j A 3 N z J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l c F 9 T V k R E L 0 F 1 d G 9 S Z W 1 v d m V k Q 2 9 s d W 1 u c z E u e 0 5 h b W U s M H 0 m c X V v d D s s J n F 1 b 3 Q 7 U 2 V j d G l v b j E v R G V l c F 9 T V k R E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l Z X B f U 1 Z E R C 9 B d X R v U m V t b 3 Z l Z E N v b H V t b n M x L n t O Y W 1 l L D B 9 J n F 1 b 3 Q 7 L C Z x d W 9 0 O 1 N l Y 3 R p b 2 4 x L 0 R l Z X B f U 1 Z E R C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l c F 9 T V k R E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Z X B f U 1 Z E R C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C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Z W x s Z V 9 G Q j U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1 V D E y O j A 1 O j Q w L j Q y N j k w N T R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I 1 M C 9 B d X R v U m V t b 3 Z l Z E N v b H V t b n M x L n t O Y W 1 l L D B 9 J n F 1 b 3 Q 7 L C Z x d W 9 0 O 1 N l Y 3 R p b 2 4 x L 0 Z C N T A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k I 1 M C 9 B d X R v U m V t b 3 Z l Z E N v b H V t b n M x L n t O Y W 1 l L D B 9 J n F 1 b 3 Q 7 L C Z x d W 9 0 O 1 N l Y 3 R p b 2 4 x L 0 Z C N T A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C N T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I 1 M C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C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V s b G V f R k I x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V U M T I 6 M D U 6 N T U u M D M 2 M D I 3 O F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Q j E w M C 9 B d X R v U m V t b 3 Z l Z E N v b H V t b n M x L n t O Y W 1 l L D B 9 J n F 1 b 3 Q 7 L C Z x d W 9 0 O 1 N l Y 3 R p b 2 4 x L 0 Z C M T A w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Z C M T A w L 0 F 1 d G 9 S Z W 1 v d m V k Q 2 9 s d W 1 u c z E u e 0 5 h b W U s M H 0 m c X V v d D s s J n F 1 b 3 Q 7 U 2 V j d G l v b j E v R k I x M D A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C M T A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C M T A w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I 1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Z W x s Z V 9 G Q j U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V Q x M j o w N j o 0 O C 4 1 N T E y M z c y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C N T A w L 0 F 1 d G 9 S Z W 1 v d m V k Q 2 9 s d W 1 u c z E u e 0 5 h b W U s M H 0 m c X V v d D s s J n F 1 b 3 Q 7 U 2 V j d G l v b j E v R k I 1 M D A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k I 1 M D A v Q X V 0 b 1 J l b W 9 2 Z W R D b 2 x 1 b W 5 z M S 5 7 T m F t Z S w w f S Z x d W 9 0 O y w m c X V v d D t T Z W N 0 a W 9 u M S 9 G Q j U w M C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k I 1 M D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I 1 M D A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T k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Z W x s Z V 9 L T k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V U M T I 6 M D c 6 M D Y u N T I x M T g 0 M 1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T k 4 v Q X V 0 b 1 J l b W 9 2 Z W R D b 2 x 1 b W 5 z M S 5 7 T m F t Z S w w f S Z x d W 9 0 O y w m c X V v d D t T Z W N 0 a W 9 u M S 9 L T k 4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0 5 O L 0 F 1 d G 9 S Z W 1 v d m V k Q 2 9 s d W 1 u c z E u e 0 5 h b W U s M H 0 m c X V v d D s s J n F 1 b 3 Q 7 U 2 V j d G l v b j E v S 0 5 O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T k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5 O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9 G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V s b G V f T E 9 G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V U M T I 6 M D c 6 M z A u M D Y 2 O T I 5 M 1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T 0 Y v Q X V 0 b 1 J l b W 9 2 Z W R D b 2 x 1 b W 5 z M S 5 7 T m F t Z S w w f S Z x d W 9 0 O y w m c X V v d D t T Z W N 0 a W 9 u M S 9 M T 0 Y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E 9 G L 0 F 1 d G 9 S Z W 1 v d m V k Q 2 9 s d W 1 u c z E u e 0 5 h b W U s M H 0 m c X V v d D s s J n F 1 b 3 Q 7 U 2 V j d G l v b j E v T E 9 G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T 0 Y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9 G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f R 0 F B T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l b G x l X 0 1 P X 0 d B Q U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V Q x M j o w O D o x N i 4 w M D U 2 O T I 2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P X 0 d B Q U w v Q X V 0 b 1 J l b W 9 2 Z W R D b 2 x 1 b W 5 z M S 5 7 T m F t Z S w w f S Z x d W 9 0 O y w m c X V v d D t T Z W N 0 a W 9 u M S 9 N T 1 9 H Q U F M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P X 0 d B Q U w v Q X V 0 b 1 J l b W 9 2 Z W R D b 2 x 1 b W 5 z M S 5 7 T m F t Z S w w f S Z x d W 9 0 O y w m c X V v d D t T Z W N 0 a W 9 u M S 9 N T 1 9 H Q U F M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T 1 9 H Q U F M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X 0 d B Q U w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o a W 9 u X 0 1 O S V N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b G V f R m F z a G l v b l 9 N T k l T V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z a G l v b l 9 N T k l T V C 9 B d X R v U m V t b 3 Z l Z E N v b H V t b n M x L n t T Z W V k L D B 9 J n F 1 b 3 Q 7 L C Z x d W 9 0 O 1 N l Y 3 R p b 2 4 x L 0 Z h c 2 h p b 2 5 f T U 5 J U 1 Q v Q X V 0 b 1 J l b W 9 2 Z W R D b 2 x 1 b W 5 z M S 5 7 Q 2 x h c 3 M s M X 0 m c X V v d D s s J n F 1 b 3 Q 7 U 2 V j d G l v b j E v R m F z a G l v b l 9 N T k l T V C 9 B d X R v U m V t b 3 Z l Z E N v b H V t b n M x L n t M T 0 Z f Q V V D L D J 9 J n F 1 b 3 Q 7 L C Z x d W 9 0 O 1 N l Y 3 R p b 2 4 x L 0 Z h c 2 h p b 2 5 f T U 5 J U 1 Q v Q X V 0 b 1 J l b W 9 2 Z W R D b 2 x 1 b W 5 z M S 5 7 T E 9 G X z U w L D N 9 J n F 1 b 3 Q 7 L C Z x d W 9 0 O 1 N l Y 3 R p b 2 4 x L 0 Z h c 2 h p b 2 5 f T U 5 J U 1 Q v Q X V 0 b 1 J l b W 9 2 Z W R D b 2 x 1 b W 5 z M S 5 7 T E 9 G X z E w M C w 0 f S Z x d W 9 0 O y w m c X V v d D t T Z W N 0 a W 9 u M S 9 G Y X N o a W 9 u X 0 1 O S V N U L 0 F 1 d G 9 S Z W 1 v d m V k Q 2 9 s d W 1 u c z E u e 0 x P R l 8 1 M D A s N X 0 m c X V v d D s s J n F 1 b 3 Q 7 U 2 V j d G l v b j E v R m F z a G l v b l 9 N T k l T V C 9 B d X R v U m V t b 3 Z l Z E N v b H V t b n M x L n t L T k 5 f Q V V D L D Z 9 J n F 1 b 3 Q 7 L C Z x d W 9 0 O 1 N l Y 3 R p b 2 4 x L 0 Z h c 2 h p b 2 5 f T U 5 J U 1 Q v Q X V 0 b 1 J l b W 9 2 Z W R D b 2 x 1 b W 5 z M S 5 7 T U 9 f R 0 F B T F 9 B V U M s N 3 0 m c X V v d D s s J n F 1 b 3 Q 7 U 2 V j d G l v b j E v R m F z a G l v b l 9 N T k l T V C 9 B d X R v U m V t b 3 Z l Z E N v b H V t b n M x L n t B b m 9 H Q U 5 f Q V V D L D h 9 J n F 1 b 3 Q 7 L C Z x d W 9 0 O 1 N l Y 3 R p b 2 4 x L 0 Z h c 2 h p b 2 5 f T U 5 J U 1 Q v Q X V 0 b 1 J l b W 9 2 Z W R D b 2 x 1 b W 5 z M S 5 7 R G V l c F N W R E R f Q V V D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G Y X N o a W 9 u X 0 1 O S V N U L 0 F 1 d G 9 S Z W 1 v d m V k Q 2 9 s d W 1 u c z E u e 1 N l Z W Q s M H 0 m c X V v d D s s J n F 1 b 3 Q 7 U 2 V j d G l v b j E v R m F z a G l v b l 9 N T k l T V C 9 B d X R v U m V t b 3 Z l Z E N v b H V t b n M x L n t D b G F z c y w x f S Z x d W 9 0 O y w m c X V v d D t T Z W N 0 a W 9 u M S 9 G Y X N o a W 9 u X 0 1 O S V N U L 0 F 1 d G 9 S Z W 1 v d m V k Q 2 9 s d W 1 u c z E u e 0 x P R l 9 B V U M s M n 0 m c X V v d D s s J n F 1 b 3 Q 7 U 2 V j d G l v b j E v R m F z a G l v b l 9 N T k l T V C 9 B d X R v U m V t b 3 Z l Z E N v b H V t b n M x L n t M T 0 Z f N T A s M 3 0 m c X V v d D s s J n F 1 b 3 Q 7 U 2 V j d G l v b j E v R m F z a G l v b l 9 N T k l T V C 9 B d X R v U m V t b 3 Z l Z E N v b H V t b n M x L n t M T 0 Z f M T A w L D R 9 J n F 1 b 3 Q 7 L C Z x d W 9 0 O 1 N l Y 3 R p b 2 4 x L 0 Z h c 2 h p b 2 5 f T U 5 J U 1 Q v Q X V 0 b 1 J l b W 9 2 Z W R D b 2 x 1 b W 5 z M S 5 7 T E 9 G X z U w M C w 1 f S Z x d W 9 0 O y w m c X V v d D t T Z W N 0 a W 9 u M S 9 G Y X N o a W 9 u X 0 1 O S V N U L 0 F 1 d G 9 S Z W 1 v d m V k Q 2 9 s d W 1 u c z E u e 0 t O T l 9 B V U M s N n 0 m c X V v d D s s J n F 1 b 3 Q 7 U 2 V j d G l v b j E v R m F z a G l v b l 9 N T k l T V C 9 B d X R v U m V t b 3 Z l Z E N v b H V t b n M x L n t N T 1 9 H Q U F M X 0 F V Q y w 3 f S Z x d W 9 0 O y w m c X V v d D t T Z W N 0 a W 9 u M S 9 G Y X N o a W 9 u X 0 1 O S V N U L 0 F 1 d G 9 S Z W 1 v d m V k Q 2 9 s d W 1 u c z E u e 0 F u b 0 d B T l 9 B V U M s O H 0 m c X V v d D s s J n F 1 b 3 Q 7 U 2 V j d G l v b j E v R m F z a G l v b l 9 N T k l T V C 9 B d X R v U m V t b 3 Z l Z E N v b H V t b n M x L n t E Z W V w U 1 Z E R F 9 B V U M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l Z W Q m c X V v d D s s J n F 1 b 3 Q 7 Q 2 x h c 3 M m c X V v d D s s J n F 1 b 3 Q 7 T E 9 G X 0 F V Q y Z x d W 9 0 O y w m c X V v d D t M T 0 Z f N T A m c X V v d D s s J n F 1 b 3 Q 7 T E 9 G X z E w M C Z x d W 9 0 O y w m c X V v d D t M T 0 Z f N T A w J n F 1 b 3 Q 7 L C Z x d W 9 0 O 0 t O T l 9 B V U M m c X V v d D s s J n F 1 b 3 Q 7 T U 9 f R 0 F B T F 9 B V U M m c X V v d D s s J n F 1 b 3 Q 7 Q W 5 v R 0 F O X 0 F V Q y Z x d W 9 0 O y w m c X V v d D t E Z W V w U 1 Z E R F 9 B V U M m c X V v d D t d I i A v P j x F b n R y e S B U e X B l P S J G a W x s Q 2 9 s d W 1 u V H l w Z X M i I F Z h b H V l P S J z Q m d Z R 0 J n W U d C Z 1 l H Q m c 9 P S I g L z 4 8 R W 5 0 c n k g V H l w Z T 0 i R m l s b E x h c 3 R V c G R h d G V k I i B W Y W x 1 Z T 0 i Z D I w M j M t M D Y t M D V U M T I 6 M T Q 6 M j k u N T M 3 N z A 4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N l Z G Q w Y W Z j N C 1 j M j Q w L T R l Z W E t Y T F h N y 0 x N j R k M j U 5 Y 2 Y z N z Y i I C 8 + P C 9 T d G F i b G V F b n R y a W V z P j w v S X R l b T 4 8 S X R l b T 4 8 S X R l b U x v Y 2 F 0 a W 9 u P j x J d G V t V H l w Z T 5 G b 3 J t d W x h P C 9 J d G V t V H l w Z T 4 8 S X R l b V B h d G g + U 2 V j d G l v b j E v R m F z a G l v b l 9 N T k l T V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o a W 9 u X 0 1 O S V N U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a G l v b l 9 N T k l T V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o a W 9 u X 0 1 O S V N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V Q x M j o x N D o 0 O C 4 z O D I 1 M j k 0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z a G l v b l 9 N T k l T V C A o M i k v Q X V 0 b 1 J l b W 9 2 Z W R D b 2 x 1 b W 5 z M S 5 7 Q 2 9 s d W 1 u M S w w f S Z x d W 9 0 O y w m c X V v d D t T Z W N 0 a W 9 u M S 9 G Y X N o a W 9 u X 0 1 O S V N U I C g y K S 9 B d X R v U m V t b 3 Z l Z E N v b H V t b n M x L n t D b 2 x 1 b W 4 y L D F 9 J n F 1 b 3 Q 7 L C Z x d W 9 0 O 1 N l Y 3 R p b 2 4 x L 0 Z h c 2 h p b 2 5 f T U 5 J U 1 Q g K D I p L 0 F 1 d G 9 S Z W 1 v d m V k Q 2 9 s d W 1 u c z E u e 0 N v b H V t b j M s M n 0 m c X V v d D s s J n F 1 b 3 Q 7 U 2 V j d G l v b j E v R m F z a G l v b l 9 N T k l T V C A o M i k v Q X V 0 b 1 J l b W 9 2 Z W R D b 2 x 1 b W 5 z M S 5 7 Q 2 9 s d W 1 u N C w z f S Z x d W 9 0 O y w m c X V v d D t T Z W N 0 a W 9 u M S 9 G Y X N o a W 9 u X 0 1 O S V N U I C g y K S 9 B d X R v U m V t b 3 Z l Z E N v b H V t b n M x L n t D b 2 x 1 b W 4 1 L D R 9 J n F 1 b 3 Q 7 L C Z x d W 9 0 O 1 N l Y 3 R p b 2 4 x L 0 Z h c 2 h p b 2 5 f T U 5 J U 1 Q g K D I p L 0 F 1 d G 9 S Z W 1 v d m V k Q 2 9 s d W 1 u c z E u e 0 N v b H V t b j Y s N X 0 m c X V v d D s s J n F 1 b 3 Q 7 U 2 V j d G l v b j E v R m F z a G l v b l 9 N T k l T V C A o M i k v Q X V 0 b 1 J l b W 9 2 Z W R D b 2 x 1 b W 5 z M S 5 7 Q 2 9 s d W 1 u N y w 2 f S Z x d W 9 0 O y w m c X V v d D t T Z W N 0 a W 9 u M S 9 G Y X N o a W 9 u X 0 1 O S V N U I C g y K S 9 B d X R v U m V t b 3 Z l Z E N v b H V t b n M x L n t D b 2 x 1 b W 4 4 L D d 9 J n F 1 b 3 Q 7 L C Z x d W 9 0 O 1 N l Y 3 R p b 2 4 x L 0 Z h c 2 h p b 2 5 f T U 5 J U 1 Q g K D I p L 0 F 1 d G 9 S Z W 1 v d m V k Q 2 9 s d W 1 u c z E u e 0 N v b H V t b j k s O H 0 m c X V v d D s s J n F 1 b 3 Q 7 U 2 V j d G l v b j E v R m F z a G l v b l 9 N T k l T V C A o M i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Z h c 2 h p b 2 5 f T U 5 J U 1 Q g K D I p L 0 F 1 d G 9 S Z W 1 v d m V k Q 2 9 s d W 1 u c z E u e 0 N v b H V t b j E s M H 0 m c X V v d D s s J n F 1 b 3 Q 7 U 2 V j d G l v b j E v R m F z a G l v b l 9 N T k l T V C A o M i k v Q X V 0 b 1 J l b W 9 2 Z W R D b 2 x 1 b W 5 z M S 5 7 Q 2 9 s d W 1 u M i w x f S Z x d W 9 0 O y w m c X V v d D t T Z W N 0 a W 9 u M S 9 G Y X N o a W 9 u X 0 1 O S V N U I C g y K S 9 B d X R v U m V t b 3 Z l Z E N v b H V t b n M x L n t D b 2 x 1 b W 4 z L D J 9 J n F 1 b 3 Q 7 L C Z x d W 9 0 O 1 N l Y 3 R p b 2 4 x L 0 Z h c 2 h p b 2 5 f T U 5 J U 1 Q g K D I p L 0 F 1 d G 9 S Z W 1 v d m V k Q 2 9 s d W 1 u c z E u e 0 N v b H V t b j Q s M 3 0 m c X V v d D s s J n F 1 b 3 Q 7 U 2 V j d G l v b j E v R m F z a G l v b l 9 N T k l T V C A o M i k v Q X V 0 b 1 J l b W 9 2 Z W R D b 2 x 1 b W 5 z M S 5 7 Q 2 9 s d W 1 u N S w 0 f S Z x d W 9 0 O y w m c X V v d D t T Z W N 0 a W 9 u M S 9 G Y X N o a W 9 u X 0 1 O S V N U I C g y K S 9 B d X R v U m V t b 3 Z l Z E N v b H V t b n M x L n t D b 2 x 1 b W 4 2 L D V 9 J n F 1 b 3 Q 7 L C Z x d W 9 0 O 1 N l Y 3 R p b 2 4 x L 0 Z h c 2 h p b 2 5 f T U 5 J U 1 Q g K D I p L 0 F 1 d G 9 S Z W 1 v d m V k Q 2 9 s d W 1 u c z E u e 0 N v b H V t b j c s N n 0 m c X V v d D s s J n F 1 b 3 Q 7 U 2 V j d G l v b j E v R m F z a G l v b l 9 N T k l T V C A o M i k v Q X V 0 b 1 J l b W 9 2 Z W R D b 2 x 1 b W 5 z M S 5 7 Q 2 9 s d W 1 u O C w 3 f S Z x d W 9 0 O y w m c X V v d D t T Z W N 0 a W 9 u M S 9 G Y X N o a W 9 u X 0 1 O S V N U I C g y K S 9 B d X R v U m V t b 3 Z l Z E N v b H V t b n M x L n t D b 2 x 1 b W 4 5 L D h 9 J n F 1 b 3 Q 7 L C Z x d W 9 0 O 1 N l Y 3 R p b 2 4 x L 0 Z h c 2 h p b 2 5 f T U 5 J U 1 Q g K D I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X N o a W 9 u X 0 1 O S V N U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2 h p b 2 5 f T U 5 J U 1 Q l M j A o M i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o a W 9 u X 0 1 O S V N U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V Q x M j o x N T o w M S 4 3 N D A 4 O T k 1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z a G l v b l 9 N T k l T V C A o M y k v Q X V 0 b 1 J l b W 9 2 Z W R D b 2 x 1 b W 5 z M S 5 7 Q 2 9 s d W 1 u M S w w f S Z x d W 9 0 O y w m c X V v d D t T Z W N 0 a W 9 u M S 9 G Y X N o a W 9 u X 0 1 O S V N U I C g z K S 9 B d X R v U m V t b 3 Z l Z E N v b H V t b n M x L n t D b 2 x 1 b W 4 y L D F 9 J n F 1 b 3 Q 7 L C Z x d W 9 0 O 1 N l Y 3 R p b 2 4 x L 0 Z h c 2 h p b 2 5 f T U 5 J U 1 Q g K D M p L 0 F 1 d G 9 S Z W 1 v d m V k Q 2 9 s d W 1 u c z E u e 0 N v b H V t b j M s M n 0 m c X V v d D s s J n F 1 b 3 Q 7 U 2 V j d G l v b j E v R m F z a G l v b l 9 N T k l T V C A o M y k v Q X V 0 b 1 J l b W 9 2 Z W R D b 2 x 1 b W 5 z M S 5 7 Q 2 9 s d W 1 u N C w z f S Z x d W 9 0 O y w m c X V v d D t T Z W N 0 a W 9 u M S 9 G Y X N o a W 9 u X 0 1 O S V N U I C g z K S 9 B d X R v U m V t b 3 Z l Z E N v b H V t b n M x L n t D b 2 x 1 b W 4 1 L D R 9 J n F 1 b 3 Q 7 L C Z x d W 9 0 O 1 N l Y 3 R p b 2 4 x L 0 Z h c 2 h p b 2 5 f T U 5 J U 1 Q g K D M p L 0 F 1 d G 9 S Z W 1 v d m V k Q 2 9 s d W 1 u c z E u e 0 N v b H V t b j Y s N X 0 m c X V v d D s s J n F 1 b 3 Q 7 U 2 V j d G l v b j E v R m F z a G l v b l 9 N T k l T V C A o M y k v Q X V 0 b 1 J l b W 9 2 Z W R D b 2 x 1 b W 5 z M S 5 7 Q 2 9 s d W 1 u N y w 2 f S Z x d W 9 0 O y w m c X V v d D t T Z W N 0 a W 9 u M S 9 G Y X N o a W 9 u X 0 1 O S V N U I C g z K S 9 B d X R v U m V t b 3 Z l Z E N v b H V t b n M x L n t D b 2 x 1 b W 4 4 L D d 9 J n F 1 b 3 Q 7 L C Z x d W 9 0 O 1 N l Y 3 R p b 2 4 x L 0 Z h c 2 h p b 2 5 f T U 5 J U 1 Q g K D M p L 0 F 1 d G 9 S Z W 1 v d m V k Q 2 9 s d W 1 u c z E u e 0 N v b H V t b j k s O H 0 m c X V v d D s s J n F 1 b 3 Q 7 U 2 V j d G l v b j E v R m F z a G l v b l 9 N T k l T V C A o M y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Z h c 2 h p b 2 5 f T U 5 J U 1 Q g K D M p L 0 F 1 d G 9 S Z W 1 v d m V k Q 2 9 s d W 1 u c z E u e 0 N v b H V t b j E s M H 0 m c X V v d D s s J n F 1 b 3 Q 7 U 2 V j d G l v b j E v R m F z a G l v b l 9 N T k l T V C A o M y k v Q X V 0 b 1 J l b W 9 2 Z W R D b 2 x 1 b W 5 z M S 5 7 Q 2 9 s d W 1 u M i w x f S Z x d W 9 0 O y w m c X V v d D t T Z W N 0 a W 9 u M S 9 G Y X N o a W 9 u X 0 1 O S V N U I C g z K S 9 B d X R v U m V t b 3 Z l Z E N v b H V t b n M x L n t D b 2 x 1 b W 4 z L D J 9 J n F 1 b 3 Q 7 L C Z x d W 9 0 O 1 N l Y 3 R p b 2 4 x L 0 Z h c 2 h p b 2 5 f T U 5 J U 1 Q g K D M p L 0 F 1 d G 9 S Z W 1 v d m V k Q 2 9 s d W 1 u c z E u e 0 N v b H V t b j Q s M 3 0 m c X V v d D s s J n F 1 b 3 Q 7 U 2 V j d G l v b j E v R m F z a G l v b l 9 N T k l T V C A o M y k v Q X V 0 b 1 J l b W 9 2 Z W R D b 2 x 1 b W 5 z M S 5 7 Q 2 9 s d W 1 u N S w 0 f S Z x d W 9 0 O y w m c X V v d D t T Z W N 0 a W 9 u M S 9 G Y X N o a W 9 u X 0 1 O S V N U I C g z K S 9 B d X R v U m V t b 3 Z l Z E N v b H V t b n M x L n t D b 2 x 1 b W 4 2 L D V 9 J n F 1 b 3 Q 7 L C Z x d W 9 0 O 1 N l Y 3 R p b 2 4 x L 0 Z h c 2 h p b 2 5 f T U 5 J U 1 Q g K D M p L 0 F 1 d G 9 S Z W 1 v d m V k Q 2 9 s d W 1 u c z E u e 0 N v b H V t b j c s N n 0 m c X V v d D s s J n F 1 b 3 Q 7 U 2 V j d G l v b j E v R m F z a G l v b l 9 N T k l T V C A o M y k v Q X V 0 b 1 J l b W 9 2 Z W R D b 2 x 1 b W 5 z M S 5 7 Q 2 9 s d W 1 u O C w 3 f S Z x d W 9 0 O y w m c X V v d D t T Z W N 0 a W 9 u M S 9 G Y X N o a W 9 u X 0 1 O S V N U I C g z K S 9 B d X R v U m V t b 3 Z l Z E N v b H V t b n M x L n t D b 2 x 1 b W 4 5 L D h 9 J n F 1 b 3 Q 7 L C Z x d W 9 0 O 1 N l Y 3 R p b 2 4 x L 0 Z h c 2 h p b 2 5 f T U 5 J U 1 Q g K D M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X N o a W 9 u X 0 1 O S V N U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2 h p b 2 5 f T U 5 J U 1 Q l M j A o M y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o a W 9 u X 0 1 O S V N U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V Q x M j o x N T o y N S 4 2 M D A y N D g 2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z a G l v b l 9 N T k l T V C A o N C k v Q X V 0 b 1 J l b W 9 2 Z W R D b 2 x 1 b W 5 z M S 5 7 Q 2 9 s d W 1 u M S w w f S Z x d W 9 0 O y w m c X V v d D t T Z W N 0 a W 9 u M S 9 G Y X N o a W 9 u X 0 1 O S V N U I C g 0 K S 9 B d X R v U m V t b 3 Z l Z E N v b H V t b n M x L n t D b 2 x 1 b W 4 y L D F 9 J n F 1 b 3 Q 7 L C Z x d W 9 0 O 1 N l Y 3 R p b 2 4 x L 0 Z h c 2 h p b 2 5 f T U 5 J U 1 Q g K D Q p L 0 F 1 d G 9 S Z W 1 v d m V k Q 2 9 s d W 1 u c z E u e 0 N v b H V t b j M s M n 0 m c X V v d D s s J n F 1 b 3 Q 7 U 2 V j d G l v b j E v R m F z a G l v b l 9 N T k l T V C A o N C k v Q X V 0 b 1 J l b W 9 2 Z W R D b 2 x 1 b W 5 z M S 5 7 Q 2 9 s d W 1 u N C w z f S Z x d W 9 0 O y w m c X V v d D t T Z W N 0 a W 9 u M S 9 G Y X N o a W 9 u X 0 1 O S V N U I C g 0 K S 9 B d X R v U m V t b 3 Z l Z E N v b H V t b n M x L n t D b 2 x 1 b W 4 1 L D R 9 J n F 1 b 3 Q 7 L C Z x d W 9 0 O 1 N l Y 3 R p b 2 4 x L 0 Z h c 2 h p b 2 5 f T U 5 J U 1 Q g K D Q p L 0 F 1 d G 9 S Z W 1 v d m V k Q 2 9 s d W 1 u c z E u e 0 N v b H V t b j Y s N X 0 m c X V v d D s s J n F 1 b 3 Q 7 U 2 V j d G l v b j E v R m F z a G l v b l 9 N T k l T V C A o N C k v Q X V 0 b 1 J l b W 9 2 Z W R D b 2 x 1 b W 5 z M S 5 7 Q 2 9 s d W 1 u N y w 2 f S Z x d W 9 0 O y w m c X V v d D t T Z W N 0 a W 9 u M S 9 G Y X N o a W 9 u X 0 1 O S V N U I C g 0 K S 9 B d X R v U m V t b 3 Z l Z E N v b H V t b n M x L n t D b 2 x 1 b W 4 4 L D d 9 J n F 1 b 3 Q 7 L C Z x d W 9 0 O 1 N l Y 3 R p b 2 4 x L 0 Z h c 2 h p b 2 5 f T U 5 J U 1 Q g K D Q p L 0 F 1 d G 9 S Z W 1 v d m V k Q 2 9 s d W 1 u c z E u e 0 N v b H V t b j k s O H 0 m c X V v d D s s J n F 1 b 3 Q 7 U 2 V j d G l v b j E v R m F z a G l v b l 9 N T k l T V C A o N C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Z h c 2 h p b 2 5 f T U 5 J U 1 Q g K D Q p L 0 F 1 d G 9 S Z W 1 v d m V k Q 2 9 s d W 1 u c z E u e 0 N v b H V t b j E s M H 0 m c X V v d D s s J n F 1 b 3 Q 7 U 2 V j d G l v b j E v R m F z a G l v b l 9 N T k l T V C A o N C k v Q X V 0 b 1 J l b W 9 2 Z W R D b 2 x 1 b W 5 z M S 5 7 Q 2 9 s d W 1 u M i w x f S Z x d W 9 0 O y w m c X V v d D t T Z W N 0 a W 9 u M S 9 G Y X N o a W 9 u X 0 1 O S V N U I C g 0 K S 9 B d X R v U m V t b 3 Z l Z E N v b H V t b n M x L n t D b 2 x 1 b W 4 z L D J 9 J n F 1 b 3 Q 7 L C Z x d W 9 0 O 1 N l Y 3 R p b 2 4 x L 0 Z h c 2 h p b 2 5 f T U 5 J U 1 Q g K D Q p L 0 F 1 d G 9 S Z W 1 v d m V k Q 2 9 s d W 1 u c z E u e 0 N v b H V t b j Q s M 3 0 m c X V v d D s s J n F 1 b 3 Q 7 U 2 V j d G l v b j E v R m F z a G l v b l 9 N T k l T V C A o N C k v Q X V 0 b 1 J l b W 9 2 Z W R D b 2 x 1 b W 5 z M S 5 7 Q 2 9 s d W 1 u N S w 0 f S Z x d W 9 0 O y w m c X V v d D t T Z W N 0 a W 9 u M S 9 G Y X N o a W 9 u X 0 1 O S V N U I C g 0 K S 9 B d X R v U m V t b 3 Z l Z E N v b H V t b n M x L n t D b 2 x 1 b W 4 2 L D V 9 J n F 1 b 3 Q 7 L C Z x d W 9 0 O 1 N l Y 3 R p b 2 4 x L 0 Z h c 2 h p b 2 5 f T U 5 J U 1 Q g K D Q p L 0 F 1 d G 9 S Z W 1 v d m V k Q 2 9 s d W 1 u c z E u e 0 N v b H V t b j c s N n 0 m c X V v d D s s J n F 1 b 3 Q 7 U 2 V j d G l v b j E v R m F z a G l v b l 9 N T k l T V C A o N C k v Q X V 0 b 1 J l b W 9 2 Z W R D b 2 x 1 b W 5 z M S 5 7 Q 2 9 s d W 1 u O C w 3 f S Z x d W 9 0 O y w m c X V v d D t T Z W N 0 a W 9 u M S 9 G Y X N o a W 9 u X 0 1 O S V N U I C g 0 K S 9 B d X R v U m V t b 3 Z l Z E N v b H V t b n M x L n t D b 2 x 1 b W 4 5 L D h 9 J n F 1 b 3 Q 7 L C Z x d W 9 0 O 1 N l Y 3 R p b 2 4 x L 0 Z h c 2 h p b 2 5 f T U 5 J U 1 Q g K D Q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X N o a W 9 u X 0 1 O S V N U J T I w K D Q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2 h p b 2 5 f T U 5 J U 1 Q l M j A o N C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o a W 9 u X 0 1 O S V N U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V Q x M j o x N T o z O S 4 w O D E 5 O D E z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z a G l v b l 9 N T k l T V C A o N S k v Q X V 0 b 1 J l b W 9 2 Z W R D b 2 x 1 b W 5 z M S 5 7 Q 2 9 s d W 1 u M S w w f S Z x d W 9 0 O y w m c X V v d D t T Z W N 0 a W 9 u M S 9 G Y X N o a W 9 u X 0 1 O S V N U I C g 1 K S 9 B d X R v U m V t b 3 Z l Z E N v b H V t b n M x L n t D b 2 x 1 b W 4 y L D F 9 J n F 1 b 3 Q 7 L C Z x d W 9 0 O 1 N l Y 3 R p b 2 4 x L 0 Z h c 2 h p b 2 5 f T U 5 J U 1 Q g K D U p L 0 F 1 d G 9 S Z W 1 v d m V k Q 2 9 s d W 1 u c z E u e 0 N v b H V t b j M s M n 0 m c X V v d D s s J n F 1 b 3 Q 7 U 2 V j d G l v b j E v R m F z a G l v b l 9 N T k l T V C A o N S k v Q X V 0 b 1 J l b W 9 2 Z W R D b 2 x 1 b W 5 z M S 5 7 Q 2 9 s d W 1 u N C w z f S Z x d W 9 0 O y w m c X V v d D t T Z W N 0 a W 9 u M S 9 G Y X N o a W 9 u X 0 1 O S V N U I C g 1 K S 9 B d X R v U m V t b 3 Z l Z E N v b H V t b n M x L n t D b 2 x 1 b W 4 1 L D R 9 J n F 1 b 3 Q 7 L C Z x d W 9 0 O 1 N l Y 3 R p b 2 4 x L 0 Z h c 2 h p b 2 5 f T U 5 J U 1 Q g K D U p L 0 F 1 d G 9 S Z W 1 v d m V k Q 2 9 s d W 1 u c z E u e 0 N v b H V t b j Y s N X 0 m c X V v d D s s J n F 1 b 3 Q 7 U 2 V j d G l v b j E v R m F z a G l v b l 9 N T k l T V C A o N S k v Q X V 0 b 1 J l b W 9 2 Z W R D b 2 x 1 b W 5 z M S 5 7 Q 2 9 s d W 1 u N y w 2 f S Z x d W 9 0 O y w m c X V v d D t T Z W N 0 a W 9 u M S 9 G Y X N o a W 9 u X 0 1 O S V N U I C g 1 K S 9 B d X R v U m V t b 3 Z l Z E N v b H V t b n M x L n t D b 2 x 1 b W 4 4 L D d 9 J n F 1 b 3 Q 7 L C Z x d W 9 0 O 1 N l Y 3 R p b 2 4 x L 0 Z h c 2 h p b 2 5 f T U 5 J U 1 Q g K D U p L 0 F 1 d G 9 S Z W 1 v d m V k Q 2 9 s d W 1 u c z E u e 0 N v b H V t b j k s O H 0 m c X V v d D s s J n F 1 b 3 Q 7 U 2 V j d G l v b j E v R m F z a G l v b l 9 N T k l T V C A o N S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Z h c 2 h p b 2 5 f T U 5 J U 1 Q g K D U p L 0 F 1 d G 9 S Z W 1 v d m V k Q 2 9 s d W 1 u c z E u e 0 N v b H V t b j E s M H 0 m c X V v d D s s J n F 1 b 3 Q 7 U 2 V j d G l v b j E v R m F z a G l v b l 9 N T k l T V C A o N S k v Q X V 0 b 1 J l b W 9 2 Z W R D b 2 x 1 b W 5 z M S 5 7 Q 2 9 s d W 1 u M i w x f S Z x d W 9 0 O y w m c X V v d D t T Z W N 0 a W 9 u M S 9 G Y X N o a W 9 u X 0 1 O S V N U I C g 1 K S 9 B d X R v U m V t b 3 Z l Z E N v b H V t b n M x L n t D b 2 x 1 b W 4 z L D J 9 J n F 1 b 3 Q 7 L C Z x d W 9 0 O 1 N l Y 3 R p b 2 4 x L 0 Z h c 2 h p b 2 5 f T U 5 J U 1 Q g K D U p L 0 F 1 d G 9 S Z W 1 v d m V k Q 2 9 s d W 1 u c z E u e 0 N v b H V t b j Q s M 3 0 m c X V v d D s s J n F 1 b 3 Q 7 U 2 V j d G l v b j E v R m F z a G l v b l 9 N T k l T V C A o N S k v Q X V 0 b 1 J l b W 9 2 Z W R D b 2 x 1 b W 5 z M S 5 7 Q 2 9 s d W 1 u N S w 0 f S Z x d W 9 0 O y w m c X V v d D t T Z W N 0 a W 9 u M S 9 G Y X N o a W 9 u X 0 1 O S V N U I C g 1 K S 9 B d X R v U m V t b 3 Z l Z E N v b H V t b n M x L n t D b 2 x 1 b W 4 2 L D V 9 J n F 1 b 3 Q 7 L C Z x d W 9 0 O 1 N l Y 3 R p b 2 4 x L 0 Z h c 2 h p b 2 5 f T U 5 J U 1 Q g K D U p L 0 F 1 d G 9 S Z W 1 v d m V k Q 2 9 s d W 1 u c z E u e 0 N v b H V t b j c s N n 0 m c X V v d D s s J n F 1 b 3 Q 7 U 2 V j d G l v b j E v R m F z a G l v b l 9 N T k l T V C A o N S k v Q X V 0 b 1 J l b W 9 2 Z W R D b 2 x 1 b W 5 z M S 5 7 Q 2 9 s d W 1 u O C w 3 f S Z x d W 9 0 O y w m c X V v d D t T Z W N 0 a W 9 u M S 9 G Y X N o a W 9 u X 0 1 O S V N U I C g 1 K S 9 B d X R v U m V t b 3 Z l Z E N v b H V t b n M x L n t D b 2 x 1 b W 4 5 L D h 9 J n F 1 b 3 Q 7 L C Z x d W 9 0 O 1 N l Y 3 R p b 2 4 x L 0 Z h c 2 h p b 2 5 f T U 5 J U 1 Q g K D U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X N o a W 9 u X 0 1 O S V N U J T I w K D U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2 h p b 2 5 f T U 5 J U 1 Q l M j A o N S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o a W 9 u X 0 1 O S V N U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V Q x M j o x N T o 1 M y 4 1 M j E 5 M T I w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z a G l v b l 9 N T k l T V C A o N i k v Q X V 0 b 1 J l b W 9 2 Z W R D b 2 x 1 b W 5 z M S 5 7 Q 2 9 s d W 1 u M S w w f S Z x d W 9 0 O y w m c X V v d D t T Z W N 0 a W 9 u M S 9 G Y X N o a W 9 u X 0 1 O S V N U I C g 2 K S 9 B d X R v U m V t b 3 Z l Z E N v b H V t b n M x L n t D b 2 x 1 b W 4 y L D F 9 J n F 1 b 3 Q 7 L C Z x d W 9 0 O 1 N l Y 3 R p b 2 4 x L 0 Z h c 2 h p b 2 5 f T U 5 J U 1 Q g K D Y p L 0 F 1 d G 9 S Z W 1 v d m V k Q 2 9 s d W 1 u c z E u e 0 N v b H V t b j M s M n 0 m c X V v d D s s J n F 1 b 3 Q 7 U 2 V j d G l v b j E v R m F z a G l v b l 9 N T k l T V C A o N i k v Q X V 0 b 1 J l b W 9 2 Z W R D b 2 x 1 b W 5 z M S 5 7 Q 2 9 s d W 1 u N C w z f S Z x d W 9 0 O y w m c X V v d D t T Z W N 0 a W 9 u M S 9 G Y X N o a W 9 u X 0 1 O S V N U I C g 2 K S 9 B d X R v U m V t b 3 Z l Z E N v b H V t b n M x L n t D b 2 x 1 b W 4 1 L D R 9 J n F 1 b 3 Q 7 L C Z x d W 9 0 O 1 N l Y 3 R p b 2 4 x L 0 Z h c 2 h p b 2 5 f T U 5 J U 1 Q g K D Y p L 0 F 1 d G 9 S Z W 1 v d m V k Q 2 9 s d W 1 u c z E u e 0 N v b H V t b j Y s N X 0 m c X V v d D s s J n F 1 b 3 Q 7 U 2 V j d G l v b j E v R m F z a G l v b l 9 N T k l T V C A o N i k v Q X V 0 b 1 J l b W 9 2 Z W R D b 2 x 1 b W 5 z M S 5 7 Q 2 9 s d W 1 u N y w 2 f S Z x d W 9 0 O y w m c X V v d D t T Z W N 0 a W 9 u M S 9 G Y X N o a W 9 u X 0 1 O S V N U I C g 2 K S 9 B d X R v U m V t b 3 Z l Z E N v b H V t b n M x L n t D b 2 x 1 b W 4 4 L D d 9 J n F 1 b 3 Q 7 L C Z x d W 9 0 O 1 N l Y 3 R p b 2 4 x L 0 Z h c 2 h p b 2 5 f T U 5 J U 1 Q g K D Y p L 0 F 1 d G 9 S Z W 1 v d m V k Q 2 9 s d W 1 u c z E u e 0 N v b H V t b j k s O H 0 m c X V v d D s s J n F 1 b 3 Q 7 U 2 V j d G l v b j E v R m F z a G l v b l 9 N T k l T V C A o N i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Z h c 2 h p b 2 5 f T U 5 J U 1 Q g K D Y p L 0 F 1 d G 9 S Z W 1 v d m V k Q 2 9 s d W 1 u c z E u e 0 N v b H V t b j E s M H 0 m c X V v d D s s J n F 1 b 3 Q 7 U 2 V j d G l v b j E v R m F z a G l v b l 9 N T k l T V C A o N i k v Q X V 0 b 1 J l b W 9 2 Z W R D b 2 x 1 b W 5 z M S 5 7 Q 2 9 s d W 1 u M i w x f S Z x d W 9 0 O y w m c X V v d D t T Z W N 0 a W 9 u M S 9 G Y X N o a W 9 u X 0 1 O S V N U I C g 2 K S 9 B d X R v U m V t b 3 Z l Z E N v b H V t b n M x L n t D b 2 x 1 b W 4 z L D J 9 J n F 1 b 3 Q 7 L C Z x d W 9 0 O 1 N l Y 3 R p b 2 4 x L 0 Z h c 2 h p b 2 5 f T U 5 J U 1 Q g K D Y p L 0 F 1 d G 9 S Z W 1 v d m V k Q 2 9 s d W 1 u c z E u e 0 N v b H V t b j Q s M 3 0 m c X V v d D s s J n F 1 b 3 Q 7 U 2 V j d G l v b j E v R m F z a G l v b l 9 N T k l T V C A o N i k v Q X V 0 b 1 J l b W 9 2 Z W R D b 2 x 1 b W 5 z M S 5 7 Q 2 9 s d W 1 u N S w 0 f S Z x d W 9 0 O y w m c X V v d D t T Z W N 0 a W 9 u M S 9 G Y X N o a W 9 u X 0 1 O S V N U I C g 2 K S 9 B d X R v U m V t b 3 Z l Z E N v b H V t b n M x L n t D b 2 x 1 b W 4 2 L D V 9 J n F 1 b 3 Q 7 L C Z x d W 9 0 O 1 N l Y 3 R p b 2 4 x L 0 Z h c 2 h p b 2 5 f T U 5 J U 1 Q g K D Y p L 0 F 1 d G 9 S Z W 1 v d m V k Q 2 9 s d W 1 u c z E u e 0 N v b H V t b j c s N n 0 m c X V v d D s s J n F 1 b 3 Q 7 U 2 V j d G l v b j E v R m F z a G l v b l 9 N T k l T V C A o N i k v Q X V 0 b 1 J l b W 9 2 Z W R D b 2 x 1 b W 5 z M S 5 7 Q 2 9 s d W 1 u O C w 3 f S Z x d W 9 0 O y w m c X V v d D t T Z W N 0 a W 9 u M S 9 G Y X N o a W 9 u X 0 1 O S V N U I C g 2 K S 9 B d X R v U m V t b 3 Z l Z E N v b H V t b n M x L n t D b 2 x 1 b W 4 5 L D h 9 J n F 1 b 3 Q 7 L C Z x d W 9 0 O 1 N l Y 3 R p b 2 4 x L 0 Z h c 2 h p b 2 5 f T U 5 J U 1 Q g K D Y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X N o a W 9 u X 0 1 O S V N U J T I w K D Y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2 h p b 2 5 f T U 5 J U 1 Q l M j A o N i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o a W 9 u X 0 1 O S V N U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V Q x M j o x N j o x M S 4 w M j A 1 N z E 1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z a G l v b l 9 N T k l T V C A o N y k v Q X V 0 b 1 J l b W 9 2 Z W R D b 2 x 1 b W 5 z M S 5 7 Q 2 9 s d W 1 u M S w w f S Z x d W 9 0 O y w m c X V v d D t T Z W N 0 a W 9 u M S 9 G Y X N o a W 9 u X 0 1 O S V N U I C g 3 K S 9 B d X R v U m V t b 3 Z l Z E N v b H V t b n M x L n t D b 2 x 1 b W 4 y L D F 9 J n F 1 b 3 Q 7 L C Z x d W 9 0 O 1 N l Y 3 R p b 2 4 x L 0 Z h c 2 h p b 2 5 f T U 5 J U 1 Q g K D c p L 0 F 1 d G 9 S Z W 1 v d m V k Q 2 9 s d W 1 u c z E u e 0 N v b H V t b j M s M n 0 m c X V v d D s s J n F 1 b 3 Q 7 U 2 V j d G l v b j E v R m F z a G l v b l 9 N T k l T V C A o N y k v Q X V 0 b 1 J l b W 9 2 Z W R D b 2 x 1 b W 5 z M S 5 7 Q 2 9 s d W 1 u N C w z f S Z x d W 9 0 O y w m c X V v d D t T Z W N 0 a W 9 u M S 9 G Y X N o a W 9 u X 0 1 O S V N U I C g 3 K S 9 B d X R v U m V t b 3 Z l Z E N v b H V t b n M x L n t D b 2 x 1 b W 4 1 L D R 9 J n F 1 b 3 Q 7 L C Z x d W 9 0 O 1 N l Y 3 R p b 2 4 x L 0 Z h c 2 h p b 2 5 f T U 5 J U 1 Q g K D c p L 0 F 1 d G 9 S Z W 1 v d m V k Q 2 9 s d W 1 u c z E u e 0 N v b H V t b j Y s N X 0 m c X V v d D s s J n F 1 b 3 Q 7 U 2 V j d G l v b j E v R m F z a G l v b l 9 N T k l T V C A o N y k v Q X V 0 b 1 J l b W 9 2 Z W R D b 2 x 1 b W 5 z M S 5 7 Q 2 9 s d W 1 u N y w 2 f S Z x d W 9 0 O y w m c X V v d D t T Z W N 0 a W 9 u M S 9 G Y X N o a W 9 u X 0 1 O S V N U I C g 3 K S 9 B d X R v U m V t b 3 Z l Z E N v b H V t b n M x L n t D b 2 x 1 b W 4 4 L D d 9 J n F 1 b 3 Q 7 L C Z x d W 9 0 O 1 N l Y 3 R p b 2 4 x L 0 Z h c 2 h p b 2 5 f T U 5 J U 1 Q g K D c p L 0 F 1 d G 9 S Z W 1 v d m V k Q 2 9 s d W 1 u c z E u e 0 N v b H V t b j k s O H 0 m c X V v d D s s J n F 1 b 3 Q 7 U 2 V j d G l v b j E v R m F z a G l v b l 9 N T k l T V C A o N y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Z h c 2 h p b 2 5 f T U 5 J U 1 Q g K D c p L 0 F 1 d G 9 S Z W 1 v d m V k Q 2 9 s d W 1 u c z E u e 0 N v b H V t b j E s M H 0 m c X V v d D s s J n F 1 b 3 Q 7 U 2 V j d G l v b j E v R m F z a G l v b l 9 N T k l T V C A o N y k v Q X V 0 b 1 J l b W 9 2 Z W R D b 2 x 1 b W 5 z M S 5 7 Q 2 9 s d W 1 u M i w x f S Z x d W 9 0 O y w m c X V v d D t T Z W N 0 a W 9 u M S 9 G Y X N o a W 9 u X 0 1 O S V N U I C g 3 K S 9 B d X R v U m V t b 3 Z l Z E N v b H V t b n M x L n t D b 2 x 1 b W 4 z L D J 9 J n F 1 b 3 Q 7 L C Z x d W 9 0 O 1 N l Y 3 R p b 2 4 x L 0 Z h c 2 h p b 2 5 f T U 5 J U 1 Q g K D c p L 0 F 1 d G 9 S Z W 1 v d m V k Q 2 9 s d W 1 u c z E u e 0 N v b H V t b j Q s M 3 0 m c X V v d D s s J n F 1 b 3 Q 7 U 2 V j d G l v b j E v R m F z a G l v b l 9 N T k l T V C A o N y k v Q X V 0 b 1 J l b W 9 2 Z W R D b 2 x 1 b W 5 z M S 5 7 Q 2 9 s d W 1 u N S w 0 f S Z x d W 9 0 O y w m c X V v d D t T Z W N 0 a W 9 u M S 9 G Y X N o a W 9 u X 0 1 O S V N U I C g 3 K S 9 B d X R v U m V t b 3 Z l Z E N v b H V t b n M x L n t D b 2 x 1 b W 4 2 L D V 9 J n F 1 b 3 Q 7 L C Z x d W 9 0 O 1 N l Y 3 R p b 2 4 x L 0 Z h c 2 h p b 2 5 f T U 5 J U 1 Q g K D c p L 0 F 1 d G 9 S Z W 1 v d m V k Q 2 9 s d W 1 u c z E u e 0 N v b H V t b j c s N n 0 m c X V v d D s s J n F 1 b 3 Q 7 U 2 V j d G l v b j E v R m F z a G l v b l 9 N T k l T V C A o N y k v Q X V 0 b 1 J l b W 9 2 Z W R D b 2 x 1 b W 5 z M S 5 7 Q 2 9 s d W 1 u O C w 3 f S Z x d W 9 0 O y w m c X V v d D t T Z W N 0 a W 9 u M S 9 G Y X N o a W 9 u X 0 1 O S V N U I C g 3 K S 9 B d X R v U m V t b 3 Z l Z E N v b H V t b n M x L n t D b 2 x 1 b W 4 5 L D h 9 J n F 1 b 3 Q 7 L C Z x d W 9 0 O 1 N l Y 3 R p b 2 4 x L 0 Z h c 2 h p b 2 5 f T U 5 J U 1 Q g K D c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X N o a W 9 u X 0 1 O S V N U J T I w K D c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2 h p b 2 5 f T U 5 J U 1 Q l M j A o N y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o a W 9 u X 0 1 O S V N U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V Q x M j o x N j o y M y 4 3 N D E 1 O D Y 2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z a G l v b l 9 N T k l T V C A o O C k v Q X V 0 b 1 J l b W 9 2 Z W R D b 2 x 1 b W 5 z M S 5 7 Q 2 9 s d W 1 u M S w w f S Z x d W 9 0 O y w m c X V v d D t T Z W N 0 a W 9 u M S 9 G Y X N o a W 9 u X 0 1 O S V N U I C g 4 K S 9 B d X R v U m V t b 3 Z l Z E N v b H V t b n M x L n t D b 2 x 1 b W 4 y L D F 9 J n F 1 b 3 Q 7 L C Z x d W 9 0 O 1 N l Y 3 R p b 2 4 x L 0 Z h c 2 h p b 2 5 f T U 5 J U 1 Q g K D g p L 0 F 1 d G 9 S Z W 1 v d m V k Q 2 9 s d W 1 u c z E u e 0 N v b H V t b j M s M n 0 m c X V v d D s s J n F 1 b 3 Q 7 U 2 V j d G l v b j E v R m F z a G l v b l 9 N T k l T V C A o O C k v Q X V 0 b 1 J l b W 9 2 Z W R D b 2 x 1 b W 5 z M S 5 7 Q 2 9 s d W 1 u N C w z f S Z x d W 9 0 O y w m c X V v d D t T Z W N 0 a W 9 u M S 9 G Y X N o a W 9 u X 0 1 O S V N U I C g 4 K S 9 B d X R v U m V t b 3 Z l Z E N v b H V t b n M x L n t D b 2 x 1 b W 4 1 L D R 9 J n F 1 b 3 Q 7 L C Z x d W 9 0 O 1 N l Y 3 R p b 2 4 x L 0 Z h c 2 h p b 2 5 f T U 5 J U 1 Q g K D g p L 0 F 1 d G 9 S Z W 1 v d m V k Q 2 9 s d W 1 u c z E u e 0 N v b H V t b j Y s N X 0 m c X V v d D s s J n F 1 b 3 Q 7 U 2 V j d G l v b j E v R m F z a G l v b l 9 N T k l T V C A o O C k v Q X V 0 b 1 J l b W 9 2 Z W R D b 2 x 1 b W 5 z M S 5 7 Q 2 9 s d W 1 u N y w 2 f S Z x d W 9 0 O y w m c X V v d D t T Z W N 0 a W 9 u M S 9 G Y X N o a W 9 u X 0 1 O S V N U I C g 4 K S 9 B d X R v U m V t b 3 Z l Z E N v b H V t b n M x L n t D b 2 x 1 b W 4 4 L D d 9 J n F 1 b 3 Q 7 L C Z x d W 9 0 O 1 N l Y 3 R p b 2 4 x L 0 Z h c 2 h p b 2 5 f T U 5 J U 1 Q g K D g p L 0 F 1 d G 9 S Z W 1 v d m V k Q 2 9 s d W 1 u c z E u e 0 N v b H V t b j k s O H 0 m c X V v d D s s J n F 1 b 3 Q 7 U 2 V j d G l v b j E v R m F z a G l v b l 9 N T k l T V C A o O C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Z h c 2 h p b 2 5 f T U 5 J U 1 Q g K D g p L 0 F 1 d G 9 S Z W 1 v d m V k Q 2 9 s d W 1 u c z E u e 0 N v b H V t b j E s M H 0 m c X V v d D s s J n F 1 b 3 Q 7 U 2 V j d G l v b j E v R m F z a G l v b l 9 N T k l T V C A o O C k v Q X V 0 b 1 J l b W 9 2 Z W R D b 2 x 1 b W 5 z M S 5 7 Q 2 9 s d W 1 u M i w x f S Z x d W 9 0 O y w m c X V v d D t T Z W N 0 a W 9 u M S 9 G Y X N o a W 9 u X 0 1 O S V N U I C g 4 K S 9 B d X R v U m V t b 3 Z l Z E N v b H V t b n M x L n t D b 2 x 1 b W 4 z L D J 9 J n F 1 b 3 Q 7 L C Z x d W 9 0 O 1 N l Y 3 R p b 2 4 x L 0 Z h c 2 h p b 2 5 f T U 5 J U 1 Q g K D g p L 0 F 1 d G 9 S Z W 1 v d m V k Q 2 9 s d W 1 u c z E u e 0 N v b H V t b j Q s M 3 0 m c X V v d D s s J n F 1 b 3 Q 7 U 2 V j d G l v b j E v R m F z a G l v b l 9 N T k l T V C A o O C k v Q X V 0 b 1 J l b W 9 2 Z W R D b 2 x 1 b W 5 z M S 5 7 Q 2 9 s d W 1 u N S w 0 f S Z x d W 9 0 O y w m c X V v d D t T Z W N 0 a W 9 u M S 9 G Y X N o a W 9 u X 0 1 O S V N U I C g 4 K S 9 B d X R v U m V t b 3 Z l Z E N v b H V t b n M x L n t D b 2 x 1 b W 4 2 L D V 9 J n F 1 b 3 Q 7 L C Z x d W 9 0 O 1 N l Y 3 R p b 2 4 x L 0 Z h c 2 h p b 2 5 f T U 5 J U 1 Q g K D g p L 0 F 1 d G 9 S Z W 1 v d m V k Q 2 9 s d W 1 u c z E u e 0 N v b H V t b j c s N n 0 m c X V v d D s s J n F 1 b 3 Q 7 U 2 V j d G l v b j E v R m F z a G l v b l 9 N T k l T V C A o O C k v Q X V 0 b 1 J l b W 9 2 Z W R D b 2 x 1 b W 5 z M S 5 7 Q 2 9 s d W 1 u O C w 3 f S Z x d W 9 0 O y w m c X V v d D t T Z W N 0 a W 9 u M S 9 G Y X N o a W 9 u X 0 1 O S V N U I C g 4 K S 9 B d X R v U m V t b 3 Z l Z E N v b H V t b n M x L n t D b 2 x 1 b W 4 5 L D h 9 J n F 1 b 3 Q 7 L C Z x d W 9 0 O 1 N l Y 3 R p b 2 4 x L 0 Z h c 2 h p b 2 5 f T U 5 J U 1 Q g K D g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X N o a W 9 u X 0 1 O S V N U J T I w K D g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2 h p b 2 5 f T U 5 J U 1 Q l M j A o O C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o a W 9 u X 0 1 O S V N U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V Q x M j o x N j o z N S 4 4 M z M y N D k 0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z a G l v b l 9 N T k l T V C A o O S k v Q X V 0 b 1 J l b W 9 2 Z W R D b 2 x 1 b W 5 z M S 5 7 Q 2 9 s d W 1 u M S w w f S Z x d W 9 0 O y w m c X V v d D t T Z W N 0 a W 9 u M S 9 G Y X N o a W 9 u X 0 1 O S V N U I C g 5 K S 9 B d X R v U m V t b 3 Z l Z E N v b H V t b n M x L n t D b 2 x 1 b W 4 y L D F 9 J n F 1 b 3 Q 7 L C Z x d W 9 0 O 1 N l Y 3 R p b 2 4 x L 0 Z h c 2 h p b 2 5 f T U 5 J U 1 Q g K D k p L 0 F 1 d G 9 S Z W 1 v d m V k Q 2 9 s d W 1 u c z E u e 0 N v b H V t b j M s M n 0 m c X V v d D s s J n F 1 b 3 Q 7 U 2 V j d G l v b j E v R m F z a G l v b l 9 N T k l T V C A o O S k v Q X V 0 b 1 J l b W 9 2 Z W R D b 2 x 1 b W 5 z M S 5 7 Q 2 9 s d W 1 u N C w z f S Z x d W 9 0 O y w m c X V v d D t T Z W N 0 a W 9 u M S 9 G Y X N o a W 9 u X 0 1 O S V N U I C g 5 K S 9 B d X R v U m V t b 3 Z l Z E N v b H V t b n M x L n t D b 2 x 1 b W 4 1 L D R 9 J n F 1 b 3 Q 7 L C Z x d W 9 0 O 1 N l Y 3 R p b 2 4 x L 0 Z h c 2 h p b 2 5 f T U 5 J U 1 Q g K D k p L 0 F 1 d G 9 S Z W 1 v d m V k Q 2 9 s d W 1 u c z E u e 0 N v b H V t b j Y s N X 0 m c X V v d D s s J n F 1 b 3 Q 7 U 2 V j d G l v b j E v R m F z a G l v b l 9 N T k l T V C A o O S k v Q X V 0 b 1 J l b W 9 2 Z W R D b 2 x 1 b W 5 z M S 5 7 Q 2 9 s d W 1 u N y w 2 f S Z x d W 9 0 O y w m c X V v d D t T Z W N 0 a W 9 u M S 9 G Y X N o a W 9 u X 0 1 O S V N U I C g 5 K S 9 B d X R v U m V t b 3 Z l Z E N v b H V t b n M x L n t D b 2 x 1 b W 4 4 L D d 9 J n F 1 b 3 Q 7 L C Z x d W 9 0 O 1 N l Y 3 R p b 2 4 x L 0 Z h c 2 h p b 2 5 f T U 5 J U 1 Q g K D k p L 0 F 1 d G 9 S Z W 1 v d m V k Q 2 9 s d W 1 u c z E u e 0 N v b H V t b j k s O H 0 m c X V v d D s s J n F 1 b 3 Q 7 U 2 V j d G l v b j E v R m F z a G l v b l 9 N T k l T V C A o O S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Z h c 2 h p b 2 5 f T U 5 J U 1 Q g K D k p L 0 F 1 d G 9 S Z W 1 v d m V k Q 2 9 s d W 1 u c z E u e 0 N v b H V t b j E s M H 0 m c X V v d D s s J n F 1 b 3 Q 7 U 2 V j d G l v b j E v R m F z a G l v b l 9 N T k l T V C A o O S k v Q X V 0 b 1 J l b W 9 2 Z W R D b 2 x 1 b W 5 z M S 5 7 Q 2 9 s d W 1 u M i w x f S Z x d W 9 0 O y w m c X V v d D t T Z W N 0 a W 9 u M S 9 G Y X N o a W 9 u X 0 1 O S V N U I C g 5 K S 9 B d X R v U m V t b 3 Z l Z E N v b H V t b n M x L n t D b 2 x 1 b W 4 z L D J 9 J n F 1 b 3 Q 7 L C Z x d W 9 0 O 1 N l Y 3 R p b 2 4 x L 0 Z h c 2 h p b 2 5 f T U 5 J U 1 Q g K D k p L 0 F 1 d G 9 S Z W 1 v d m V k Q 2 9 s d W 1 u c z E u e 0 N v b H V t b j Q s M 3 0 m c X V v d D s s J n F 1 b 3 Q 7 U 2 V j d G l v b j E v R m F z a G l v b l 9 N T k l T V C A o O S k v Q X V 0 b 1 J l b W 9 2 Z W R D b 2 x 1 b W 5 z M S 5 7 Q 2 9 s d W 1 u N S w 0 f S Z x d W 9 0 O y w m c X V v d D t T Z W N 0 a W 9 u M S 9 G Y X N o a W 9 u X 0 1 O S V N U I C g 5 K S 9 B d X R v U m V t b 3 Z l Z E N v b H V t b n M x L n t D b 2 x 1 b W 4 2 L D V 9 J n F 1 b 3 Q 7 L C Z x d W 9 0 O 1 N l Y 3 R p b 2 4 x L 0 Z h c 2 h p b 2 5 f T U 5 J U 1 Q g K D k p L 0 F 1 d G 9 S Z W 1 v d m V k Q 2 9 s d W 1 u c z E u e 0 N v b H V t b j c s N n 0 m c X V v d D s s J n F 1 b 3 Q 7 U 2 V j d G l v b j E v R m F z a G l v b l 9 N T k l T V C A o O S k v Q X V 0 b 1 J l b W 9 2 Z W R D b 2 x 1 b W 5 z M S 5 7 Q 2 9 s d W 1 u O C w 3 f S Z x d W 9 0 O y w m c X V v d D t T Z W N 0 a W 9 u M S 9 G Y X N o a W 9 u X 0 1 O S V N U I C g 5 K S 9 B d X R v U m V t b 3 Z l Z E N v b H V t b n M x L n t D b 2 x 1 b W 4 5 L D h 9 J n F 1 b 3 Q 7 L C Z x d W 9 0 O 1 N l Y 3 R p b 2 4 x L 0 Z h c 2 h p b 2 5 f T U 5 J U 1 Q g K D k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X N o a W 9 u X 0 1 O S V N U J T I w K D k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2 h p b 2 5 f T U 5 J U 1 Q l M j A o O S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o a W 9 u X 0 1 O S V N U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V U M T I 6 M T Y 6 N T c u N z c 0 N j A 3 N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h c 2 h p b 2 5 f T U 5 J U 1 Q g K D E w K S 9 B d X R v U m V t b 3 Z l Z E N v b H V t b n M x L n t D b 2 x 1 b W 4 x L D B 9 J n F 1 b 3 Q 7 L C Z x d W 9 0 O 1 N l Y 3 R p b 2 4 x L 0 Z h c 2 h p b 2 5 f T U 5 J U 1 Q g K D E w K S 9 B d X R v U m V t b 3 Z l Z E N v b H V t b n M x L n t D b 2 x 1 b W 4 y L D F 9 J n F 1 b 3 Q 7 L C Z x d W 9 0 O 1 N l Y 3 R p b 2 4 x L 0 Z h c 2 h p b 2 5 f T U 5 J U 1 Q g K D E w K S 9 B d X R v U m V t b 3 Z l Z E N v b H V t b n M x L n t D b 2 x 1 b W 4 z L D J 9 J n F 1 b 3 Q 7 L C Z x d W 9 0 O 1 N l Y 3 R p b 2 4 x L 0 Z h c 2 h p b 2 5 f T U 5 J U 1 Q g K D E w K S 9 B d X R v U m V t b 3 Z l Z E N v b H V t b n M x L n t D b 2 x 1 b W 4 0 L D N 9 J n F 1 b 3 Q 7 L C Z x d W 9 0 O 1 N l Y 3 R p b 2 4 x L 0 Z h c 2 h p b 2 5 f T U 5 J U 1 Q g K D E w K S 9 B d X R v U m V t b 3 Z l Z E N v b H V t b n M x L n t D b 2 x 1 b W 4 1 L D R 9 J n F 1 b 3 Q 7 L C Z x d W 9 0 O 1 N l Y 3 R p b 2 4 x L 0 Z h c 2 h p b 2 5 f T U 5 J U 1 Q g K D E w K S 9 B d X R v U m V t b 3 Z l Z E N v b H V t b n M x L n t D b 2 x 1 b W 4 2 L D V 9 J n F 1 b 3 Q 7 L C Z x d W 9 0 O 1 N l Y 3 R p b 2 4 x L 0 Z h c 2 h p b 2 5 f T U 5 J U 1 Q g K D E w K S 9 B d X R v U m V t b 3 Z l Z E N v b H V t b n M x L n t D b 2 x 1 b W 4 3 L D Z 9 J n F 1 b 3 Q 7 L C Z x d W 9 0 O 1 N l Y 3 R p b 2 4 x L 0 Z h c 2 h p b 2 5 f T U 5 J U 1 Q g K D E w K S 9 B d X R v U m V t b 3 Z l Z E N v b H V t b n M x L n t D b 2 x 1 b W 4 4 L D d 9 J n F 1 b 3 Q 7 L C Z x d W 9 0 O 1 N l Y 3 R p b 2 4 x L 0 Z h c 2 h p b 2 5 f T U 5 J U 1 Q g K D E w K S 9 B d X R v U m V t b 3 Z l Z E N v b H V t b n M x L n t D b 2 x 1 b W 4 5 L D h 9 J n F 1 b 3 Q 7 L C Z x d W 9 0 O 1 N l Y 3 R p b 2 4 x L 0 Z h c 2 h p b 2 5 f T U 5 J U 1 Q g K D E w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m F z a G l v b l 9 N T k l T V C A o M T A p L 0 F 1 d G 9 S Z W 1 v d m V k Q 2 9 s d W 1 u c z E u e 0 N v b H V t b j E s M H 0 m c X V v d D s s J n F 1 b 3 Q 7 U 2 V j d G l v b j E v R m F z a G l v b l 9 N T k l T V C A o M T A p L 0 F 1 d G 9 S Z W 1 v d m V k Q 2 9 s d W 1 u c z E u e 0 N v b H V t b j I s M X 0 m c X V v d D s s J n F 1 b 3 Q 7 U 2 V j d G l v b j E v R m F z a G l v b l 9 N T k l T V C A o M T A p L 0 F 1 d G 9 S Z W 1 v d m V k Q 2 9 s d W 1 u c z E u e 0 N v b H V t b j M s M n 0 m c X V v d D s s J n F 1 b 3 Q 7 U 2 V j d G l v b j E v R m F z a G l v b l 9 N T k l T V C A o M T A p L 0 F 1 d G 9 S Z W 1 v d m V k Q 2 9 s d W 1 u c z E u e 0 N v b H V t b j Q s M 3 0 m c X V v d D s s J n F 1 b 3 Q 7 U 2 V j d G l v b j E v R m F z a G l v b l 9 N T k l T V C A o M T A p L 0 F 1 d G 9 S Z W 1 v d m V k Q 2 9 s d W 1 u c z E u e 0 N v b H V t b j U s N H 0 m c X V v d D s s J n F 1 b 3 Q 7 U 2 V j d G l v b j E v R m F z a G l v b l 9 N T k l T V C A o M T A p L 0 F 1 d G 9 S Z W 1 v d m V k Q 2 9 s d W 1 u c z E u e 0 N v b H V t b j Y s N X 0 m c X V v d D s s J n F 1 b 3 Q 7 U 2 V j d G l v b j E v R m F z a G l v b l 9 N T k l T V C A o M T A p L 0 F 1 d G 9 S Z W 1 v d m V k Q 2 9 s d W 1 u c z E u e 0 N v b H V t b j c s N n 0 m c X V v d D s s J n F 1 b 3 Q 7 U 2 V j d G l v b j E v R m F z a G l v b l 9 N T k l T V C A o M T A p L 0 F 1 d G 9 S Z W 1 v d m V k Q 2 9 s d W 1 u c z E u e 0 N v b H V t b j g s N 3 0 m c X V v d D s s J n F 1 b 3 Q 7 U 2 V j d G l v b j E v R m F z a G l v b l 9 N T k l T V C A o M T A p L 0 F 1 d G 9 S Z W 1 v d m V k Q 2 9 s d W 1 u c z E u e 0 N v b H V t b j k s O H 0 m c X V v d D s s J n F 1 b 3 Q 7 U 2 V j d G l v b j E v R m F z a G l v b l 9 N T k l T V C A o M T A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X N o a W 9 u X 0 1 O S V N U J T I w K D E w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o a W 9 u X 0 1 O S V N U J T I w K D E w K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c 1 9 k Z W V w X 3 N 2 Z G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Z W x s Z V 9 Q Y X J h b X N f Z G V l c F 9 z d m R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E x O j Q 0 O j A 5 L j c x N z Y 2 M T Z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y Y W 1 z X 2 R l Z X B f c 3 Z k Z C 9 B d X R v U m V t b 3 Z l Z E N v b H V t b n M x L n t O Y W 1 l L D B 9 J n F 1 b 3 Q 7 L C Z x d W 9 0 O 1 N l Y 3 R p b 2 4 x L 1 B h c m F t c 1 9 k Z W V w X 3 N 2 Z G Q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G F y Y W 1 z X 2 R l Z X B f c 3 Z k Z C 9 B d X R v U m V t b 3 Z l Z E N v b H V t b n M x L n t O Y W 1 l L D B 9 J n F 1 b 3 Q 7 L C Z x d W 9 0 O 1 N l Y 3 R p b 2 4 x L 1 B h c m F t c 1 9 k Z W V w X 3 N 2 Z G Q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c m F t c 1 9 k Z W V w X 3 N 2 Z G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z X 2 R l Z X B f c 3 Z k Z C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c n l 0 a G 1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l b G x l X 0 F y c n l 0 a G 1 p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E y O j M w O j U y L j Q 4 M j A 1 O T B a I i A v P j x F b n R y e S B U e X B l P S J G a W x s Q 2 9 s d W 1 u V H l w Z X M i I F Z h b H V l P S J z Q m d Z R 0 J n W U d C Z 1 k 9 I i A v P j x F b n R y e S B U e X B l P S J G a W x s Q 2 9 s d W 1 u T m F t Z X M i I F Z h b H V l P S J z W y Z x d W 9 0 O 1 N l Z W Q m c X V v d D s s J n F 1 b 3 Q 7 T E 9 G X 0 F V Q y Z x d W 9 0 O y w m c X V v d D t M T 0 Z f N T A m c X V v d D s s J n F 1 b 3 Q 7 T E 9 G X z E w M C Z x d W 9 0 O y w m c X V v d D t M T 0 Z f N T A w J n F 1 b 3 Q 7 L C Z x d W 9 0 O 0 t O T l 9 B V U M m c X V v d D s s J n F 1 b 3 Q 7 T U 9 f R 0 F B T F 9 B V U M m c X V v d D s s J n F 1 b 3 Q 7 Q W 5 v R 0 F O X 0 F V Q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y c n l 0 a G 1 p Y S 9 B d X R v U m V t b 3 Z l Z E N v b H V t b n M x L n t T Z W V k L D B 9 J n F 1 b 3 Q 7 L C Z x d W 9 0 O 1 N l Y 3 R p b 2 4 x L 0 F y c n l 0 a G 1 p Y S 9 B d X R v U m V t b 3 Z l Z E N v b H V t b n M x L n t M T 0 Z f Q V V D L D F 9 J n F 1 b 3 Q 7 L C Z x d W 9 0 O 1 N l Y 3 R p b 2 4 x L 0 F y c n l 0 a G 1 p Y S 9 B d X R v U m V t b 3 Z l Z E N v b H V t b n M x L n t M T 0 Z f N T A s M n 0 m c X V v d D s s J n F 1 b 3 Q 7 U 2 V j d G l v b j E v Q X J y e X R o b W l h L 0 F 1 d G 9 S Z W 1 v d m V k Q 2 9 s d W 1 u c z E u e 0 x P R l 8 x M D A s M 3 0 m c X V v d D s s J n F 1 b 3 Q 7 U 2 V j d G l v b j E v Q X J y e X R o b W l h L 0 F 1 d G 9 S Z W 1 v d m V k Q 2 9 s d W 1 u c z E u e 0 x P R l 8 1 M D A s N H 0 m c X V v d D s s J n F 1 b 3 Q 7 U 2 V j d G l v b j E v Q X J y e X R o b W l h L 0 F 1 d G 9 S Z W 1 v d m V k Q 2 9 s d W 1 u c z E u e 0 t O T l 9 B V U M s N X 0 m c X V v d D s s J n F 1 b 3 Q 7 U 2 V j d G l v b j E v Q X J y e X R o b W l h L 0 F 1 d G 9 S Z W 1 v d m V k Q 2 9 s d W 1 u c z E u e 0 1 P X 0 d B Q U x f Q V V D L D Z 9 J n F 1 b 3 Q 7 L C Z x d W 9 0 O 1 N l Y 3 R p b 2 4 x L 0 F y c n l 0 a G 1 p Y S 9 B d X R v U m V t b 3 Z l Z E N v b H V t b n M x L n t B b m 9 H Q U 5 f Q V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y c n l 0 a G 1 p Y S 9 B d X R v U m V t b 3 Z l Z E N v b H V t b n M x L n t T Z W V k L D B 9 J n F 1 b 3 Q 7 L C Z x d W 9 0 O 1 N l Y 3 R p b 2 4 x L 0 F y c n l 0 a G 1 p Y S 9 B d X R v U m V t b 3 Z l Z E N v b H V t b n M x L n t M T 0 Z f Q V V D L D F 9 J n F 1 b 3 Q 7 L C Z x d W 9 0 O 1 N l Y 3 R p b 2 4 x L 0 F y c n l 0 a G 1 p Y S 9 B d X R v U m V t b 3 Z l Z E N v b H V t b n M x L n t M T 0 Z f N T A s M n 0 m c X V v d D s s J n F 1 b 3 Q 7 U 2 V j d G l v b j E v Q X J y e X R o b W l h L 0 F 1 d G 9 S Z W 1 v d m V k Q 2 9 s d W 1 u c z E u e 0 x P R l 8 x M D A s M 3 0 m c X V v d D s s J n F 1 b 3 Q 7 U 2 V j d G l v b j E v Q X J y e X R o b W l h L 0 F 1 d G 9 S Z W 1 v d m V k Q 2 9 s d W 1 u c z E u e 0 x P R l 8 1 M D A s N H 0 m c X V v d D s s J n F 1 b 3 Q 7 U 2 V j d G l v b j E v Q X J y e X R o b W l h L 0 F 1 d G 9 S Z W 1 v d m V k Q 2 9 s d W 1 u c z E u e 0 t O T l 9 B V U M s N X 0 m c X V v d D s s J n F 1 b 3 Q 7 U 2 V j d G l v b j E v Q X J y e X R o b W l h L 0 F 1 d G 9 S Z W 1 v d m V k Q 2 9 s d W 1 u c z E u e 0 1 P X 0 d B Q U x f Q V V D L D Z 9 J n F 1 b 3 Q 7 L C Z x d W 9 0 O 1 N l Y 3 R p b 2 4 x L 0 F y c n l 0 a G 1 p Y S 9 B d X R v U m V t b 3 Z l Z E N v b H V t b n M x L n t B b m 9 H Q U 5 f Q V V D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n J 5 d G h t a W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y e X R o b W l h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y e X R o b W l h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y b m V 0 X 2 F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l b G x l X 0 l u d G V y b m V 0 X 2 F k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E y O j M x O j I z L j I y M D Y 4 O D d a I i A v P j x F b n R y e S B U e X B l P S J G a W x s Q 2 9 s d W 1 u V H l w Z X M i I F Z h b H V l P S J z Q m d Z R 0 J n W U d C Z 1 k 9 I i A v P j x F b n R y e S B U e X B l P S J G a W x s Q 2 9 s d W 1 u T m F t Z X M i I F Z h b H V l P S J z W y Z x d W 9 0 O 1 N l Z W Q m c X V v d D s s J n F 1 b 3 Q 7 T E 9 G X 0 F V Q y Z x d W 9 0 O y w m c X V v d D t M T 0 Z f N T A m c X V v d D s s J n F 1 b 3 Q 7 T E 9 G X z E w M C Z x d W 9 0 O y w m c X V v d D t M T 0 Z f N T A w J n F 1 b 3 Q 7 L C Z x d W 9 0 O 0 t O T l 9 B V U M m c X V v d D s s J n F 1 b 3 Q 7 T U 9 f R 0 F B T F 9 B V U M m c X V v d D s s J n F 1 b 3 Q 7 Q W 5 v R 0 F O X 0 F V Q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d G V y b m V 0 X 2 F k c y 9 B d X R v U m V t b 3 Z l Z E N v b H V t b n M x L n t T Z W V k L D B 9 J n F 1 b 3 Q 7 L C Z x d W 9 0 O 1 N l Y 3 R p b 2 4 x L 0 l u d G V y b m V 0 X 2 F k c y 9 B d X R v U m V t b 3 Z l Z E N v b H V t b n M x L n t M T 0 Z f Q V V D L D F 9 J n F 1 b 3 Q 7 L C Z x d W 9 0 O 1 N l Y 3 R p b 2 4 x L 0 l u d G V y b m V 0 X 2 F k c y 9 B d X R v U m V t b 3 Z l Z E N v b H V t b n M x L n t M T 0 Z f N T A s M n 0 m c X V v d D s s J n F 1 b 3 Q 7 U 2 V j d G l v b j E v S W 5 0 Z X J u Z X R f Y W R z L 0 F 1 d G 9 S Z W 1 v d m V k Q 2 9 s d W 1 u c z E u e 0 x P R l 8 x M D A s M 3 0 m c X V v d D s s J n F 1 b 3 Q 7 U 2 V j d G l v b j E v S W 5 0 Z X J u Z X R f Y W R z L 0 F 1 d G 9 S Z W 1 v d m V k Q 2 9 s d W 1 u c z E u e 0 x P R l 8 1 M D A s N H 0 m c X V v d D s s J n F 1 b 3 Q 7 U 2 V j d G l v b j E v S W 5 0 Z X J u Z X R f Y W R z L 0 F 1 d G 9 S Z W 1 v d m V k Q 2 9 s d W 1 u c z E u e 0 t O T l 9 B V U M s N X 0 m c X V v d D s s J n F 1 b 3 Q 7 U 2 V j d G l v b j E v S W 5 0 Z X J u Z X R f Y W R z L 0 F 1 d G 9 S Z W 1 v d m V k Q 2 9 s d W 1 u c z E u e 0 1 P X 0 d B Q U x f Q V V D L D Z 9 J n F 1 b 3 Q 7 L C Z x d W 9 0 O 1 N l Y 3 R p b 2 4 x L 0 l u d G V y b m V 0 X 2 F k c y 9 B d X R v U m V t b 3 Z l Z E N v b H V t b n M x L n t B b m 9 H Q U 5 f Q V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l u d G V y b m V 0 X 2 F k c y 9 B d X R v U m V t b 3 Z l Z E N v b H V t b n M x L n t T Z W V k L D B 9 J n F 1 b 3 Q 7 L C Z x d W 9 0 O 1 N l Y 3 R p b 2 4 x L 0 l u d G V y b m V 0 X 2 F k c y 9 B d X R v U m V t b 3 Z l Z E N v b H V t b n M x L n t M T 0 Z f Q V V D L D F 9 J n F 1 b 3 Q 7 L C Z x d W 9 0 O 1 N l Y 3 R p b 2 4 x L 0 l u d G V y b m V 0 X 2 F k c y 9 B d X R v U m V t b 3 Z l Z E N v b H V t b n M x L n t M T 0 Z f N T A s M n 0 m c X V v d D s s J n F 1 b 3 Q 7 U 2 V j d G l v b j E v S W 5 0 Z X J u Z X R f Y W R z L 0 F 1 d G 9 S Z W 1 v d m V k Q 2 9 s d W 1 u c z E u e 0 x P R l 8 x M D A s M 3 0 m c X V v d D s s J n F 1 b 3 Q 7 U 2 V j d G l v b j E v S W 5 0 Z X J u Z X R f Y W R z L 0 F 1 d G 9 S Z W 1 v d m V k Q 2 9 s d W 1 u c z E u e 0 x P R l 8 1 M D A s N H 0 m c X V v d D s s J n F 1 b 3 Q 7 U 2 V j d G l v b j E v S W 5 0 Z X J u Z X R f Y W R z L 0 F 1 d G 9 S Z W 1 v d m V k Q 2 9 s d W 1 u c z E u e 0 t O T l 9 B V U M s N X 0 m c X V v d D s s J n F 1 b 3 Q 7 U 2 V j d G l v b j E v S W 5 0 Z X J u Z X R f Y W R z L 0 F 1 d G 9 S Z W 1 v d m V k Q 2 9 s d W 1 u c z E u e 0 1 P X 0 d B Q U x f Q V V D L D Z 9 J n F 1 b 3 Q 7 L C Z x d W 9 0 O 1 N l Y 3 R p b 2 4 x L 0 l u d G V y b m V 0 X 2 F k c y 9 B d X R v U m V t b 3 Z l Z E N v b H V t b n M x L n t B b m 9 H Q U 5 f Q V V D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n R l c m 5 l d F 9 h Z H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u Z X R f Y W R z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u Z X R f Y W R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W 1 i Y X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V s b G V f U 3 B h b W J h c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x M j o z M T o 0 M S 4 3 M j I 1 N D I x W i I g L z 4 8 R W 5 0 c n k g V H l w Z T 0 i R m l s b E N v b H V t b l R 5 c G V z I i B W Y W x 1 Z T 0 i c 0 J n W U d C Z 1 l H Q m d Z P S I g L z 4 8 R W 5 0 c n k g V H l w Z T 0 i R m l s b E N v b H V t b k 5 h b W V z I i B W Y W x 1 Z T 0 i c 1 s m c X V v d D t T Z W V k J n F 1 b 3 Q 7 L C Z x d W 9 0 O 0 x P R l 9 B V U M m c X V v d D s s J n F 1 b 3 Q 7 T E 9 G X z U w J n F 1 b 3 Q 7 L C Z x d W 9 0 O 0 x P R l 8 x M D A m c X V v d D s s J n F 1 b 3 Q 7 T E 9 G X z U w M C Z x d W 9 0 O y w m c X V v d D t L T k 5 f Q V V D J n F 1 b 3 Q 7 L C Z x d W 9 0 O 0 1 P X 0 d B Q U x f Q V V D J n F 1 b 3 Q 7 L C Z x d W 9 0 O 0 F u b 0 d B T l 9 B V U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F t Y m F z Z S 9 B d X R v U m V t b 3 Z l Z E N v b H V t b n M x L n t T Z W V k L D B 9 J n F 1 b 3 Q 7 L C Z x d W 9 0 O 1 N l Y 3 R p b 2 4 x L 1 N w Y W 1 i Y X N l L 0 F 1 d G 9 S Z W 1 v d m V k Q 2 9 s d W 1 u c z E u e 0 x P R l 9 B V U M s M X 0 m c X V v d D s s J n F 1 b 3 Q 7 U 2 V j d G l v b j E v U 3 B h b W J h c 2 U v Q X V 0 b 1 J l b W 9 2 Z W R D b 2 x 1 b W 5 z M S 5 7 T E 9 G X z U w L D J 9 J n F 1 b 3 Q 7 L C Z x d W 9 0 O 1 N l Y 3 R p b 2 4 x L 1 N w Y W 1 i Y X N l L 0 F 1 d G 9 S Z W 1 v d m V k Q 2 9 s d W 1 u c z E u e 0 x P R l 8 x M D A s M 3 0 m c X V v d D s s J n F 1 b 3 Q 7 U 2 V j d G l v b j E v U 3 B h b W J h c 2 U v Q X V 0 b 1 J l b W 9 2 Z W R D b 2 x 1 b W 5 z M S 5 7 T E 9 G X z U w M C w 0 f S Z x d W 9 0 O y w m c X V v d D t T Z W N 0 a W 9 u M S 9 T c G F t Y m F z Z S 9 B d X R v U m V t b 3 Z l Z E N v b H V t b n M x L n t L T k 5 f Q V V D L D V 9 J n F 1 b 3 Q 7 L C Z x d W 9 0 O 1 N l Y 3 R p b 2 4 x L 1 N w Y W 1 i Y X N l L 0 F 1 d G 9 S Z W 1 v d m V k Q 2 9 s d W 1 u c z E u e 0 1 P X 0 d B Q U x f Q V V D L D Z 9 J n F 1 b 3 Q 7 L C Z x d W 9 0 O 1 N l Y 3 R p b 2 4 x L 1 N w Y W 1 i Y X N l L 0 F 1 d G 9 S Z W 1 v d m V k Q 2 9 s d W 1 u c z E u e 0 F u b 0 d B T l 9 B V U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3 B h b W J h c 2 U v Q X V 0 b 1 J l b W 9 2 Z W R D b 2 x 1 b W 5 z M S 5 7 U 2 V l Z C w w f S Z x d W 9 0 O y w m c X V v d D t T Z W N 0 a W 9 u M S 9 T c G F t Y m F z Z S 9 B d X R v U m V t b 3 Z l Z E N v b H V t b n M x L n t M T 0 Z f Q V V D L D F 9 J n F 1 b 3 Q 7 L C Z x d W 9 0 O 1 N l Y 3 R p b 2 4 x L 1 N w Y W 1 i Y X N l L 0 F 1 d G 9 S Z W 1 v d m V k Q 2 9 s d W 1 u c z E u e 0 x P R l 8 1 M C w y f S Z x d W 9 0 O y w m c X V v d D t T Z W N 0 a W 9 u M S 9 T c G F t Y m F z Z S 9 B d X R v U m V t b 3 Z l Z E N v b H V t b n M x L n t M T 0 Z f M T A w L D N 9 J n F 1 b 3 Q 7 L C Z x d W 9 0 O 1 N l Y 3 R p b 2 4 x L 1 N w Y W 1 i Y X N l L 0 F 1 d G 9 S Z W 1 v d m V k Q 2 9 s d W 1 u c z E u e 0 x P R l 8 1 M D A s N H 0 m c X V v d D s s J n F 1 b 3 Q 7 U 2 V j d G l v b j E v U 3 B h b W J h c 2 U v Q X V 0 b 1 J l b W 9 2 Z W R D b 2 x 1 b W 5 z M S 5 7 S 0 5 O X 0 F V Q y w 1 f S Z x d W 9 0 O y w m c X V v d D t T Z W N 0 a W 9 u M S 9 T c G F t Y m F z Z S 9 B d X R v U m V t b 3 Z l Z E N v b H V t b n M x L n t N T 1 9 H Q U F M X 0 F V Q y w 2 f S Z x d W 9 0 O y w m c X V v d D t T Z W N 0 a W 9 u M S 9 T c G F t Y m F z Z S 9 B d X R v U m V t b 3 Z l Z E N v b H V t b n M x L n t B b m 9 H Q U 5 f Q V V D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F t Y m F z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F t Y m F z Z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W 1 i Y X N l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d m V m b 3 J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V s b G V f V 2 F 2 Z W Z v c m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x M j o z M j o w N C 4 3 N T E 3 M D A y W i I g L z 4 8 R W 5 0 c n k g V H l w Z T 0 i R m l s b E N v b H V t b l R 5 c G V z I i B W Y W x 1 Z T 0 i c 0 J n W U d C Z 1 l H Q m d Z P S I g L z 4 8 R W 5 0 c n k g V H l w Z T 0 i R m l s b E N v b H V t b k 5 h b W V z I i B W Y W x 1 Z T 0 i c 1 s m c X V v d D t T Z W V k J n F 1 b 3 Q 7 L C Z x d W 9 0 O 0 x P R l 9 B V U M m c X V v d D s s J n F 1 b 3 Q 7 T E 9 G X z U w J n F 1 b 3 Q 7 L C Z x d W 9 0 O 0 x P R l 8 x M D A m c X V v d D s s J n F 1 b 3 Q 7 T E 9 G X z U w M C Z x d W 9 0 O y w m c X V v d D t L T k 5 f Q V V D J n F 1 b 3 Q 7 L C Z x d W 9 0 O 0 1 P X 0 d B Q U x f Q V V D J n F 1 b 3 Q 7 L C Z x d W 9 0 O 0 F u b 0 d B T l 9 B V U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Y X Z l Z m 9 y b S 9 B d X R v U m V t b 3 Z l Z E N v b H V t b n M x L n t T Z W V k L D B 9 J n F 1 b 3 Q 7 L C Z x d W 9 0 O 1 N l Y 3 R p b 2 4 x L 1 d h d m V m b 3 J t L 0 F 1 d G 9 S Z W 1 v d m V k Q 2 9 s d W 1 u c z E u e 0 x P R l 9 B V U M s M X 0 m c X V v d D s s J n F 1 b 3 Q 7 U 2 V j d G l v b j E v V 2 F 2 Z W Z v c m 0 v Q X V 0 b 1 J l b W 9 2 Z W R D b 2 x 1 b W 5 z M S 5 7 T E 9 G X z U w L D J 9 J n F 1 b 3 Q 7 L C Z x d W 9 0 O 1 N l Y 3 R p b 2 4 x L 1 d h d m V m b 3 J t L 0 F 1 d G 9 S Z W 1 v d m V k Q 2 9 s d W 1 u c z E u e 0 x P R l 8 x M D A s M 3 0 m c X V v d D s s J n F 1 b 3 Q 7 U 2 V j d G l v b j E v V 2 F 2 Z W Z v c m 0 v Q X V 0 b 1 J l b W 9 2 Z W R D b 2 x 1 b W 5 z M S 5 7 T E 9 G X z U w M C w 0 f S Z x d W 9 0 O y w m c X V v d D t T Z W N 0 a W 9 u M S 9 X Y X Z l Z m 9 y b S 9 B d X R v U m V t b 3 Z l Z E N v b H V t b n M x L n t L T k 5 f Q V V D L D V 9 J n F 1 b 3 Q 7 L C Z x d W 9 0 O 1 N l Y 3 R p b 2 4 x L 1 d h d m V m b 3 J t L 0 F 1 d G 9 S Z W 1 v d m V k Q 2 9 s d W 1 u c z E u e 0 1 P X 0 d B Q U x f Q V V D L D Z 9 J n F 1 b 3 Q 7 L C Z x d W 9 0 O 1 N l Y 3 R p b 2 4 x L 1 d h d m V m b 3 J t L 0 F 1 d G 9 S Z W 1 v d m V k Q 2 9 s d W 1 u c z E u e 0 F u b 0 d B T l 9 B V U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2 F 2 Z W Z v c m 0 v Q X V 0 b 1 J l b W 9 2 Z W R D b 2 x 1 b W 5 z M S 5 7 U 2 V l Z C w w f S Z x d W 9 0 O y w m c X V v d D t T Z W N 0 a W 9 u M S 9 X Y X Z l Z m 9 y b S 9 B d X R v U m V t b 3 Z l Z E N v b H V t b n M x L n t M T 0 Z f Q V V D L D F 9 J n F 1 b 3 Q 7 L C Z x d W 9 0 O 1 N l Y 3 R p b 2 4 x L 1 d h d m V m b 3 J t L 0 F 1 d G 9 S Z W 1 v d m V k Q 2 9 s d W 1 u c z E u e 0 x P R l 8 1 M C w y f S Z x d W 9 0 O y w m c X V v d D t T Z W N 0 a W 9 u M S 9 X Y X Z l Z m 9 y b S 9 B d X R v U m V t b 3 Z l Z E N v b H V t b n M x L n t M T 0 Z f M T A w L D N 9 J n F 1 b 3 Q 7 L C Z x d W 9 0 O 1 N l Y 3 R p b 2 4 x L 1 d h d m V m b 3 J t L 0 F 1 d G 9 S Z W 1 v d m V k Q 2 9 s d W 1 u c z E u e 0 x P R l 8 1 M D A s N H 0 m c X V v d D s s J n F 1 b 3 Q 7 U 2 V j d G l v b j E v V 2 F 2 Z W Z v c m 0 v Q X V 0 b 1 J l b W 9 2 Z W R D b 2 x 1 b W 5 z M S 5 7 S 0 5 O X 0 F V Q y w 1 f S Z x d W 9 0 O y w m c X V v d D t T Z W N 0 a W 9 u M S 9 X Y X Z l Z m 9 y b S 9 B d X R v U m V t b 3 Z l Z E N v b H V t b n M x L n t N T 1 9 H Q U F M X 0 F V Q y w 2 f S Z x d W 9 0 O y w m c X V v d D t T Z W N 0 a W 9 u M S 9 X Y X Z l Z m 9 y b S 9 B d X R v U m V t b 3 Z l Z E N v b H V t b n M x L n t B b m 9 H Q U 5 f Q V V D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Y X Z l Z m 9 y b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X Z l Z m 9 y b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d m V m b 3 J t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c 1 8 4 X 0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s Z V 9 Q Y X J h b X N f O F 9 D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Z U M T I 6 N D A 6 M T A u M j E 2 O T Q 2 O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y Y W 1 z X z h f Q y 9 B d X R v U m V t b 3 Z l Z E N v b H V t b n M x L n t D b 2 x 1 b W 4 x L D B 9 J n F 1 b 3 Q 7 L C Z x d W 9 0 O 1 N l Y 3 R p b 2 4 x L 1 B h c m F t c 1 8 4 X 0 M v Q X V 0 b 1 J l b W 9 2 Z W R D b 2 x 1 b W 5 z M S 5 7 Q 2 9 s d W 1 u M i w x f S Z x d W 9 0 O y w m c X V v d D t T Z W N 0 a W 9 u M S 9 Q Y X J h b X N f O F 9 D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G F y Y W 1 z X z h f Q y 9 B d X R v U m V t b 3 Z l Z E N v b H V t b n M x L n t D b 2 x 1 b W 4 x L D B 9 J n F 1 b 3 Q 7 L C Z x d W 9 0 O 1 N l Y 3 R p b 2 4 x L 1 B h c m F t c 1 8 4 X 0 M v Q X V 0 b 1 J l b W 9 2 Z W R D b 2 x 1 b W 5 z M S 5 7 Q 2 9 s d W 1 u M i w x f S Z x d W 9 0 O y w m c X V v d D t T Z W N 0 a W 9 u M S 9 Q Y X J h b X N f O F 9 D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c m F t c 1 8 4 X 0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z X z h f Q y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c 1 8 4 X 0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b G V f U G F y Y W 1 z X z h f R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E y O j Q 1 O j M y L j A 2 M z U y M j N a I i A v P j x F b n R y e S B U e X B l P S J G a W x s Q 2 9 s d W 1 u V H l w Z X M i I F Z h b H V l P S J z Q m d Z R y I g L z 4 8 R W 5 0 c n k g V H l w Z T 0 i R m l s b E N v b H V t b k 5 h b W V z I i B W Y W x 1 Z T 0 i c 1 s m c X V v d D t M Z W F y b m l u Z y B y Y X R l J n F 1 b 3 Q 7 L C Z x d W 9 0 O y B F c G 9 j a H M m c X V v d D s s J n F 1 b 3 Q 7 I E F V Q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m F t c 1 8 4 X 0 Y v Q X V 0 b 1 J l b W 9 2 Z W R D b 2 x 1 b W 5 z M S 5 7 T G V h c m 5 p b m c g c m F 0 Z S w w f S Z x d W 9 0 O y w m c X V v d D t T Z W N 0 a W 9 u M S 9 Q Y X J h b X N f O F 9 G L 0 F 1 d G 9 S Z W 1 v d m V k Q 2 9 s d W 1 u c z E u e y B F c G 9 j a H M s M X 0 m c X V v d D s s J n F 1 b 3 Q 7 U 2 V j d G l v b j E v U G F y Y W 1 z X z h f R i 9 B d X R v U m V t b 3 Z l Z E N v b H V t b n M x L n s g Q V V D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h c m F t c 1 8 4 X 0 Y v Q X V 0 b 1 J l b W 9 2 Z W R D b 2 x 1 b W 5 z M S 5 7 T G V h c m 5 p b m c g c m F 0 Z S w w f S Z x d W 9 0 O y w m c X V v d D t T Z W N 0 a W 9 u M S 9 Q Y X J h b X N f O F 9 G L 0 F 1 d G 9 S Z W 1 v d m V k Q 2 9 s d W 1 u c z E u e y B F c G 9 j a H M s M X 0 m c X V v d D s s J n F 1 b 3 Q 7 U 2 V j d G l v b j E v U G F y Y W 1 z X z h f R i 9 B d X R v U m V t b 3 Z l Z E N v b H V t b n M x L n s g Q V V D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J h b X N f O F 9 G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c 1 8 4 X 0 Y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X N f O F 9 G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c 1 8 2 X 0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b G V f U G F y Y W 1 z X z Z f Q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x M j o 0 O T o 0 M S 4 y N D Y y M D c 4 W i I g L z 4 8 R W 5 0 c n k g V H l w Z T 0 i R m l s b E N v b H V t b l R 5 c G V z I i B W Y W x 1 Z T 0 i c 0 J n W U c i I C 8 + P E V u d H J 5 I F R 5 c G U 9 I k Z p b G x D b 2 x 1 b W 5 O Y W 1 l c y I g V m F s d W U 9 I n N b J n F 1 b 3 Q 7 T G V h c m 5 p b m c g c m F 0 Z S B n Z W 5 l c m F 0 b 3 I m c X V v d D s s J n F 1 b 3 Q 7 I F N 0 b 3 A g Z X B v Y 2 h z J n F 1 b 3 Q 7 L C Z x d W 9 0 O y B B d m V y Y W d l I E F V Q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m F t c 1 8 2 X 0 M v Q X V 0 b 1 J l b W 9 2 Z W R D b 2 x 1 b W 5 z M S 5 7 T G V h c m 5 p b m c g c m F 0 Z S B n Z W 5 l c m F 0 b 3 I s M H 0 m c X V v d D s s J n F 1 b 3 Q 7 U 2 V j d G l v b j E v U G F y Y W 1 z X z Z f Q y 9 B d X R v U m V t b 3 Z l Z E N v b H V t b n M x L n s g U 3 R v c C B l c G 9 j a H M s M X 0 m c X V v d D s s J n F 1 b 3 Q 7 U 2 V j d G l v b j E v U G F y Y W 1 z X z Z f Q y 9 B d X R v U m V t b 3 Z l Z E N v b H V t b n M x L n s g Q X Z l c m F n Z S B B V U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G F y Y W 1 z X z Z f Q y 9 B d X R v U m V t b 3 Z l Z E N v b H V t b n M x L n t M Z W F y b m l u Z y B y Y X R l I G d l b m V y Y X R v c i w w f S Z x d W 9 0 O y w m c X V v d D t T Z W N 0 a W 9 u M S 9 Q Y X J h b X N f N l 9 D L 0 F 1 d G 9 S Z W 1 v d m V k Q 2 9 s d W 1 u c z E u e y B T d G 9 w I G V w b 2 N o c y w x f S Z x d W 9 0 O y w m c X V v d D t T Z W N 0 a W 9 u M S 9 Q Y X J h b X N f N l 9 D L 0 F 1 d G 9 S Z W 1 v d m V k Q 2 9 s d W 1 u c z E u e y B B d m V y Y W d l I E F V Q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y Y W 1 z X z Z f Q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X N f N l 9 D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z X z Z f Q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X N f O F 9 D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l b G x l X 1 B h c m F t c 1 8 4 X 0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Z U M T I 6 N T E 6 M D I u O D Q 4 M z E 1 N 1 o i I C 8 + P E V u d H J 5 I F R 5 c G U 9 I k Z p b G x D b 2 x 1 b W 5 U e X B l c y I g V m F s d W U 9 I n N C Z 1 l H I i A v P j x F b n R y e S B U e X B l P S J G a W x s Q 2 9 s d W 1 u T m F t Z X M i I F Z h b H V l P S J z W y Z x d W 9 0 O 0 x l Y X J u a W 5 n I H J h d G U g Z 2 V u Z X J h d G 9 y J n F 1 b 3 Q 7 L C Z x d W 9 0 O y B T d G 9 w I G V w b 2 N o c y Z x d W 9 0 O y w m c X V v d D s g Q X Z l c m F n Z S B B V U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J h b X N f O F 9 D I C g y K S 9 B d X R v U m V t b 3 Z l Z E N v b H V t b n M x L n t M Z W F y b m l u Z y B y Y X R l I G d l b m V y Y X R v c i w w f S Z x d W 9 0 O y w m c X V v d D t T Z W N 0 a W 9 u M S 9 Q Y X J h b X N f O F 9 D I C g y K S 9 B d X R v U m V t b 3 Z l Z E N v b H V t b n M x L n s g U 3 R v c C B l c G 9 j a H M s M X 0 m c X V v d D s s J n F 1 b 3 Q 7 U 2 V j d G l v b j E v U G F y Y W 1 z X z h f Q y A o M i k v Q X V 0 b 1 J l b W 9 2 Z W R D b 2 x 1 b W 5 z M S 5 7 I E F 2 Z X J h Z 2 U g Q V V D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h c m F t c 1 8 4 X 0 M g K D I p L 0 F 1 d G 9 S Z W 1 v d m V k Q 2 9 s d W 1 u c z E u e 0 x l Y X J u a W 5 n I H J h d G U g Z 2 V u Z X J h d G 9 y L D B 9 J n F 1 b 3 Q 7 L C Z x d W 9 0 O 1 N l Y 3 R p b 2 4 x L 1 B h c m F t c 1 8 4 X 0 M g K D I p L 0 F 1 d G 9 S Z W 1 v d m V k Q 2 9 s d W 1 u c z E u e y B T d G 9 w I G V w b 2 N o c y w x f S Z x d W 9 0 O y w m c X V v d D t T Z W N 0 a W 9 u M S 9 Q Y X J h b X N f O F 9 D I C g y K S 9 B d X R v U m V t b 3 Z l Z E N v b H V t b n M x L n s g Q X Z l c m F n Z S B B V U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c m F t c 1 8 4 X 0 M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z X z h f Q y U y M C g y K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c 1 8 4 X 0 M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Z m l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V s b G V f Y 2 9 u Z m l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E z O j A z O j E 2 L j Q 5 N j I y M j Z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Z m l n L 0 F 1 d G 9 S Z W 1 v d m V k Q 2 9 s d W 1 u c z E u e 0 5 h b W U s M H 0 m c X V v d D s s J n F 1 b 3 Q 7 U 2 V j d G l v b j E v Y 2 9 u Z m l n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v b m Z p Z y 9 B d X R v U m V t b 3 Z l Z E N v b H V t b n M x L n t O Y W 1 l L D B 9 J n F 1 b 3 Q 7 L C Z x d W 9 0 O 1 N l Y 3 R p b 2 4 x L 2 N v b m Z p Z y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Z m l n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Z p Z y 9 J b i U y M F R h Y m V s b G U l M j B r b 2 5 2 Z X J 0 a W V y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k h H 4 y e M K P Q K F e 4 e S 6 1 y Y a A A A A A A I A A A A A A B B m A A A A A Q A A I A A A A D E l x R q V p g b L L x b M H i q C m f X + Y p v J Q g 9 W 2 p Z A E 1 e h 6 + h L A A A A A A 6 A A A A A A g A A I A A A A H q l y E v + R D X p 9 E U Z V g G U L q c s 3 V j v + n T y I d b z K 8 A G E 6 X O U A A A A J K J I w T q / A Q z X v 7 M O 9 N C u v x h I H 1 p L Q m K u z A m A c 0 w i r 3 9 0 f 8 C F u i Z d u / u q G H g q j T Y c T G w u K c P 3 L U C F x m I X Q D A + D c X J g S b y S q I O 5 x o Y R L d A / b i Q A A A A D R Z d 6 w u i V R y f v G t g Q T I k a Y 1 R H 3 1 E W 8 A q 8 J P m q G a c 9 V V n Q K J d U w q T j 9 I N o G Q P m f e g 3 X X y a b s L g V V 4 E Z W / u n y z W 0 = < / D a t a M a s h u p > 
</file>

<file path=customXml/itemProps1.xml><?xml version="1.0" encoding="utf-8"?>
<ds:datastoreItem xmlns:ds="http://schemas.openxmlformats.org/officeDocument/2006/customXml" ds:itemID="{6915320C-4E89-460E-B098-FD00982782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21</vt:i4>
      </vt:variant>
    </vt:vector>
  </HeadingPairs>
  <TitlesOfParts>
    <vt:vector size="21" baseType="lpstr">
      <vt:lpstr>Deep SVDD Paper Params</vt:lpstr>
      <vt:lpstr>Deep SVDD Paper Run Cifar10</vt:lpstr>
      <vt:lpstr>Deep SVDD Paper Run MNIST</vt:lpstr>
      <vt:lpstr>MO_GAAL Tuning Class 8 Cifar10</vt:lpstr>
      <vt:lpstr>MO_GAAL Tuning Class 6 Cifar10</vt:lpstr>
      <vt:lpstr>AnoGAN Tuning Class 8 FMNIST</vt:lpstr>
      <vt:lpstr>AnoGAN Tuning Class 8 Cifar10</vt:lpstr>
      <vt:lpstr>Waveform</vt:lpstr>
      <vt:lpstr>Spambase</vt:lpstr>
      <vt:lpstr>Internet_ads</vt:lpstr>
      <vt:lpstr>Arrythmia</vt:lpstr>
      <vt:lpstr>Fashion_MNIST</vt:lpstr>
      <vt:lpstr>Cifar10</vt:lpstr>
      <vt:lpstr>MO_GAAL</vt:lpstr>
      <vt:lpstr>LOF</vt:lpstr>
      <vt:lpstr>KNN</vt:lpstr>
      <vt:lpstr>FB500</vt:lpstr>
      <vt:lpstr>FB100</vt:lpstr>
      <vt:lpstr>FB50</vt:lpstr>
      <vt:lpstr>Deep_SVDD</vt:lpstr>
      <vt:lpstr>AnoGAN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2023-06-05T11:18:53Z</dcterms:created>
  <dcterms:modified xsi:type="dcterms:W3CDTF">2023-06-12T02:57:31Z</dcterms:modified>
</cp:coreProperties>
</file>