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<sst xmlns="http://schemas.openxmlformats.org/spreadsheetml/2006/main" count="110" uniqueCount="54">
  <si>
    <t>C</t>
  </si>
  <si>
    <t>NB</t>
  </si>
  <si>
    <t>K</t>
  </si>
  <si>
    <t>A</t>
  </si>
  <si>
    <t>K/NB</t>
  </si>
  <si>
    <t>A/NB</t>
  </si>
  <si>
    <t>K/umol in 1 uL</t>
  </si>
  <si>
    <t>A/umol in 1 uL</t>
  </si>
  <si>
    <t>K总</t>
  </si>
  <si>
    <t>A总</t>
  </si>
  <si>
    <t>A+K</t>
  </si>
  <si>
    <t>K%</t>
  </si>
  <si>
    <t>A%</t>
  </si>
  <si>
    <t>conv</t>
  </si>
  <si>
    <t>正文 8个实验 1</t>
  </si>
  <si>
    <t>正文 8个实验 2</t>
  </si>
  <si>
    <t>正文 8个实验 3</t>
  </si>
  <si>
    <t>正文 8个实验 4</t>
  </si>
  <si>
    <t>正文 8个实验 5</t>
  </si>
  <si>
    <t>正文 8个实验 6</t>
  </si>
  <si>
    <t>无产物</t>
  </si>
  <si>
    <t>催化剂拓展10个</t>
  </si>
  <si>
    <t>Al</t>
  </si>
  <si>
    <t>Ca  产量过少 建议trace</t>
  </si>
  <si>
    <t>产量过少 建议trace</t>
  </si>
  <si>
    <t>Ga</t>
  </si>
  <si>
    <t>Gd</t>
  </si>
  <si>
    <t>Mg  产量过少 建议trace</t>
  </si>
  <si>
    <t>Mo</t>
  </si>
  <si>
    <t>Sc</t>
  </si>
  <si>
    <t>Sn</t>
  </si>
  <si>
    <t>Zr</t>
  </si>
  <si>
    <t>B</t>
  </si>
  <si>
    <t>更改条件</t>
  </si>
  <si>
    <t>100mg</t>
  </si>
  <si>
    <t>400mg</t>
  </si>
  <si>
    <t>空白</t>
  </si>
  <si>
    <t>戊烷</t>
  </si>
  <si>
    <t>c/umol/ul</t>
  </si>
  <si>
    <t>标准</t>
  </si>
  <si>
    <r>
      <rPr>
        <sz val="10.5"/>
        <color rgb="FF595959"/>
        <rFont val="微软雅黑"/>
        <charset val="134"/>
      </rPr>
      <t>环庚</t>
    </r>
    <r>
      <rPr>
        <sz val="10.5"/>
        <color rgb="FF595959"/>
        <rFont val="宋体"/>
        <charset val="134"/>
      </rPr>
      <t>烷</t>
    </r>
  </si>
  <si>
    <t>7K</t>
  </si>
  <si>
    <t>7K/N</t>
  </si>
  <si>
    <t>7A</t>
  </si>
  <si>
    <t>7A/N</t>
  </si>
  <si>
    <t>辛烷</t>
  </si>
  <si>
    <t>8K</t>
  </si>
  <si>
    <t>8K/N</t>
  </si>
  <si>
    <t>8A</t>
  </si>
  <si>
    <t>8A/N</t>
  </si>
  <si>
    <t>环辛烷转化率</t>
  </si>
  <si>
    <t>标准条件</t>
  </si>
  <si>
    <t>其它产物</t>
  </si>
  <si>
    <t>负值是因为产量实在过低 超出标曲范围  后续计算产率忽略不计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</si>
</sst>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595959"/>
      <name val="宋体"/>
      <charset val="134"/>
    </font>
    <font>
      <sz val="10.5"/>
      <color rgb="FF595959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595959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1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环己酮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21303165128618"/>
          <c:y val="0.0923348255733359"/>
          <c:w val="0.859688297845208"/>
          <c:h val="0.8152010446844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0.00357142857142857</c:v>
                </c:pt>
                <c:pt idx="2">
                  <c:v>0.00714285714285714</c:v>
                </c:pt>
                <c:pt idx="3">
                  <c:v>0.0142857142857143</c:v>
                </c:pt>
                <c:pt idx="4">
                  <c:v>0.0285714285714286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</c:v>
                </c:pt>
                <c:pt idx="1">
                  <c:v>0.155298513535987</c:v>
                </c:pt>
                <c:pt idx="2">
                  <c:v>0.319033477238383</c:v>
                </c:pt>
                <c:pt idx="3">
                  <c:v>0.635753311903205</c:v>
                </c:pt>
                <c:pt idx="4">
                  <c:v>1.34760673904111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200879"/>
        <c:axId val="1543592879"/>
      </c:scatterChart>
      <c:valAx>
        <c:axId val="182820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3592879"/>
        <c:crosses val="autoZero"/>
        <c:crossBetween val="midCat"/>
      </c:valAx>
      <c:valAx>
        <c:axId val="15435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820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环己醇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180227471566"/>
                  <c:y val="-0.0137270341207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0.00357142857142857</c:v>
                </c:pt>
                <c:pt idx="2">
                  <c:v>0.00714285714285714</c:v>
                </c:pt>
                <c:pt idx="3">
                  <c:v>0.0142857142857143</c:v>
                </c:pt>
                <c:pt idx="4">
                  <c:v>0.0285714285714286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</c:v>
                </c:pt>
                <c:pt idx="1">
                  <c:v>0.207482210907341</c:v>
                </c:pt>
                <c:pt idx="2">
                  <c:v>0.433940165578365</c:v>
                </c:pt>
                <c:pt idx="3">
                  <c:v>0.916754453413183</c:v>
                </c:pt>
                <c:pt idx="4">
                  <c:v>1.85451677469811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377663"/>
        <c:axId val="1770387311"/>
      </c:scatterChart>
      <c:valAx>
        <c:axId val="177037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387311"/>
        <c:crosses val="autoZero"/>
        <c:crossBetween val="midCat"/>
      </c:valAx>
      <c:valAx>
        <c:axId val="17703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037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环辛酮</a:t>
            </a:r>
            <a:endParaRPr lang="en-US" altLang="zh-CN"/>
          </a:p>
        </c:rich>
      </c:tx>
      <c:layout>
        <c:manualLayout>
          <c:xMode val="edge"/>
          <c:yMode val="edge"/>
          <c:x val="0.440910851558958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Sheet1!$E$88</c:f>
              <c:strCache>
                <c:ptCount val="1"/>
                <c:pt idx="0">
                  <c:v>8K/N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Sheet1!$B$89:$B$92</c:f>
              <c:numCache>
                <c:formatCode>General</c:formatCode>
                <c:ptCount val="4"/>
                <c:pt idx="0">
                  <c:v>0.0542285714285714</c:v>
                </c:pt>
                <c:pt idx="1">
                  <c:v>0.0650742857142857</c:v>
                </c:pt>
                <c:pt idx="2">
                  <c:v>0.0867657142857143</c:v>
                </c:pt>
                <c:pt idx="3">
                  <c:v>0.108457142857143</c:v>
                </c:pt>
              </c:numCache>
            </c:numRef>
          </c:xVal>
          <c:yVal>
            <c:numRef>
              <c:f>Sheet1!$E$89:$E$92</c:f>
              <c:numCache>
                <c:formatCode>General</c:formatCode>
                <c:ptCount val="4"/>
                <c:pt idx="0">
                  <c:v>3.12314858960631</c:v>
                </c:pt>
                <c:pt idx="1">
                  <c:v>3.82211913095159</c:v>
                </c:pt>
                <c:pt idx="2">
                  <c:v>5.81447517999242</c:v>
                </c:pt>
                <c:pt idx="3">
                  <c:v>7.74010759339444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37872"/>
        <c:axId val="1617653440"/>
      </c:scatterChart>
      <c:valAx>
        <c:axId val="148753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53440"/>
        <c:crosses val="autoZero"/>
        <c:crossBetween val="midCat"/>
      </c:valAx>
      <c:valAx>
        <c:axId val="16176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75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环庚酮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Sheet1!$B$66:$B$69</c:f>
              <c:numCache>
                <c:formatCode>General</c:formatCode>
                <c:ptCount val="4"/>
                <c:pt idx="0">
                  <c:v>0.0605585714285714</c:v>
                </c:pt>
                <c:pt idx="1">
                  <c:v>0.0726702857142857</c:v>
                </c:pt>
                <c:pt idx="2">
                  <c:v>0.0968937142857143</c:v>
                </c:pt>
                <c:pt idx="3">
                  <c:v>0.121117142857143</c:v>
                </c:pt>
              </c:numCache>
            </c:numRef>
          </c:xVal>
          <c:yVal>
            <c:numRef>
              <c:f>Sheet1!$E$66:$E$69</c:f>
              <c:numCache>
                <c:formatCode>General</c:formatCode>
                <c:ptCount val="4"/>
                <c:pt idx="0">
                  <c:v>3.63771366936839</c:v>
                </c:pt>
                <c:pt idx="1">
                  <c:v>4.15362213564023</c:v>
                </c:pt>
                <c:pt idx="2">
                  <c:v>6.06556650246305</c:v>
                </c:pt>
                <c:pt idx="3">
                  <c:v>7.3899192112317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730992"/>
        <c:axId val="922610288"/>
      </c:scatterChart>
      <c:valAx>
        <c:axId val="180673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610288"/>
        <c:crosses val="autoZero"/>
        <c:crossBetween val="midCat"/>
      </c:valAx>
      <c:valAx>
        <c:axId val="922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67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正己酮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Sheet1!$B$47:$B$50</c:f>
              <c:numCache>
                <c:formatCode>General</c:formatCode>
                <c:ptCount val="4"/>
                <c:pt idx="0">
                  <c:v>1.29142857142857</c:v>
                </c:pt>
                <c:pt idx="1">
                  <c:v>1.13</c:v>
                </c:pt>
                <c:pt idx="2">
                  <c:v>0.968571428571429</c:v>
                </c:pt>
                <c:pt idx="3">
                  <c:v>0.645714285714286</c:v>
                </c:pt>
              </c:numCache>
            </c:numRef>
          </c:xVal>
          <c:yVal>
            <c:numRef>
              <c:f>Sheet1!$F$47:$F$50</c:f>
              <c:numCache>
                <c:formatCode>General</c:formatCode>
                <c:ptCount val="4"/>
                <c:pt idx="0">
                  <c:v>0.434005483170952</c:v>
                </c:pt>
                <c:pt idx="1">
                  <c:v>0.350564692155925</c:v>
                </c:pt>
                <c:pt idx="2">
                  <c:v>0.283142228209088</c:v>
                </c:pt>
                <c:pt idx="3">
                  <c:v>0.171751582544395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411920"/>
        <c:axId val="821470448"/>
      </c:scatterChart>
      <c:valAx>
        <c:axId val="17674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470448"/>
        <c:crosses val="autoZero"/>
        <c:crossBetween val="midCat"/>
      </c:valAx>
      <c:valAx>
        <c:axId val="8214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741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正己醇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Sheet1!$B$47:$B$50</c:f>
              <c:numCache>
                <c:formatCode>General</c:formatCode>
                <c:ptCount val="4"/>
                <c:pt idx="0">
                  <c:v>1.29142857142857</c:v>
                </c:pt>
                <c:pt idx="1">
                  <c:v>1.13</c:v>
                </c:pt>
                <c:pt idx="2">
                  <c:v>0.968571428571429</c:v>
                </c:pt>
                <c:pt idx="3">
                  <c:v>0.645714285714286</c:v>
                </c:pt>
              </c:numCache>
            </c:numRef>
          </c:xVal>
          <c:yVal>
            <c:numRef>
              <c:f>Sheet1!$G$47:$G$50</c:f>
              <c:numCache>
                <c:formatCode>General</c:formatCode>
                <c:ptCount val="4"/>
                <c:pt idx="0">
                  <c:v>0.522946266710723</c:v>
                </c:pt>
                <c:pt idx="1">
                  <c:v>0.44365204737777</c:v>
                </c:pt>
                <c:pt idx="2">
                  <c:v>0.377351396144313</c:v>
                </c:pt>
                <c:pt idx="3">
                  <c:v>0.240354181838552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31456"/>
        <c:axId val="936778064"/>
      </c:scatterChart>
      <c:valAx>
        <c:axId val="10567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6778064"/>
        <c:crosses val="autoZero"/>
        <c:crossBetween val="midCat"/>
      </c:valAx>
      <c:valAx>
        <c:axId val="9367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67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rgbClr val="595959"/>
                </a:solidFill>
                <a:latin typeface="Times New Roman" panose="02020603050405020304" pitchFamily="12"/>
                <a:ea typeface="宋体" panose="02010600030101010101" pitchFamily="7" charset="-122"/>
                <a:cs typeface="Arial" panose="020B0604020202020204"/>
              </a:defRPr>
            </a:pPr>
            <a:r>
              <a:rPr lang="zh-CN" altLang="en-US"/>
              <a:t>环庚醇</a:t>
            </a:r>
            <a:endParaRPr lang="zh-CN"/>
          </a:p>
        </c:rich>
      </c:tx>
      <c:layout/>
      <c:overlay val="0"/>
      <c:spPr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rgbClr val="000000"/>
                      </a:solidFill>
                      <a:latin typeface="Times New Roman" panose="02020603050405020304" pitchFamily="12"/>
                      <a:ea typeface="宋体" panose="02010600030101010101" pitchFamily="7" charset="-122"/>
                      <a:cs typeface="Arial" panose="020B0604020202020204"/>
                    </a:defRPr>
                  </a:pPr>
                </a:p>
              </c:txPr>
            </c:trendlineLbl>
          </c:trendline>
          <c:xVal>
            <c:numRef>
              <c:f>Sheet1!$B$72:$B$75</c:f>
              <c:numCache>
                <c:formatCode>General</c:formatCode>
                <c:ptCount val="4"/>
                <c:pt idx="0">
                  <c:v>0</c:v>
                </c:pt>
                <c:pt idx="1">
                  <c:v>0.0605585714285714</c:v>
                </c:pt>
                <c:pt idx="2">
                  <c:v>0.0726702857142857</c:v>
                </c:pt>
                <c:pt idx="3">
                  <c:v>0.0968937142857143</c:v>
                </c:pt>
              </c:numCache>
            </c:numRef>
          </c:xVal>
          <c:yVal>
            <c:numRef>
              <c:f>Sheet1!$E$72:$E$75</c:f>
              <c:numCache>
                <c:formatCode>General</c:formatCode>
                <c:ptCount val="4"/>
                <c:pt idx="0">
                  <c:v>0</c:v>
                </c:pt>
                <c:pt idx="1">
                  <c:v>5.35731068611107</c:v>
                </c:pt>
                <c:pt idx="2">
                  <c:v>7.00231366368012</c:v>
                </c:pt>
                <c:pt idx="3">
                  <c:v>9.82041901500856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9599"/>
        <c:axId val="1"/>
      </c:scatterChart>
      <c:valAx>
        <c:axId val="354409599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Times New Roman" panose="02020603050405020304" pitchFamily="12"/>
                <a:ea typeface="宋体" panose="02010600030101010101" pitchFamily="7" charset="-122"/>
                <a:cs typeface="Arial" panose="020B0604020202020204"/>
              </a:defRPr>
            </a:pPr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595959"/>
                </a:solidFill>
                <a:latin typeface="Times New Roman" panose="02020603050405020304" pitchFamily="12"/>
                <a:ea typeface="宋体" panose="02010600030101010101" pitchFamily="7" charset="-122"/>
                <a:cs typeface="Arial" panose="020B0604020202020204"/>
              </a:defRPr>
            </a:pPr>
          </a:p>
        </c:txPr>
        <c:crossAx val="354409599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rgbClr val="595959"/>
              </a:solidFill>
              <a:latin typeface="Times New Roman" panose="02020603050405020304" pitchFamily="12"/>
              <a:ea typeface="宋体" panose="02010600030101010101" pitchFamily="7" charset="-122"/>
              <a:cs typeface="Arial" panose="020B06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12700" cap="flat" cmpd="sng" algn="ctr">
      <a:solidFill>
        <a:srgbClr val="D8D8D8"/>
      </a:solidFill>
      <a:prstDash val="solid"/>
      <a:round/>
    </a:ln>
  </c:spPr>
  <c:txPr>
    <a:bodyPr/>
    <a:lstStyle/>
    <a:p>
      <a:pPr>
        <a:defRPr lang="zh-CN" sz="900" b="0" i="0" u="none" strike="noStrike" baseline="0">
          <a:solidFill>
            <a:srgbClr val="000000"/>
          </a:solidFill>
          <a:latin typeface="Times New Roman" panose="02020603050405020304" pitchFamily="12"/>
          <a:ea typeface="宋体" panose="02010600030101010101" pitchFamily="7" charset="-122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环辛醇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Sheet1!$B$95:$B$99</c:f>
              <c:numCache>
                <c:formatCode>General</c:formatCode>
                <c:ptCount val="5"/>
                <c:pt idx="0">
                  <c:v>0</c:v>
                </c:pt>
                <c:pt idx="1">
                  <c:v>0.0605585714285714</c:v>
                </c:pt>
                <c:pt idx="2">
                  <c:v>0.0726702857142857</c:v>
                </c:pt>
                <c:pt idx="3">
                  <c:v>0.0968937142857143</c:v>
                </c:pt>
                <c:pt idx="4">
                  <c:v>0.121117142857143</c:v>
                </c:pt>
              </c:numCache>
            </c:numRef>
          </c:xVal>
          <c:yVal>
            <c:numRef>
              <c:f>Sheet1!$E$95:$E$99</c:f>
              <c:numCache>
                <c:formatCode>General</c:formatCode>
                <c:ptCount val="5"/>
                <c:pt idx="0">
                  <c:v>0</c:v>
                </c:pt>
                <c:pt idx="2">
                  <c:v>7.80313629965527</c:v>
                </c:pt>
                <c:pt idx="3">
                  <c:v>8.96378450656703</c:v>
                </c:pt>
                <c:pt idx="4">
                  <c:v>11.2548785363215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93615"/>
        <c:axId val="1967251055"/>
      </c:scatterChart>
      <c:valAx>
        <c:axId val="73329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7251055"/>
        <c:crosses val="autoZero"/>
        <c:crossBetween val="midCat"/>
      </c:valAx>
      <c:valAx>
        <c:axId val="19672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29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476248</xdr:colOff>
      <xdr:row>7</xdr:row>
      <xdr:rowOff>0</xdr:rowOff>
    </xdr:from>
    <xdr:to>
      <xdr:col>26</xdr:col>
      <xdr:colOff>475295</xdr:colOff>
      <xdr:row>32</xdr:row>
      <xdr:rowOff>0</xdr:rowOff>
    </xdr:to>
    <xdr:graphicFrame>
      <xdr:nvGraphicFramePr>
        <xdr:cNvPr id="4" name="图表 3"/>
        <xdr:cNvGraphicFramePr/>
      </xdr:nvGraphicFramePr>
      <xdr:xfrm>
        <a:off x="15278735" y="1200150"/>
        <a:ext cx="5485765" cy="4286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636550</xdr:colOff>
      <xdr:row>7</xdr:row>
      <xdr:rowOff>0</xdr:rowOff>
    </xdr:from>
    <xdr:to>
      <xdr:col>34</xdr:col>
      <xdr:colOff>631788</xdr:colOff>
      <xdr:row>29</xdr:row>
      <xdr:rowOff>0</xdr:rowOff>
    </xdr:to>
    <xdr:graphicFrame>
      <xdr:nvGraphicFramePr>
        <xdr:cNvPr id="6" name="图表 5"/>
        <xdr:cNvGraphicFramePr/>
      </xdr:nvGraphicFramePr>
      <xdr:xfrm>
        <a:off x="20925790" y="1200150"/>
        <a:ext cx="5481320" cy="377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191037</xdr:colOff>
      <xdr:row>84</xdr:row>
      <xdr:rowOff>92426</xdr:rowOff>
    </xdr:from>
    <xdr:to>
      <xdr:col>28</xdr:col>
      <xdr:colOff>253231</xdr:colOff>
      <xdr:row>100</xdr:row>
      <xdr:rowOff>92426</xdr:rowOff>
    </xdr:to>
    <xdr:graphicFrame>
      <xdr:nvGraphicFramePr>
        <xdr:cNvPr id="3" name="图表 2"/>
        <xdr:cNvGraphicFramePr/>
      </xdr:nvGraphicFramePr>
      <xdr:xfrm>
        <a:off x="17051020" y="14541500"/>
        <a:ext cx="48628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2919</xdr:colOff>
      <xdr:row>59</xdr:row>
      <xdr:rowOff>50762</xdr:rowOff>
    </xdr:from>
    <xdr:to>
      <xdr:col>27</xdr:col>
      <xdr:colOff>85501</xdr:colOff>
      <xdr:row>75</xdr:row>
      <xdr:rowOff>45158</xdr:rowOff>
    </xdr:to>
    <xdr:graphicFrame>
      <xdr:nvGraphicFramePr>
        <xdr:cNvPr id="10" name="图表 9"/>
        <xdr:cNvGraphicFramePr/>
      </xdr:nvGraphicFramePr>
      <xdr:xfrm>
        <a:off x="16177260" y="10165715"/>
        <a:ext cx="4883150" cy="278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316572</xdr:colOff>
      <xdr:row>38</xdr:row>
      <xdr:rowOff>64343</xdr:rowOff>
    </xdr:from>
    <xdr:to>
      <xdr:col>25</xdr:col>
      <xdr:colOff>399439</xdr:colOff>
      <xdr:row>54</xdr:row>
      <xdr:rowOff>64342</xdr:rowOff>
    </xdr:to>
    <xdr:graphicFrame>
      <xdr:nvGraphicFramePr>
        <xdr:cNvPr id="12" name="图表 11"/>
        <xdr:cNvGraphicFramePr/>
      </xdr:nvGraphicFramePr>
      <xdr:xfrm>
        <a:off x="15119350" y="6579235"/>
        <a:ext cx="48837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495909</xdr:colOff>
      <xdr:row>38</xdr:row>
      <xdr:rowOff>76741</xdr:rowOff>
    </xdr:from>
    <xdr:to>
      <xdr:col>32</xdr:col>
      <xdr:colOff>567346</xdr:colOff>
      <xdr:row>54</xdr:row>
      <xdr:rowOff>82344</xdr:rowOff>
    </xdr:to>
    <xdr:graphicFrame>
      <xdr:nvGraphicFramePr>
        <xdr:cNvPr id="5" name="图表 4"/>
        <xdr:cNvGraphicFramePr/>
      </xdr:nvGraphicFramePr>
      <xdr:xfrm>
        <a:off x="20099020" y="6591300"/>
        <a:ext cx="4872355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239726</xdr:colOff>
      <xdr:row>59</xdr:row>
      <xdr:rowOff>130869</xdr:rowOff>
    </xdr:from>
    <xdr:to>
      <xdr:col>20</xdr:col>
      <xdr:colOff>26080</xdr:colOff>
      <xdr:row>75</xdr:row>
      <xdr:rowOff>89405</xdr:rowOff>
    </xdr:to>
    <xdr:graphicFrame>
      <xdr:nvGraphicFramePr>
        <xdr:cNvPr id="9" name="图表"/>
        <xdr:cNvGraphicFramePr/>
      </xdr:nvGraphicFramePr>
      <xdr:xfrm>
        <a:off x="11613515" y="10246360"/>
        <a:ext cx="458724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3402</xdr:colOff>
      <xdr:row>84</xdr:row>
      <xdr:rowOff>159202</xdr:rowOff>
    </xdr:from>
    <xdr:to>
      <xdr:col>21</xdr:col>
      <xdr:colOff>51026</xdr:colOff>
      <xdr:row>101</xdr:row>
      <xdr:rowOff>10884</xdr:rowOff>
    </xdr:to>
    <xdr:graphicFrame>
      <xdr:nvGraphicFramePr>
        <xdr:cNvPr id="7" name="图表 6"/>
        <xdr:cNvGraphicFramePr/>
      </xdr:nvGraphicFramePr>
      <xdr:xfrm>
        <a:off x="12063095" y="14608175"/>
        <a:ext cx="4848225" cy="2766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"/>
  <sheetViews>
    <sheetView tabSelected="1" zoomScale="70" zoomScaleNormal="70" workbookViewId="0">
      <selection activeCell="Q3" sqref="Q3"/>
    </sheetView>
  </sheetViews>
  <sheetFormatPr defaultColWidth="9" defaultRowHeight="13.5"/>
  <cols>
    <col min="1" max="1" width="20.6" customWidth="1"/>
    <col min="2" max="2" width="9" customWidth="1"/>
    <col min="6" max="7" width="11.7333333333333" customWidth="1"/>
    <col min="9" max="9" width="16.4666666666667" customWidth="1"/>
    <col min="10" max="10" width="16.7333333333333" customWidth="1"/>
  </cols>
  <sheetData>
    <row r="1" spans="2:18">
      <c r="B1" t="s">
        <v>0</v>
      </c>
      <c r="C1" s="2" t="s">
        <v>1</v>
      </c>
      <c r="D1" s="2" t="s">
        <v>2</v>
      </c>
      <c r="E1" s="2" t="s">
        <v>3</v>
      </c>
      <c r="F1" t="s">
        <v>4</v>
      </c>
      <c r="G1" t="s">
        <v>5</v>
      </c>
      <c r="I1" s="4" t="s">
        <v>6</v>
      </c>
      <c r="J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</row>
    <row r="2" customFormat="1" spans="2:7">
      <c r="B2">
        <v>0</v>
      </c>
      <c r="C2" s="3"/>
      <c r="D2" s="2"/>
      <c r="E2" s="2"/>
      <c r="F2">
        <v>0</v>
      </c>
      <c r="G2">
        <v>0</v>
      </c>
    </row>
    <row r="3" spans="1:7">
      <c r="A3">
        <v>1</v>
      </c>
      <c r="B3" s="4">
        <f>0.0025/0.7</f>
        <v>0.00357142857142857</v>
      </c>
      <c r="C3">
        <v>282617</v>
      </c>
      <c r="D3">
        <v>43890</v>
      </c>
      <c r="E3">
        <v>58638</v>
      </c>
      <c r="F3">
        <f t="shared" ref="F3:F6" si="0">D3/C3</f>
        <v>0.155298513535987</v>
      </c>
      <c r="G3">
        <f t="shared" ref="G3:G6" si="1">E3/C3</f>
        <v>0.207482210907341</v>
      </c>
    </row>
    <row r="4" spans="1:7">
      <c r="A4">
        <v>2</v>
      </c>
      <c r="B4">
        <f>0.005/0.7</f>
        <v>0.00714285714285714</v>
      </c>
      <c r="C4">
        <v>323593</v>
      </c>
      <c r="D4">
        <v>103237</v>
      </c>
      <c r="E4">
        <v>140420</v>
      </c>
      <c r="F4">
        <f t="shared" si="0"/>
        <v>0.319033477238383</v>
      </c>
      <c r="G4">
        <f t="shared" si="1"/>
        <v>0.433940165578365</v>
      </c>
    </row>
    <row r="5" spans="1:7">
      <c r="A5">
        <v>3</v>
      </c>
      <c r="B5">
        <f>0.01/0.7</f>
        <v>0.0142857142857143</v>
      </c>
      <c r="C5">
        <v>295223</v>
      </c>
      <c r="D5">
        <v>187689</v>
      </c>
      <c r="E5">
        <v>270647</v>
      </c>
      <c r="F5">
        <f t="shared" si="0"/>
        <v>0.635753311903205</v>
      </c>
      <c r="G5">
        <f t="shared" si="1"/>
        <v>0.916754453413183</v>
      </c>
    </row>
    <row r="6" spans="1:7">
      <c r="A6">
        <v>4</v>
      </c>
      <c r="B6">
        <f>0.02/0.7</f>
        <v>0.0285714285714286</v>
      </c>
      <c r="C6">
        <v>377205</v>
      </c>
      <c r="D6">
        <v>508324</v>
      </c>
      <c r="E6">
        <v>699533</v>
      </c>
      <c r="F6">
        <f t="shared" si="0"/>
        <v>1.34760673904111</v>
      </c>
      <c r="G6">
        <f t="shared" si="1"/>
        <v>1.85451677469811</v>
      </c>
    </row>
    <row r="8" customFormat="1" spans="1:18">
      <c r="A8" s="4" t="s">
        <v>14</v>
      </c>
      <c r="B8" s="4"/>
      <c r="C8">
        <v>259828</v>
      </c>
      <c r="D8">
        <v>229480</v>
      </c>
      <c r="E8">
        <v>43196</v>
      </c>
      <c r="F8">
        <f t="shared" ref="F8:F17" si="2">D8/C8</f>
        <v>0.883199655156488</v>
      </c>
      <c r="G8">
        <f t="shared" ref="G8:G11" si="3">E8/C8</f>
        <v>0.166248441276537</v>
      </c>
      <c r="I8">
        <f t="shared" ref="I8:I17" si="4">(F8+0.0143)/47.209</f>
        <v>0.0190111981858647</v>
      </c>
      <c r="J8">
        <f>(G8+0.018)/65.383</f>
        <v>0.00281798695802482</v>
      </c>
      <c r="K8">
        <f t="shared" ref="K8:K17" si="5">I8*70</f>
        <v>1.33078387301053</v>
      </c>
      <c r="L8">
        <f>J8*70</f>
        <v>0.197259087061737</v>
      </c>
      <c r="M8">
        <f t="shared" ref="M8:M17" si="6">K8*4000/900</f>
        <v>5.91459499115792</v>
      </c>
      <c r="N8">
        <f>L8*4000/900</f>
        <v>0.876707053607722</v>
      </c>
      <c r="O8">
        <f t="shared" ref="O8:O17" si="7">M8+N8</f>
        <v>6.79130204476564</v>
      </c>
      <c r="P8">
        <f>(M8/O8)*100</f>
        <v>87.0907368303043</v>
      </c>
      <c r="Q8">
        <f>(N8/O8)*100</f>
        <v>12.9092631696957</v>
      </c>
      <c r="R8">
        <f t="shared" ref="R8:R17" si="8">(O8/1900)*100</f>
        <v>0.357436949724507</v>
      </c>
    </row>
    <row r="9" customFormat="1" spans="1:18">
      <c r="A9" s="4" t="s">
        <v>15</v>
      </c>
      <c r="B9" s="4"/>
      <c r="C9">
        <v>70837</v>
      </c>
      <c r="D9">
        <v>14426</v>
      </c>
      <c r="E9">
        <v>62355</v>
      </c>
      <c r="F9">
        <f t="shared" si="2"/>
        <v>0.203650634555388</v>
      </c>
      <c r="G9">
        <f t="shared" si="3"/>
        <v>0.880260315936587</v>
      </c>
      <c r="I9">
        <f t="shared" si="4"/>
        <v>0.00461671788335673</v>
      </c>
      <c r="J9">
        <f>(G9+0.018)/65.383</f>
        <v>0.0137384383698605</v>
      </c>
      <c r="K9">
        <f t="shared" si="5"/>
        <v>0.323170251834971</v>
      </c>
      <c r="L9">
        <f>J9*70</f>
        <v>0.961690685890233</v>
      </c>
      <c r="M9">
        <f t="shared" si="6"/>
        <v>1.43631223037765</v>
      </c>
      <c r="N9">
        <f>L9*4000/900</f>
        <v>4.27418082617881</v>
      </c>
      <c r="O9">
        <f t="shared" si="7"/>
        <v>5.71049305655646</v>
      </c>
      <c r="P9">
        <f>(M9/O9)*100</f>
        <v>25.1521578986697</v>
      </c>
      <c r="Q9">
        <f>(N9/O9)*100</f>
        <v>74.8478421013303</v>
      </c>
      <c r="R9">
        <f>(O9/13902)*100</f>
        <v>0.0410767735329914</v>
      </c>
    </row>
    <row r="10" spans="1:18">
      <c r="A10" s="4" t="s">
        <v>16</v>
      </c>
      <c r="C10">
        <v>298867</v>
      </c>
      <c r="D10">
        <v>113480</v>
      </c>
      <c r="E10">
        <v>0</v>
      </c>
      <c r="F10">
        <f t="shared" si="2"/>
        <v>0.379700669528586</v>
      </c>
      <c r="G10">
        <f t="shared" si="3"/>
        <v>0</v>
      </c>
      <c r="I10">
        <f t="shared" si="4"/>
        <v>0.00834588043653935</v>
      </c>
      <c r="J10">
        <f>(G10+0.018)/65.383</f>
        <v>0.00027530091919918</v>
      </c>
      <c r="K10">
        <f t="shared" si="5"/>
        <v>0.584211630557755</v>
      </c>
      <c r="L10">
        <f>J10*70</f>
        <v>0.0192710643439426</v>
      </c>
      <c r="M10">
        <f t="shared" si="6"/>
        <v>2.59649613581224</v>
      </c>
      <c r="N10">
        <f>L10*4000/900</f>
        <v>0.0856491748619672</v>
      </c>
      <c r="O10">
        <f t="shared" si="7"/>
        <v>2.68214531067421</v>
      </c>
      <c r="P10">
        <f>(M10/O10)*100</f>
        <v>96.8066914748762</v>
      </c>
      <c r="Q10">
        <f>(N10/O10)*100</f>
        <v>3.19330852512378</v>
      </c>
      <c r="R10">
        <f t="shared" si="8"/>
        <v>0.141165542667064</v>
      </c>
    </row>
    <row r="11" customFormat="1" spans="1:18">
      <c r="A11" s="4" t="s">
        <v>17</v>
      </c>
      <c r="C11">
        <v>405851</v>
      </c>
      <c r="D11">
        <v>173599</v>
      </c>
      <c r="E11">
        <v>0</v>
      </c>
      <c r="F11">
        <f t="shared" si="2"/>
        <v>0.427740722580454</v>
      </c>
      <c r="G11">
        <f t="shared" si="3"/>
        <v>0</v>
      </c>
      <c r="I11">
        <f t="shared" si="4"/>
        <v>0.00936348413608537</v>
      </c>
      <c r="J11">
        <f>(G11+0.018)/65.383</f>
        <v>0.00027530091919918</v>
      </c>
      <c r="K11">
        <f t="shared" si="5"/>
        <v>0.655443889525976</v>
      </c>
      <c r="L11">
        <f>J11*70</f>
        <v>0.0192710643439426</v>
      </c>
      <c r="M11">
        <f t="shared" si="6"/>
        <v>2.91308395344878</v>
      </c>
      <c r="N11">
        <f>L11*4000/900</f>
        <v>0.0856491748619672</v>
      </c>
      <c r="O11">
        <f t="shared" si="7"/>
        <v>2.99873312831075</v>
      </c>
      <c r="P11">
        <f>(M11/O11)*100</f>
        <v>97.143821367318</v>
      </c>
      <c r="Q11">
        <f>(N11/O11)*100</f>
        <v>2.85617863268197</v>
      </c>
      <c r="R11">
        <f t="shared" si="8"/>
        <v>0.157828059384776</v>
      </c>
    </row>
    <row r="12" customFormat="1" spans="1:18">
      <c r="A12" s="4" t="s">
        <v>18</v>
      </c>
      <c r="C12">
        <v>205817</v>
      </c>
      <c r="D12">
        <v>25294</v>
      </c>
      <c r="E12">
        <v>0</v>
      </c>
      <c r="F12">
        <f t="shared" si="2"/>
        <v>0.1228955819976</v>
      </c>
      <c r="G12">
        <v>0</v>
      </c>
      <c r="I12">
        <f t="shared" si="4"/>
        <v>0.0029061319239467</v>
      </c>
      <c r="J12">
        <v>0</v>
      </c>
      <c r="K12">
        <f t="shared" si="5"/>
        <v>0.203429234676269</v>
      </c>
      <c r="L12">
        <v>0</v>
      </c>
      <c r="M12">
        <f t="shared" si="6"/>
        <v>0.904129931894529</v>
      </c>
      <c r="N12">
        <v>0</v>
      </c>
      <c r="O12">
        <f t="shared" si="7"/>
        <v>0.904129931894529</v>
      </c>
      <c r="P12">
        <f t="shared" ref="P12:P17" si="9">(M12/O12)*100</f>
        <v>100</v>
      </c>
      <c r="Q12">
        <f t="shared" ref="Q12:Q17" si="10">(N12/O12)*100</f>
        <v>0</v>
      </c>
      <c r="R12">
        <f t="shared" si="8"/>
        <v>0.0475857858891858</v>
      </c>
    </row>
    <row r="13" customFormat="1" spans="3:18">
      <c r="C13">
        <v>205817</v>
      </c>
      <c r="D13">
        <v>14782</v>
      </c>
      <c r="E13">
        <v>0</v>
      </c>
      <c r="F13">
        <f t="shared" si="2"/>
        <v>0.0718210837783079</v>
      </c>
      <c r="G13">
        <v>0</v>
      </c>
      <c r="I13">
        <f t="shared" si="4"/>
        <v>0.00182425138804694</v>
      </c>
      <c r="J13">
        <v>0</v>
      </c>
      <c r="K13">
        <f t="shared" si="5"/>
        <v>0.127697597163286</v>
      </c>
      <c r="L13">
        <v>0</v>
      </c>
      <c r="M13">
        <f t="shared" si="6"/>
        <v>0.56754487628127</v>
      </c>
      <c r="N13">
        <v>0</v>
      </c>
      <c r="O13">
        <f t="shared" si="7"/>
        <v>0.56754487628127</v>
      </c>
      <c r="P13">
        <f t="shared" si="9"/>
        <v>100</v>
      </c>
      <c r="Q13">
        <f t="shared" si="10"/>
        <v>0</v>
      </c>
      <c r="R13">
        <f t="shared" si="8"/>
        <v>0.0298707829621721</v>
      </c>
    </row>
    <row r="14" customFormat="1" spans="3:18">
      <c r="C14">
        <v>205817</v>
      </c>
      <c r="D14">
        <v>195859</v>
      </c>
      <c r="E14">
        <v>0</v>
      </c>
      <c r="F14">
        <f t="shared" si="2"/>
        <v>0.951617213349723</v>
      </c>
      <c r="G14">
        <v>0</v>
      </c>
      <c r="I14">
        <f t="shared" si="4"/>
        <v>0.0204604463841582</v>
      </c>
      <c r="J14">
        <v>0</v>
      </c>
      <c r="K14">
        <f t="shared" si="5"/>
        <v>1.43223124689107</v>
      </c>
      <c r="L14">
        <v>0</v>
      </c>
      <c r="M14">
        <f t="shared" si="6"/>
        <v>6.36547220840477</v>
      </c>
      <c r="N14">
        <v>0</v>
      </c>
      <c r="O14">
        <f t="shared" si="7"/>
        <v>6.36547220840477</v>
      </c>
      <c r="P14">
        <f t="shared" si="9"/>
        <v>100</v>
      </c>
      <c r="Q14">
        <f t="shared" si="10"/>
        <v>0</v>
      </c>
      <c r="R14">
        <f t="shared" si="8"/>
        <v>0.335024853073935</v>
      </c>
    </row>
    <row r="15" customFormat="1" spans="3:18">
      <c r="C15">
        <v>205817</v>
      </c>
      <c r="D15">
        <v>34525</v>
      </c>
      <c r="E15">
        <v>0</v>
      </c>
      <c r="F15">
        <f t="shared" si="2"/>
        <v>0.167746104549187</v>
      </c>
      <c r="G15">
        <v>0</v>
      </c>
      <c r="I15">
        <f t="shared" si="4"/>
        <v>0.00385617370732672</v>
      </c>
      <c r="J15">
        <v>0</v>
      </c>
      <c r="K15">
        <f t="shared" si="5"/>
        <v>0.26993215951287</v>
      </c>
      <c r="L15">
        <v>0</v>
      </c>
      <c r="M15">
        <f t="shared" si="6"/>
        <v>1.19969848672387</v>
      </c>
      <c r="N15">
        <v>0</v>
      </c>
      <c r="O15">
        <f t="shared" si="7"/>
        <v>1.19969848672387</v>
      </c>
      <c r="P15">
        <f t="shared" si="9"/>
        <v>100</v>
      </c>
      <c r="Q15">
        <f t="shared" si="10"/>
        <v>0</v>
      </c>
      <c r="R15">
        <f t="shared" si="8"/>
        <v>0.0631420256170456</v>
      </c>
    </row>
    <row r="16" customFormat="1" spans="3:18">
      <c r="C16">
        <v>205817</v>
      </c>
      <c r="D16">
        <v>33804</v>
      </c>
      <c r="E16">
        <v>0</v>
      </c>
      <c r="F16">
        <f t="shared" si="2"/>
        <v>0.164242992561353</v>
      </c>
      <c r="G16">
        <v>0</v>
      </c>
      <c r="I16">
        <f t="shared" si="4"/>
        <v>0.003781969382138</v>
      </c>
      <c r="J16">
        <v>0</v>
      </c>
      <c r="K16">
        <f t="shared" si="5"/>
        <v>0.26473785674966</v>
      </c>
      <c r="L16">
        <v>0</v>
      </c>
      <c r="M16">
        <f t="shared" si="6"/>
        <v>1.17661269666516</v>
      </c>
      <c r="N16">
        <v>0</v>
      </c>
      <c r="O16">
        <f t="shared" si="7"/>
        <v>1.17661269666516</v>
      </c>
      <c r="P16">
        <f t="shared" si="9"/>
        <v>100</v>
      </c>
      <c r="Q16">
        <f t="shared" si="10"/>
        <v>0</v>
      </c>
      <c r="R16">
        <f t="shared" si="8"/>
        <v>0.0619269840350083</v>
      </c>
    </row>
    <row r="17" customFormat="1" spans="3:18">
      <c r="C17">
        <v>205817</v>
      </c>
      <c r="D17">
        <v>58027</v>
      </c>
      <c r="E17">
        <v>0</v>
      </c>
      <c r="F17">
        <f t="shared" si="2"/>
        <v>0.2819349227712</v>
      </c>
      <c r="G17">
        <v>0</v>
      </c>
      <c r="I17">
        <f t="shared" si="4"/>
        <v>0.00627496712006608</v>
      </c>
      <c r="J17">
        <v>0</v>
      </c>
      <c r="K17">
        <f t="shared" si="5"/>
        <v>0.439247698404626</v>
      </c>
      <c r="L17">
        <v>0</v>
      </c>
      <c r="M17">
        <f t="shared" si="6"/>
        <v>1.95221199290945</v>
      </c>
      <c r="N17">
        <v>0</v>
      </c>
      <c r="O17">
        <f t="shared" si="7"/>
        <v>1.95221199290945</v>
      </c>
      <c r="P17">
        <f t="shared" si="9"/>
        <v>100</v>
      </c>
      <c r="Q17">
        <f t="shared" si="10"/>
        <v>0</v>
      </c>
      <c r="R17">
        <f t="shared" si="8"/>
        <v>0.102747999626813</v>
      </c>
    </row>
    <row r="18" customFormat="1" spans="1:3">
      <c r="A18" s="4" t="s">
        <v>19</v>
      </c>
      <c r="C18" s="4" t="s">
        <v>20</v>
      </c>
    </row>
    <row r="19" customFormat="1" spans="1:3">
      <c r="A19" s="4"/>
      <c r="C19" s="4"/>
    </row>
    <row r="20" customFormat="1" spans="1:1">
      <c r="A20" s="4" t="s">
        <v>21</v>
      </c>
    </row>
    <row r="21" customFormat="1" spans="1:18">
      <c r="A21" s="4" t="s">
        <v>22</v>
      </c>
      <c r="C21">
        <v>195073</v>
      </c>
      <c r="D21">
        <v>78994</v>
      </c>
      <c r="E21">
        <v>40614</v>
      </c>
      <c r="F21">
        <f>D21/C21</f>
        <v>0.404945840787808</v>
      </c>
      <c r="G21">
        <f>E21/C21</f>
        <v>0.208198981919589</v>
      </c>
      <c r="I21">
        <f>(F21+0.0143)/47.209</f>
        <v>0.00888063379414535</v>
      </c>
      <c r="J21">
        <f>(G21+0.018)/65.383</f>
        <v>0.00345959931357676</v>
      </c>
      <c r="K21">
        <f t="shared" ref="K21:L23" si="11">I21*70</f>
        <v>0.621644365590174</v>
      </c>
      <c r="L21">
        <f t="shared" si="11"/>
        <v>0.242171951950373</v>
      </c>
      <c r="M21">
        <f t="shared" ref="M21:N23" si="12">K21*4000/900</f>
        <v>2.76286384706744</v>
      </c>
      <c r="N21">
        <f t="shared" si="12"/>
        <v>1.0763197864461</v>
      </c>
      <c r="O21">
        <f>M21+N21</f>
        <v>3.83918363351354</v>
      </c>
      <c r="P21">
        <f>(M21/O21)*100</f>
        <v>71.9648787557193</v>
      </c>
      <c r="Q21">
        <f>(N21/O21)*100</f>
        <v>28.0351212442807</v>
      </c>
      <c r="R21">
        <f>(O21/1900)*100</f>
        <v>0.202062296500713</v>
      </c>
    </row>
    <row r="22" customFormat="1" spans="1:18">
      <c r="A22" s="5" t="s">
        <v>23</v>
      </c>
      <c r="B22" s="5" t="s">
        <v>24</v>
      </c>
      <c r="C22" s="6">
        <v>325512</v>
      </c>
      <c r="D22" s="6">
        <v>1081</v>
      </c>
      <c r="E22" s="6"/>
      <c r="F22" s="6">
        <f>D22/C22</f>
        <v>0.00332092211654255</v>
      </c>
      <c r="G22" s="6">
        <f>E22/C22</f>
        <v>0</v>
      </c>
      <c r="H22" s="6"/>
      <c r="I22" s="6">
        <f>(F22+0.0143)/47.209</f>
        <v>0.000373253449904521</v>
      </c>
      <c r="J22" s="6">
        <v>0</v>
      </c>
      <c r="K22" s="6">
        <f t="shared" si="11"/>
        <v>0.0261277414933165</v>
      </c>
      <c r="L22" s="6">
        <f t="shared" si="11"/>
        <v>0</v>
      </c>
      <c r="M22" s="6">
        <f t="shared" si="12"/>
        <v>0.116123295525851</v>
      </c>
      <c r="N22" s="6">
        <f t="shared" si="12"/>
        <v>0</v>
      </c>
      <c r="O22" s="6">
        <f>M22+N22</f>
        <v>0.116123295525851</v>
      </c>
      <c r="P22" s="6">
        <f>(M22/O22)*100</f>
        <v>100</v>
      </c>
      <c r="Q22" s="6">
        <f>(N22/O22)*100</f>
        <v>0</v>
      </c>
      <c r="R22" s="6">
        <f>(O22/1900)*100</f>
        <v>0.00611175239609743</v>
      </c>
    </row>
    <row r="23" customFormat="1" spans="1:18">
      <c r="A23" s="4" t="s">
        <v>25</v>
      </c>
      <c r="C23">
        <v>306111</v>
      </c>
      <c r="D23">
        <v>43714</v>
      </c>
      <c r="E23">
        <v>18364</v>
      </c>
      <c r="F23">
        <f>D23/C23</f>
        <v>0.142804407551509</v>
      </c>
      <c r="G23">
        <f>E23/C23</f>
        <v>0.0599913103416734</v>
      </c>
      <c r="I23">
        <f>(F23+0.0143)/47.209</f>
        <v>0.00332784866342242</v>
      </c>
      <c r="J23">
        <f>(G23+0.018)/65.383</f>
        <v>0.00119283774592285</v>
      </c>
      <c r="K23">
        <f t="shared" si="11"/>
        <v>0.232949406439569</v>
      </c>
      <c r="L23">
        <f t="shared" si="11"/>
        <v>0.0834986422145992</v>
      </c>
      <c r="M23">
        <f t="shared" si="12"/>
        <v>1.03533069528698</v>
      </c>
      <c r="N23">
        <f t="shared" si="12"/>
        <v>0.37110507650933</v>
      </c>
      <c r="O23">
        <f>M23+N23</f>
        <v>1.40643577179631</v>
      </c>
      <c r="P23">
        <f>(M23/O23)*100</f>
        <v>73.6137914043986</v>
      </c>
      <c r="Q23">
        <f>(N23/O23)*100</f>
        <v>26.3862085956014</v>
      </c>
      <c r="R23">
        <f>(O23/1900)*100</f>
        <v>0.0740229353577003</v>
      </c>
    </row>
    <row r="24" customFormat="1" spans="1:3">
      <c r="A24" s="4" t="s">
        <v>26</v>
      </c>
      <c r="C24" s="4" t="s">
        <v>20</v>
      </c>
    </row>
    <row r="25" customFormat="1" spans="1:18">
      <c r="A25" s="5" t="s">
        <v>27</v>
      </c>
      <c r="B25" s="6"/>
      <c r="C25" s="6">
        <v>196056</v>
      </c>
      <c r="D25" s="6">
        <v>3806</v>
      </c>
      <c r="E25" s="6"/>
      <c r="F25" s="6">
        <f t="shared" ref="F25:F28" si="13">D25/C25</f>
        <v>0.0194128208267026</v>
      </c>
      <c r="G25" s="6">
        <f t="shared" ref="G25:G28" si="14">E25/C25</f>
        <v>0</v>
      </c>
      <c r="H25" s="6"/>
      <c r="I25" s="6">
        <f t="shared" ref="I25:I28" si="15">(F25+0.0143)/47.209</f>
        <v>0.000714118511866436</v>
      </c>
      <c r="J25" s="6">
        <v>0</v>
      </c>
      <c r="K25" s="6">
        <f t="shared" ref="K25:K28" si="16">I25*70</f>
        <v>0.0499882958306505</v>
      </c>
      <c r="L25" s="6">
        <f t="shared" ref="L25:L28" si="17">J25*70</f>
        <v>0</v>
      </c>
      <c r="M25" s="6">
        <f t="shared" ref="M25:M28" si="18">K25*4000/900</f>
        <v>0.22217020369178</v>
      </c>
      <c r="N25" s="6">
        <f t="shared" ref="N25:N28" si="19">L25*4000/900</f>
        <v>0</v>
      </c>
      <c r="O25" s="6">
        <f t="shared" ref="O25:O28" si="20">M25+N25</f>
        <v>0.22217020369178</v>
      </c>
      <c r="P25" s="6">
        <f t="shared" ref="P25:P28" si="21">(M25/O25)*100</f>
        <v>100</v>
      </c>
      <c r="Q25" s="6">
        <f t="shared" ref="Q25:Q28" si="22">(N25/O25)*100</f>
        <v>0</v>
      </c>
      <c r="R25" s="6">
        <f t="shared" ref="R25:R28" si="23">(O25/1900)*100</f>
        <v>0.0116931686153568</v>
      </c>
    </row>
    <row r="26" customFormat="1" spans="1:18">
      <c r="A26" s="5" t="s">
        <v>24</v>
      </c>
      <c r="B26" s="6"/>
      <c r="C26" s="6">
        <v>196056</v>
      </c>
      <c r="D26" s="6">
        <v>1247</v>
      </c>
      <c r="E26" s="6"/>
      <c r="F26" s="6">
        <f t="shared" si="13"/>
        <v>0.00636042763292121</v>
      </c>
      <c r="G26" s="6">
        <f t="shared" si="14"/>
        <v>0</v>
      </c>
      <c r="H26" s="6"/>
      <c r="I26" s="6">
        <f t="shared" si="15"/>
        <v>0.000437637476602368</v>
      </c>
      <c r="J26" s="6">
        <v>0</v>
      </c>
      <c r="K26" s="6">
        <f t="shared" si="16"/>
        <v>0.0306346233621658</v>
      </c>
      <c r="L26" s="6">
        <f t="shared" si="17"/>
        <v>0</v>
      </c>
      <c r="M26" s="6">
        <f t="shared" si="18"/>
        <v>0.136153881609626</v>
      </c>
      <c r="N26" s="6">
        <f t="shared" si="19"/>
        <v>0</v>
      </c>
      <c r="O26" s="6">
        <f t="shared" si="20"/>
        <v>0.136153881609626</v>
      </c>
      <c r="P26" s="6">
        <f t="shared" si="21"/>
        <v>100</v>
      </c>
      <c r="Q26" s="6">
        <f t="shared" si="22"/>
        <v>0</v>
      </c>
      <c r="R26" s="6">
        <f t="shared" si="23"/>
        <v>0.00716599376892767</v>
      </c>
    </row>
    <row r="27" customFormat="1" spans="1:18">
      <c r="A27" s="4" t="s">
        <v>28</v>
      </c>
      <c r="C27">
        <v>345614</v>
      </c>
      <c r="D27">
        <v>11715</v>
      </c>
      <c r="E27">
        <v>5237</v>
      </c>
      <c r="F27">
        <f t="shared" si="13"/>
        <v>0.0338961963346392</v>
      </c>
      <c r="G27">
        <f t="shared" si="14"/>
        <v>0.0151527426551008</v>
      </c>
      <c r="I27">
        <f t="shared" si="15"/>
        <v>0.0010209111892783</v>
      </c>
      <c r="J27">
        <f>(G27+0.018)/65.383</f>
        <v>0.000507054473717951</v>
      </c>
      <c r="K27">
        <f t="shared" si="16"/>
        <v>0.0714637832494809</v>
      </c>
      <c r="L27">
        <f t="shared" si="17"/>
        <v>0.0354938131602566</v>
      </c>
      <c r="M27">
        <f t="shared" si="18"/>
        <v>0.317616814442137</v>
      </c>
      <c r="N27">
        <f t="shared" si="19"/>
        <v>0.157750280712251</v>
      </c>
      <c r="O27">
        <f t="shared" si="20"/>
        <v>0.475367095154389</v>
      </c>
      <c r="P27">
        <f t="shared" si="21"/>
        <v>66.815060966511</v>
      </c>
      <c r="Q27">
        <f t="shared" si="22"/>
        <v>33.184939033489</v>
      </c>
      <c r="R27">
        <f t="shared" si="23"/>
        <v>0.0250193207975994</v>
      </c>
    </row>
    <row r="28" customFormat="1" spans="1:18">
      <c r="A28" s="4" t="s">
        <v>29</v>
      </c>
      <c r="C28">
        <v>241382</v>
      </c>
      <c r="D28">
        <v>13144</v>
      </c>
      <c r="E28">
        <v>9657</v>
      </c>
      <c r="F28">
        <f t="shared" si="13"/>
        <v>0.0544531075225162</v>
      </c>
      <c r="G28">
        <f t="shared" si="14"/>
        <v>0.0400071256348858</v>
      </c>
      <c r="I28">
        <f t="shared" si="15"/>
        <v>0.00145635593896325</v>
      </c>
      <c r="J28">
        <f>(G28+0.018)/65.383</f>
        <v>0.000887189722632577</v>
      </c>
      <c r="K28">
        <f t="shared" si="16"/>
        <v>0.101944915727428</v>
      </c>
      <c r="L28">
        <f t="shared" si="17"/>
        <v>0.0621032805842804</v>
      </c>
      <c r="M28">
        <f t="shared" si="18"/>
        <v>0.453088514344123</v>
      </c>
      <c r="N28">
        <f t="shared" si="19"/>
        <v>0.276014580374579</v>
      </c>
      <c r="O28">
        <f t="shared" si="20"/>
        <v>0.729103094718702</v>
      </c>
      <c r="P28">
        <f t="shared" si="21"/>
        <v>62.1432713187057</v>
      </c>
      <c r="Q28">
        <f t="shared" si="22"/>
        <v>37.8567286812943</v>
      </c>
      <c r="R28">
        <f t="shared" si="23"/>
        <v>0.038373847090458</v>
      </c>
    </row>
    <row r="29" customFormat="1" spans="1:18">
      <c r="A29" s="4" t="s">
        <v>30</v>
      </c>
      <c r="C29">
        <v>272286</v>
      </c>
      <c r="D29">
        <v>126588</v>
      </c>
      <c r="E29">
        <v>69727</v>
      </c>
      <c r="F29">
        <f t="shared" ref="F29:F35" si="24">D29/C29</f>
        <v>0.464908221502391</v>
      </c>
      <c r="G29">
        <f t="shared" ref="G29:G35" si="25">E29/C29</f>
        <v>0.256080004113322</v>
      </c>
      <c r="I29">
        <f t="shared" ref="I29:I35" si="26">(F29+0.0143)/47.209</f>
        <v>0.0101507810269735</v>
      </c>
      <c r="J29">
        <f t="shared" ref="J29:J32" si="27">(G29+0.018)/65.383</f>
        <v>0.00419191539258404</v>
      </c>
      <c r="K29">
        <f t="shared" ref="K29:L35" si="28">I29*70</f>
        <v>0.710554671888143</v>
      </c>
      <c r="L29">
        <f t="shared" si="28"/>
        <v>0.293434077480883</v>
      </c>
      <c r="M29">
        <f t="shared" ref="M29:N35" si="29">K29*4000/900</f>
        <v>3.1580207639473</v>
      </c>
      <c r="N29">
        <f t="shared" si="29"/>
        <v>1.30415145547059</v>
      </c>
      <c r="O29">
        <f t="shared" ref="O29:O32" si="30">M29+N29</f>
        <v>4.46217221941789</v>
      </c>
      <c r="P29">
        <f t="shared" ref="P29:P32" si="31">(M29/O29)*100</f>
        <v>70.7731707486467</v>
      </c>
      <c r="Q29">
        <f t="shared" ref="Q29:Q32" si="32">(N29/O29)*100</f>
        <v>29.2268292513533</v>
      </c>
      <c r="R29">
        <f t="shared" ref="R29:R32" si="33">(O29/1900)*100</f>
        <v>0.234851169443047</v>
      </c>
    </row>
    <row r="30" customFormat="1" spans="1:18">
      <c r="A30" s="4"/>
      <c r="C30">
        <v>272286</v>
      </c>
      <c r="D30">
        <v>58409</v>
      </c>
      <c r="F30">
        <f t="shared" ref="F30" si="34">D30/C30</f>
        <v>0.214513416040487</v>
      </c>
      <c r="G30">
        <f t="shared" ref="G30" si="35">E30/C30</f>
        <v>0</v>
      </c>
      <c r="I30">
        <f t="shared" ref="I30" si="36">(F30+0.0143)/47.209</f>
        <v>0.00484681768392652</v>
      </c>
      <c r="J30">
        <v>0</v>
      </c>
      <c r="K30">
        <f t="shared" ref="K30" si="37">I30*70</f>
        <v>0.339277237874856</v>
      </c>
      <c r="L30">
        <f t="shared" ref="L30" si="38">J30*70</f>
        <v>0</v>
      </c>
      <c r="M30">
        <f t="shared" ref="M30" si="39">K30*4000/900</f>
        <v>1.50789883499936</v>
      </c>
      <c r="N30">
        <f t="shared" ref="N30" si="40">L30*4000/900</f>
        <v>0</v>
      </c>
      <c r="O30">
        <f t="shared" ref="O30" si="41">M30+N30</f>
        <v>1.50789883499936</v>
      </c>
      <c r="P30">
        <f t="shared" ref="P30" si="42">(M30/O30)*100</f>
        <v>100</v>
      </c>
      <c r="Q30">
        <f t="shared" ref="Q30" si="43">(N30/O30)*100</f>
        <v>0</v>
      </c>
      <c r="R30">
        <f t="shared" ref="R30" si="44">(O30/1900)*100</f>
        <v>0.0793630965789137</v>
      </c>
    </row>
    <row r="31" s="1" customFormat="1" spans="1:3">
      <c r="A31" s="7" t="s">
        <v>31</v>
      </c>
      <c r="C31" s="7" t="s">
        <v>20</v>
      </c>
    </row>
    <row r="32" customFormat="1" spans="1:18">
      <c r="A32" s="4" t="s">
        <v>32</v>
      </c>
      <c r="C32">
        <v>245548</v>
      </c>
      <c r="D32">
        <v>120780</v>
      </c>
      <c r="E32">
        <v>58558</v>
      </c>
      <c r="F32">
        <f t="shared" si="24"/>
        <v>0.49187938814407</v>
      </c>
      <c r="G32">
        <f t="shared" si="25"/>
        <v>0.238478831022855</v>
      </c>
      <c r="I32">
        <f t="shared" si="26"/>
        <v>0.0107220951120352</v>
      </c>
      <c r="J32">
        <f t="shared" si="27"/>
        <v>0.0039227143297624</v>
      </c>
      <c r="K32">
        <f t="shared" si="28"/>
        <v>0.750546657842464</v>
      </c>
      <c r="L32">
        <f>J32*70</f>
        <v>0.274590003083368</v>
      </c>
      <c r="M32">
        <f t="shared" si="29"/>
        <v>3.33576292374428</v>
      </c>
      <c r="N32">
        <f>L32*4000/900</f>
        <v>1.22040001370386</v>
      </c>
      <c r="O32">
        <f t="shared" si="30"/>
        <v>4.55616293744814</v>
      </c>
      <c r="P32">
        <f t="shared" si="31"/>
        <v>73.2143026827879</v>
      </c>
      <c r="Q32">
        <f t="shared" si="32"/>
        <v>26.7856973172121</v>
      </c>
      <c r="R32">
        <f t="shared" si="33"/>
        <v>0.239798049339376</v>
      </c>
    </row>
    <row r="33" customFormat="1" spans="3:18">
      <c r="C33">
        <v>245548</v>
      </c>
      <c r="D33">
        <v>214623</v>
      </c>
      <c r="E33">
        <v>0</v>
      </c>
      <c r="F33">
        <f t="shared" si="24"/>
        <v>0.874057210810106</v>
      </c>
      <c r="G33">
        <f t="shared" si="25"/>
        <v>0</v>
      </c>
      <c r="I33">
        <f t="shared" si="26"/>
        <v>0.0188175392575591</v>
      </c>
      <c r="J33">
        <v>0</v>
      </c>
      <c r="K33">
        <f t="shared" si="28"/>
        <v>1.31722774802914</v>
      </c>
      <c r="L33">
        <v>0</v>
      </c>
      <c r="M33">
        <f t="shared" si="29"/>
        <v>5.85434554679616</v>
      </c>
      <c r="N33">
        <v>0</v>
      </c>
      <c r="O33">
        <f t="shared" ref="O33" si="45">M33+N33</f>
        <v>5.85434554679616</v>
      </c>
      <c r="P33">
        <f t="shared" ref="P33" si="46">(M33/O33)*100</f>
        <v>100</v>
      </c>
      <c r="Q33">
        <f t="shared" ref="Q33" si="47">(N33/O33)*100</f>
        <v>0</v>
      </c>
      <c r="R33">
        <f t="shared" ref="R33" si="48">(O33/1900)*100</f>
        <v>0.308123449831377</v>
      </c>
    </row>
    <row r="34" customFormat="1" spans="3:18">
      <c r="C34">
        <v>245548</v>
      </c>
      <c r="D34">
        <v>4788</v>
      </c>
      <c r="E34">
        <v>0</v>
      </c>
      <c r="F34">
        <f t="shared" si="24"/>
        <v>0.0194992425106293</v>
      </c>
      <c r="G34">
        <f t="shared" si="25"/>
        <v>0</v>
      </c>
      <c r="I34">
        <f t="shared" si="26"/>
        <v>0.000715949130687565</v>
      </c>
      <c r="J34">
        <v>0</v>
      </c>
      <c r="K34">
        <f t="shared" si="28"/>
        <v>0.0501164391481296</v>
      </c>
      <c r="L34">
        <v>0</v>
      </c>
      <c r="M34">
        <f t="shared" si="29"/>
        <v>0.222739729547243</v>
      </c>
      <c r="N34">
        <v>0</v>
      </c>
      <c r="O34">
        <f t="shared" ref="O34:O35" si="49">M34+N34</f>
        <v>0.222739729547243</v>
      </c>
      <c r="P34">
        <f t="shared" ref="P34:P35" si="50">(M34/O34)*100</f>
        <v>100</v>
      </c>
      <c r="Q34">
        <f t="shared" ref="Q34:Q35" si="51">(N34/O34)*100</f>
        <v>0</v>
      </c>
      <c r="R34">
        <f t="shared" ref="R34:R35" si="52">(O34/1900)*100</f>
        <v>0.0117231436603812</v>
      </c>
    </row>
    <row r="35" customFormat="1" spans="3:18">
      <c r="C35">
        <v>245548</v>
      </c>
      <c r="D35">
        <v>4620</v>
      </c>
      <c r="E35">
        <v>0</v>
      </c>
      <c r="F35">
        <f t="shared" si="24"/>
        <v>0.0188150585628879</v>
      </c>
      <c r="G35">
        <f t="shared" si="25"/>
        <v>0</v>
      </c>
      <c r="I35">
        <f t="shared" si="26"/>
        <v>0.000701456471496704</v>
      </c>
      <c r="J35">
        <v>0</v>
      </c>
      <c r="K35">
        <f t="shared" si="28"/>
        <v>0.0491019530047693</v>
      </c>
      <c r="L35">
        <v>0</v>
      </c>
      <c r="M35">
        <f t="shared" si="29"/>
        <v>0.218230902243419</v>
      </c>
      <c r="N35">
        <v>0</v>
      </c>
      <c r="O35">
        <f t="shared" si="49"/>
        <v>0.218230902243419</v>
      </c>
      <c r="P35">
        <f t="shared" si="50"/>
        <v>100</v>
      </c>
      <c r="Q35">
        <f t="shared" si="51"/>
        <v>0</v>
      </c>
      <c r="R35">
        <f t="shared" si="52"/>
        <v>0.01148583696018</v>
      </c>
    </row>
    <row r="37" spans="1:1">
      <c r="A37" s="4" t="s">
        <v>33</v>
      </c>
    </row>
    <row r="38" spans="1:18">
      <c r="A38" s="4" t="s">
        <v>34</v>
      </c>
      <c r="C38">
        <v>303389</v>
      </c>
      <c r="D38">
        <v>149383</v>
      </c>
      <c r="E38">
        <v>35331</v>
      </c>
      <c r="F38">
        <f t="shared" ref="F38" si="53">D38/C38</f>
        <v>0.492381068529182</v>
      </c>
      <c r="G38">
        <f t="shared" ref="G38" si="54">E38/C38</f>
        <v>0.116454452864145</v>
      </c>
      <c r="I38">
        <f t="shared" ref="I38" si="55">(F38+0.0143)/47.209</f>
        <v>0.0107327219074579</v>
      </c>
      <c r="J38">
        <f t="shared" ref="J38:J40" si="56">(G38+0.018)/65.383</f>
        <v>0.00205641302577344</v>
      </c>
      <c r="K38">
        <f t="shared" ref="K38:L38" si="57">I38*70</f>
        <v>0.751290533522056</v>
      </c>
      <c r="L38">
        <f t="shared" si="57"/>
        <v>0.143948911804141</v>
      </c>
      <c r="M38">
        <f t="shared" ref="M38:N38" si="58">K38*4000/900</f>
        <v>3.3390690378758</v>
      </c>
      <c r="N38">
        <f t="shared" si="58"/>
        <v>0.639772941351736</v>
      </c>
      <c r="O38">
        <f t="shared" ref="O38" si="59">M38+N38</f>
        <v>3.97884197922754</v>
      </c>
      <c r="P38">
        <f t="shared" ref="P38" si="60">(M38/O38)*100</f>
        <v>83.9206245261355</v>
      </c>
      <c r="Q38">
        <f t="shared" ref="Q38" si="61">(N38/O38)*100</f>
        <v>16.0793754738645</v>
      </c>
      <c r="R38">
        <f t="shared" ref="R38" si="62">(O38/1900)*100</f>
        <v>0.209412735748818</v>
      </c>
    </row>
    <row r="39" spans="1:18">
      <c r="A39" s="4" t="s">
        <v>35</v>
      </c>
      <c r="C39">
        <v>263721</v>
      </c>
      <c r="D39">
        <v>201812</v>
      </c>
      <c r="E39">
        <v>15098</v>
      </c>
      <c r="F39">
        <f t="shared" ref="F39" si="63">D39/C39</f>
        <v>0.765248122068398</v>
      </c>
      <c r="G39">
        <f t="shared" ref="G39" si="64">E39/C39</f>
        <v>0.0572498966711032</v>
      </c>
      <c r="I39">
        <f t="shared" ref="I39" si="65">(F39+0.0143)/47.209</f>
        <v>0.0165127014354974</v>
      </c>
      <c r="J39">
        <f t="shared" si="56"/>
        <v>0.00115090920684434</v>
      </c>
      <c r="K39">
        <f t="shared" ref="K39:L39" si="66">I39*70</f>
        <v>1.15588910048482</v>
      </c>
      <c r="L39">
        <f t="shared" si="66"/>
        <v>0.0805636444791035</v>
      </c>
      <c r="M39">
        <f t="shared" ref="M39:N39" si="67">K39*4000/900</f>
        <v>5.13728489104364</v>
      </c>
      <c r="N39">
        <f t="shared" si="67"/>
        <v>0.358060642129349</v>
      </c>
      <c r="O39">
        <f t="shared" ref="O39" si="68">M39+N39</f>
        <v>5.49534553317299</v>
      </c>
      <c r="P39">
        <f t="shared" ref="P39" si="69">(M39/O39)*100</f>
        <v>93.4842924804656</v>
      </c>
      <c r="Q39">
        <f t="shared" ref="Q39" si="70">(N39/O39)*100</f>
        <v>6.51570751953437</v>
      </c>
      <c r="R39">
        <f t="shared" ref="R39" si="71">(O39/1900)*100</f>
        <v>0.289228712272263</v>
      </c>
    </row>
    <row r="40" spans="1:18">
      <c r="A40" s="4" t="s">
        <v>36</v>
      </c>
      <c r="C40">
        <v>276022</v>
      </c>
      <c r="D40">
        <v>62031</v>
      </c>
      <c r="E40">
        <v>32121</v>
      </c>
      <c r="F40">
        <f t="shared" ref="F40" si="72">D40/C40</f>
        <v>0.224732086572809</v>
      </c>
      <c r="G40">
        <f t="shared" ref="G40" si="73">E40/C40</f>
        <v>0.116371158820674</v>
      </c>
      <c r="I40">
        <f t="shared" ref="I40" si="74">(F40+0.0143)/47.209</f>
        <v>0.00506327366758053</v>
      </c>
      <c r="J40">
        <f t="shared" si="56"/>
        <v>0.00205513908539947</v>
      </c>
      <c r="K40">
        <f t="shared" ref="K40:L40" si="75">I40*70</f>
        <v>0.354429156730637</v>
      </c>
      <c r="L40">
        <f t="shared" si="75"/>
        <v>0.143859735977963</v>
      </c>
      <c r="M40">
        <f t="shared" ref="M40:N40" si="76">K40*4000/900</f>
        <v>1.57524069658061</v>
      </c>
      <c r="N40">
        <f t="shared" si="76"/>
        <v>0.639376604346503</v>
      </c>
      <c r="O40">
        <f t="shared" ref="O40" si="77">M40+N40</f>
        <v>2.21461730092711</v>
      </c>
      <c r="P40">
        <f t="shared" ref="P40" si="78">(M40/O40)*100</f>
        <v>71.129250905841</v>
      </c>
      <c r="Q40">
        <f t="shared" ref="Q40" si="79">(N40/O40)*100</f>
        <v>28.870749094159</v>
      </c>
      <c r="R40">
        <f t="shared" ref="R40" si="80">(O40/1900)*100</f>
        <v>0.116558805311953</v>
      </c>
    </row>
    <row r="41" spans="5:5">
      <c r="E41" s="4"/>
    </row>
    <row r="44" spans="1:1">
      <c r="A44" s="8" t="s">
        <v>37</v>
      </c>
    </row>
    <row r="46" spans="2:7">
      <c r="B46" s="4" t="s">
        <v>38</v>
      </c>
      <c r="C46" s="2" t="s">
        <v>1</v>
      </c>
      <c r="D46" s="2" t="s">
        <v>2</v>
      </c>
      <c r="E46" s="2" t="s">
        <v>3</v>
      </c>
      <c r="F46" t="s">
        <v>4</v>
      </c>
      <c r="G46" t="s">
        <v>5</v>
      </c>
    </row>
    <row r="47" spans="1:7">
      <c r="A47">
        <v>0</v>
      </c>
      <c r="B47">
        <f>0.904/0.7</f>
        <v>1.29142857142857</v>
      </c>
      <c r="C47">
        <v>223958</v>
      </c>
      <c r="D47">
        <v>97199</v>
      </c>
      <c r="E47">
        <v>117118</v>
      </c>
      <c r="F47">
        <f>D47/C47</f>
        <v>0.434005483170952</v>
      </c>
      <c r="G47">
        <f>E47/C47</f>
        <v>0.522946266710723</v>
      </c>
    </row>
    <row r="48" spans="1:7">
      <c r="A48">
        <v>1</v>
      </c>
      <c r="B48">
        <f>0.791/0.7</f>
        <v>1.13</v>
      </c>
      <c r="C48">
        <v>305122</v>
      </c>
      <c r="D48">
        <v>106965</v>
      </c>
      <c r="E48">
        <v>135368</v>
      </c>
      <c r="F48">
        <f>D48/C48</f>
        <v>0.350564692155925</v>
      </c>
      <c r="G48">
        <f>E48/C48</f>
        <v>0.44365204737777</v>
      </c>
    </row>
    <row r="49" spans="1:7">
      <c r="A49">
        <v>2</v>
      </c>
      <c r="B49">
        <f>0.678/0.7</f>
        <v>0.968571428571429</v>
      </c>
      <c r="C49">
        <v>273933</v>
      </c>
      <c r="D49">
        <v>77562</v>
      </c>
      <c r="E49">
        <v>103369</v>
      </c>
      <c r="F49">
        <f>D49/C49</f>
        <v>0.283142228209088</v>
      </c>
      <c r="G49">
        <f>E49/C49</f>
        <v>0.377351396144313</v>
      </c>
    </row>
    <row r="50" spans="1:7">
      <c r="A50">
        <v>3</v>
      </c>
      <c r="B50" s="4">
        <f>0.452/0.7</f>
        <v>0.645714285714286</v>
      </c>
      <c r="C50">
        <v>285616</v>
      </c>
      <c r="D50">
        <v>49055</v>
      </c>
      <c r="E50">
        <v>68649</v>
      </c>
      <c r="F50">
        <f>D50/C50</f>
        <v>0.171751582544395</v>
      </c>
      <c r="G50">
        <f>E50/C50</f>
        <v>0.240354181838552</v>
      </c>
    </row>
    <row r="52" spans="3:18">
      <c r="C52" s="2" t="s">
        <v>1</v>
      </c>
      <c r="D52" s="2" t="s">
        <v>2</v>
      </c>
      <c r="E52" s="2" t="s">
        <v>3</v>
      </c>
      <c r="F52" t="s">
        <v>4</v>
      </c>
      <c r="G52" t="s">
        <v>5</v>
      </c>
      <c r="H52"/>
      <c r="I52" s="4" t="s">
        <v>6</v>
      </c>
      <c r="J52" s="4" t="s">
        <v>7</v>
      </c>
      <c r="K52"/>
      <c r="L52"/>
      <c r="M52" s="4" t="s">
        <v>8</v>
      </c>
      <c r="N52" s="4" t="s">
        <v>9</v>
      </c>
      <c r="O52" s="4" t="s">
        <v>10</v>
      </c>
      <c r="P52" s="4" t="s">
        <v>11</v>
      </c>
      <c r="Q52" s="4" t="s">
        <v>12</v>
      </c>
      <c r="R52" s="4" t="s">
        <v>13</v>
      </c>
    </row>
    <row r="53" spans="1:18">
      <c r="A53" s="4" t="s">
        <v>37</v>
      </c>
      <c r="B53" s="4" t="s">
        <v>39</v>
      </c>
      <c r="C53">
        <v>309962</v>
      </c>
      <c r="D53">
        <v>76875</v>
      </c>
      <c r="E53">
        <v>19963</v>
      </c>
      <c r="F53">
        <f>D53/C53</f>
        <v>0.248014272717301</v>
      </c>
      <c r="G53">
        <f t="shared" ref="G53" si="81">E53/C53</f>
        <v>0.0644046689594208</v>
      </c>
      <c r="I53">
        <f>(F53+0.0939)/0.4001</f>
        <v>0.854572038783556</v>
      </c>
      <c r="J53">
        <f>(G53+0.0416)/0.4338</f>
        <v>0.244362998984373</v>
      </c>
      <c r="K53">
        <f>I53*70</f>
        <v>59.8200427148489</v>
      </c>
      <c r="L53">
        <f>J53*70</f>
        <v>17.1054099289061</v>
      </c>
      <c r="M53">
        <f>K53*4000/900</f>
        <v>265.86685651044</v>
      </c>
      <c r="N53">
        <f>L53*4000/900</f>
        <v>76.0240441284715</v>
      </c>
      <c r="O53">
        <f>M53+N53</f>
        <v>341.890900638911</v>
      </c>
      <c r="P53">
        <f>(M53/O53)*100</f>
        <v>77.7636538479378</v>
      </c>
      <c r="Q53">
        <f>(N53/O53)*100</f>
        <v>22.2363461520622</v>
      </c>
      <c r="R53">
        <f>(O53/2141.7368)*100</f>
        <v>15.9632547117326</v>
      </c>
    </row>
    <row r="54" spans="2:18">
      <c r="B54" s="4" t="s">
        <v>36</v>
      </c>
      <c r="C54">
        <v>216207</v>
      </c>
      <c r="D54">
        <v>4309</v>
      </c>
      <c r="E54"/>
      <c r="F54">
        <f>D54/C54</f>
        <v>0.0199299745151637</v>
      </c>
      <c r="G54">
        <f t="shared" ref="G54" si="82">E54/C54</f>
        <v>0</v>
      </c>
      <c r="I54">
        <f>(F54+0.0939)/0.4001</f>
        <v>0.284503810335325</v>
      </c>
      <c r="J54">
        <f>(G54+0.0416)/0.4338</f>
        <v>0.0958967266021208</v>
      </c>
      <c r="K54">
        <f>I54*70</f>
        <v>19.9152667234728</v>
      </c>
      <c r="L54">
        <f>J54*70</f>
        <v>6.71277086214845</v>
      </c>
      <c r="M54">
        <f>K54*4000/900</f>
        <v>88.5122965487679</v>
      </c>
      <c r="N54">
        <f>L54*4000/900</f>
        <v>29.8345371651042</v>
      </c>
      <c r="O54">
        <f>M54+N54</f>
        <v>118.346833713872</v>
      </c>
      <c r="P54">
        <f>(M54/O54)*100</f>
        <v>74.7905911557927</v>
      </c>
      <c r="Q54">
        <f>(N54/O54)*100</f>
        <v>25.2094088442073</v>
      </c>
      <c r="R54">
        <f>(O54/2141.7368)*100</f>
        <v>5.52574124485661</v>
      </c>
    </row>
    <row r="65" ht="17.25" spans="1:5">
      <c r="A65" s="9" t="s">
        <v>40</v>
      </c>
      <c r="C65" t="s">
        <v>1</v>
      </c>
      <c r="D65" s="4" t="s">
        <v>41</v>
      </c>
      <c r="E65" t="s">
        <v>42</v>
      </c>
    </row>
    <row r="66" spans="2:5">
      <c r="B66">
        <v>0.0605585714285714</v>
      </c>
      <c r="C66">
        <v>255886</v>
      </c>
      <c r="D66" s="4">
        <v>930840</v>
      </c>
      <c r="E66">
        <v>3.63771366936839</v>
      </c>
    </row>
    <row r="67" spans="2:5">
      <c r="B67">
        <v>0.0726702857142857</v>
      </c>
      <c r="C67">
        <v>302860</v>
      </c>
      <c r="D67" s="4">
        <v>1257966</v>
      </c>
      <c r="E67">
        <v>4.15362213564023</v>
      </c>
    </row>
    <row r="68" spans="2:5">
      <c r="B68">
        <v>0.0968937142857143</v>
      </c>
      <c r="C68">
        <v>263900</v>
      </c>
      <c r="D68" s="4">
        <v>1600703</v>
      </c>
      <c r="E68">
        <v>6.06556650246305</v>
      </c>
    </row>
    <row r="69" spans="2:9">
      <c r="B69">
        <v>0.121117142857143</v>
      </c>
      <c r="C69">
        <v>266745</v>
      </c>
      <c r="D69" s="4">
        <v>1971224</v>
      </c>
      <c r="E69">
        <v>7.3899192112317</v>
      </c>
      <c r="I69" s="4"/>
    </row>
    <row r="71" spans="3:5">
      <c r="C71" t="s">
        <v>1</v>
      </c>
      <c r="D71" t="s">
        <v>43</v>
      </c>
      <c r="E71" t="s">
        <v>44</v>
      </c>
    </row>
    <row r="72" spans="1:5">
      <c r="A72" s="10"/>
      <c r="B72">
        <v>0</v>
      </c>
      <c r="C72">
        <v>0</v>
      </c>
      <c r="D72">
        <v>0</v>
      </c>
      <c r="E72">
        <v>0</v>
      </c>
    </row>
    <row r="73" spans="1:5">
      <c r="A73" s="10"/>
      <c r="B73">
        <v>0.0605585714285714</v>
      </c>
      <c r="C73">
        <v>76183</v>
      </c>
      <c r="D73">
        <v>408136</v>
      </c>
      <c r="E73">
        <f>D73/C73</f>
        <v>5.35731068611107</v>
      </c>
    </row>
    <row r="74" spans="2:5">
      <c r="B74">
        <v>0.0726702857142857</v>
      </c>
      <c r="C74">
        <v>237286</v>
      </c>
      <c r="D74">
        <v>1661551</v>
      </c>
      <c r="E74">
        <f>D74/C74</f>
        <v>7.00231366368012</v>
      </c>
    </row>
    <row r="75" spans="2:5">
      <c r="B75">
        <v>0.0968937142857143</v>
      </c>
      <c r="C75">
        <v>320084</v>
      </c>
      <c r="D75">
        <v>3143359</v>
      </c>
      <c r="E75">
        <f>D75/C75</f>
        <v>9.82041901500856</v>
      </c>
    </row>
    <row r="78" spans="3:18">
      <c r="C78" s="2" t="s">
        <v>1</v>
      </c>
      <c r="D78" s="2" t="s">
        <v>2</v>
      </c>
      <c r="E78" s="2" t="s">
        <v>3</v>
      </c>
      <c r="F78" t="s">
        <v>4</v>
      </c>
      <c r="G78" t="s">
        <v>5</v>
      </c>
      <c r="H78"/>
      <c r="I78" s="4" t="s">
        <v>6</v>
      </c>
      <c r="J78" s="4" t="s">
        <v>7</v>
      </c>
      <c r="K78"/>
      <c r="L78"/>
      <c r="M78" s="4" t="s">
        <v>8</v>
      </c>
      <c r="N78" s="4" t="s">
        <v>9</v>
      </c>
      <c r="O78" s="4" t="s">
        <v>10</v>
      </c>
      <c r="P78" s="4" t="s">
        <v>11</v>
      </c>
      <c r="Q78" s="4" t="s">
        <v>12</v>
      </c>
      <c r="R78" s="4" t="s">
        <v>13</v>
      </c>
    </row>
    <row r="79" spans="2:18">
      <c r="B79" s="4" t="s">
        <v>39</v>
      </c>
      <c r="C79">
        <v>267412</v>
      </c>
      <c r="D79">
        <v>954964</v>
      </c>
      <c r="E79">
        <v>173635</v>
      </c>
      <c r="F79">
        <f>D79/C79</f>
        <v>3.5711336813606</v>
      </c>
      <c r="G79">
        <f>E79/C79</f>
        <v>0.649316410632283</v>
      </c>
      <c r="I79">
        <f>(F79+0.3382)/64.342</f>
        <v>0.0607586596835752</v>
      </c>
      <c r="J79">
        <f>(G79+0.1972)/99.811</f>
        <v>0.0084811935621553</v>
      </c>
      <c r="K79">
        <f>I79*70</f>
        <v>4.25310617785027</v>
      </c>
      <c r="L79">
        <f>J79*70</f>
        <v>0.593683549350871</v>
      </c>
      <c r="M79">
        <f>K79*4000/900</f>
        <v>18.902694123779</v>
      </c>
      <c r="N79">
        <f>L79*4000/900</f>
        <v>2.63859355267054</v>
      </c>
      <c r="O79">
        <f>M79+N79</f>
        <v>21.5412876764495</v>
      </c>
      <c r="P79">
        <f>(M79/O79)*100</f>
        <v>87.7509943124002</v>
      </c>
      <c r="Q79">
        <f>(N79/O79)*100</f>
        <v>12.2490056875998</v>
      </c>
      <c r="R79">
        <f>(O79/1651.9667)*100</f>
        <v>1.30397832331908</v>
      </c>
    </row>
    <row r="80" spans="2:18">
      <c r="B80" s="4" t="s">
        <v>36</v>
      </c>
      <c r="C80" s="4">
        <v>216207</v>
      </c>
      <c r="D80">
        <v>111369</v>
      </c>
      <c r="E80">
        <v>211612</v>
      </c>
      <c r="F80">
        <f>D80/C80</f>
        <v>0.515103581290153</v>
      </c>
      <c r="G80">
        <f t="shared" ref="G80" si="83">E80/C80</f>
        <v>0.978747219100214</v>
      </c>
      <c r="I80">
        <f>(F80+0.3382)/64.342</f>
        <v>0.0132619996470447</v>
      </c>
      <c r="J80">
        <f t="shared" ref="J80" si="84">(G80+0.1972)/99.811</f>
        <v>0.0117817396789954</v>
      </c>
      <c r="K80">
        <f>I80*70</f>
        <v>0.928339975293132</v>
      </c>
      <c r="L80">
        <f t="shared" ref="L80" si="85">J80*70</f>
        <v>0.824721777529681</v>
      </c>
      <c r="M80">
        <f>K80*4000/900</f>
        <v>4.12595544574725</v>
      </c>
      <c r="N80">
        <f>L80*4000/900</f>
        <v>3.66543012235414</v>
      </c>
      <c r="O80">
        <f>M80+N80</f>
        <v>7.79138556810139</v>
      </c>
      <c r="P80">
        <f>(M80/O80)*100</f>
        <v>52.9553493365708</v>
      </c>
      <c r="Q80">
        <f>(N80/O80)*100</f>
        <v>47.0446506634292</v>
      </c>
      <c r="R80">
        <f t="shared" ref="R80" si="86">(O80/1651.9667)*100</f>
        <v>0.471643016054827</v>
      </c>
    </row>
    <row r="87" spans="1:1">
      <c r="A87" s="4" t="s">
        <v>45</v>
      </c>
    </row>
    <row r="88" spans="3:5">
      <c r="C88" t="s">
        <v>1</v>
      </c>
      <c r="D88" t="s">
        <v>46</v>
      </c>
      <c r="E88" t="s">
        <v>47</v>
      </c>
    </row>
    <row r="89" spans="2:5">
      <c r="B89">
        <v>0.0542285714285714</v>
      </c>
      <c r="C89">
        <v>255886</v>
      </c>
      <c r="D89">
        <v>799170</v>
      </c>
      <c r="E89">
        <f>D89/C89</f>
        <v>3.12314858960631</v>
      </c>
    </row>
    <row r="90" spans="2:5">
      <c r="B90">
        <v>0.0650742857142857</v>
      </c>
      <c r="C90">
        <v>302860</v>
      </c>
      <c r="D90">
        <v>1157567</v>
      </c>
      <c r="E90">
        <f>D90/C90</f>
        <v>3.82211913095159</v>
      </c>
    </row>
    <row r="91" spans="2:5">
      <c r="B91">
        <v>0.0867657142857143</v>
      </c>
      <c r="C91">
        <v>263900</v>
      </c>
      <c r="D91">
        <v>1534440</v>
      </c>
      <c r="E91">
        <f>D91/C91</f>
        <v>5.81447517999242</v>
      </c>
    </row>
    <row r="92" spans="2:5">
      <c r="B92">
        <v>0.108457142857143</v>
      </c>
      <c r="C92">
        <v>266745</v>
      </c>
      <c r="D92">
        <v>2064635</v>
      </c>
      <c r="E92">
        <f>D92/C92</f>
        <v>7.74010759339444</v>
      </c>
    </row>
    <row r="94" spans="3:5">
      <c r="C94" t="s">
        <v>1</v>
      </c>
      <c r="D94" t="s">
        <v>48</v>
      </c>
      <c r="E94" t="s">
        <v>49</v>
      </c>
    </row>
    <row r="95" spans="2:5">
      <c r="B95">
        <v>0</v>
      </c>
      <c r="C95"/>
      <c r="D95"/>
      <c r="E95">
        <v>0</v>
      </c>
    </row>
    <row r="96" customFormat="1" spans="2:4">
      <c r="B96">
        <v>0.0605585714285714</v>
      </c>
      <c r="C96">
        <v>76183</v>
      </c>
      <c r="D96">
        <v>577386</v>
      </c>
    </row>
    <row r="97" spans="2:5">
      <c r="B97">
        <v>0.0726702857142857</v>
      </c>
      <c r="C97">
        <v>237286</v>
      </c>
      <c r="D97">
        <v>1851575</v>
      </c>
      <c r="E97">
        <v>7.80313629965527</v>
      </c>
    </row>
    <row r="98" spans="2:5">
      <c r="B98">
        <v>0.0968937142857143</v>
      </c>
      <c r="C98">
        <v>320084</v>
      </c>
      <c r="D98">
        <v>2869164</v>
      </c>
      <c r="E98">
        <v>8.96378450656703</v>
      </c>
    </row>
    <row r="99" spans="2:5">
      <c r="B99">
        <v>0.121117142857143</v>
      </c>
      <c r="C99">
        <v>425230</v>
      </c>
      <c r="D99">
        <v>4785912</v>
      </c>
      <c r="E99">
        <v>11.2548785363215</v>
      </c>
    </row>
    <row r="100" spans="1:2">
      <c r="A100" s="4"/>
      <c r="B100" s="4"/>
    </row>
    <row r="103" spans="3:20">
      <c r="C103" s="2" t="s">
        <v>1</v>
      </c>
      <c r="D103" s="2" t="s">
        <v>2</v>
      </c>
      <c r="E103" s="2" t="s">
        <v>3</v>
      </c>
      <c r="F103" t="s">
        <v>4</v>
      </c>
      <c r="G103" t="s">
        <v>5</v>
      </c>
      <c r="H103"/>
      <c r="I103" s="4" t="s">
        <v>6</v>
      </c>
      <c r="J103" s="4" t="s">
        <v>7</v>
      </c>
      <c r="K103"/>
      <c r="L103"/>
      <c r="M103" s="4" t="s">
        <v>8</v>
      </c>
      <c r="N103" s="4" t="s">
        <v>9</v>
      </c>
      <c r="O103" s="4" t="s">
        <v>10</v>
      </c>
      <c r="P103" s="4" t="s">
        <v>11</v>
      </c>
      <c r="Q103" s="4" t="s">
        <v>12</v>
      </c>
      <c r="R103" s="4" t="s">
        <v>13</v>
      </c>
      <c r="T103" s="4" t="s">
        <v>50</v>
      </c>
    </row>
    <row r="104" spans="2:20">
      <c r="B104" s="4" t="s">
        <v>51</v>
      </c>
      <c r="C104">
        <v>320920</v>
      </c>
      <c r="D104">
        <v>1399750</v>
      </c>
      <c r="E104">
        <v>121187</v>
      </c>
      <c r="F104">
        <f>D104/C104</f>
        <v>4.3616789230961</v>
      </c>
      <c r="G104">
        <f>E104/D104</f>
        <v>0.0865776031434185</v>
      </c>
      <c r="I104">
        <f>(F104+1.6784)/86.523</f>
        <v>0.0698089400864059</v>
      </c>
      <c r="J104" s="6">
        <f>(G104-0.2611)/92.807</f>
        <v>-0.00188048742935966</v>
      </c>
      <c r="K104">
        <f>I104*70</f>
        <v>4.88662580604841</v>
      </c>
      <c r="M104">
        <f>K104*4000/900</f>
        <v>21.7183369157707</v>
      </c>
      <c r="O104">
        <f>M104+N104</f>
        <v>21.7183369157707</v>
      </c>
      <c r="P104">
        <f>(M104/O104)*100</f>
        <v>100</v>
      </c>
      <c r="Q104">
        <f>(N104/O104)*100</f>
        <v>0</v>
      </c>
      <c r="R104">
        <f>(M104/1486.4588)*100</f>
        <v>1.46107896941178</v>
      </c>
      <c r="T104">
        <f>M104/(M104+M105)</f>
        <v>0.746047721870549</v>
      </c>
    </row>
    <row r="105" customFormat="1" spans="1:15">
      <c r="A105" s="4" t="s">
        <v>52</v>
      </c>
      <c r="B105" s="4"/>
      <c r="C105">
        <v>320920</v>
      </c>
      <c r="D105">
        <v>121187</v>
      </c>
      <c r="F105">
        <f>D105/C105</f>
        <v>0.377623706842827</v>
      </c>
      <c r="I105">
        <f>(F105+1.6784)/86.523</f>
        <v>0.0237627417778259</v>
      </c>
      <c r="J105" s="6"/>
      <c r="K105">
        <f>I105*70</f>
        <v>1.66339192444781</v>
      </c>
      <c r="M105">
        <f>K105*4000/900</f>
        <v>7.39285299754582</v>
      </c>
      <c r="O105">
        <f>M105+N105</f>
        <v>7.39285299754582</v>
      </c>
    </row>
    <row r="106" spans="2:18">
      <c r="B106" s="4" t="s">
        <v>36</v>
      </c>
      <c r="C106" s="4">
        <v>216207</v>
      </c>
      <c r="D106">
        <v>161930</v>
      </c>
      <c r="E106">
        <v>29341</v>
      </c>
      <c r="F106">
        <f>D106/C106</f>
        <v>0.748958174342181</v>
      </c>
      <c r="G106">
        <f>E106/D106</f>
        <v>0.181195578336318</v>
      </c>
      <c r="I106">
        <f>(F106+1.6784)/86.523</f>
        <v>0.0280544846380983</v>
      </c>
      <c r="J106" s="6">
        <f>(G106-0.2611)/92.807</f>
        <v>-0.000860974082382599</v>
      </c>
      <c r="K106">
        <f>I106*70</f>
        <v>1.96381392466688</v>
      </c>
      <c r="M106">
        <f>K106*4000/900</f>
        <v>8.72806188740837</v>
      </c>
      <c r="O106">
        <f>M106+N106</f>
        <v>8.72806188740837</v>
      </c>
      <c r="P106">
        <f>(M106/O106)*100</f>
        <v>100</v>
      </c>
      <c r="Q106">
        <f>(N106/O106)*100</f>
        <v>0</v>
      </c>
      <c r="R106">
        <f>(M106/1486.4588)*100</f>
        <v>0.587171463306509</v>
      </c>
    </row>
    <row r="108" spans="10:10">
      <c r="J108" s="4" t="s">
        <v>53</v>
      </c>
    </row>
  </sheetData>
  <pageMargins left="0.699912516150888" right="0.699912516150888" top="0.74990626395218" bottom="0.74990626395218" header="0.299962510274151" footer="0.2999625102741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Company>Yozosoft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User274</dc:creator>
  <cp:lastModifiedBy>Wave 汪骋</cp:lastModifiedBy>
  <cp:revision>0</cp:revision>
  <dcterms:created xsi:type="dcterms:W3CDTF">2020-05-08T06:04:00Z</dcterms:created>
  <dcterms:modified xsi:type="dcterms:W3CDTF">2024-09-06T12:54:01Z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BACE58CD3B0E46038A93908ADF327CD0_12</vt:lpwstr>
  </property>
  <property fmtid="{D5CDD505-2E9C-101B-9397-08002B2CF9AE}" pid="3" name="KSOProductBuildVer">
    <vt:lpwstr>2052-12.1.0.17827</vt:lpwstr>
  </property>
</Properties>
</file>