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031"/>
  <sheetViews>
    <sheetView workbookViewId="0">
      <selection activeCell="A1" sqref="A1"/>
    </sheetView>
  </sheetViews>
  <sheetFormatPr baseColWidth="8" defaultRowHeight="15"/>
  <sheetData>
    <row r="1">
      <c r="A1" s="1" t="inlineStr">
        <is>
          <t>create_time</t>
        </is>
      </c>
      <c r="B1" s="1" t="inlineStr">
        <is>
          <t>msginfo</t>
        </is>
      </c>
      <c r="C1" s="1" t="inlineStr">
        <is>
          <t>level</t>
        </is>
      </c>
      <c r="D1" s="1" t="inlineStr">
        <is>
          <t>k8s_pod_namespace</t>
        </is>
      </c>
      <c r="E1" s="1" t="inlineStr">
        <is>
          <t>host_name</t>
        </is>
      </c>
      <c r="F1" s="1" t="inlineStr">
        <is>
          <t>env</t>
        </is>
      </c>
    </row>
    <row r="2">
      <c r="A2" t="inlineStr">
        <is>
          <t>2025-05-09 21:52:58.713</t>
        </is>
      </c>
      <c r="B2">
        <f>=请求结束== [请求耗时]:21毫秒, [返回数据]:{"code":"000000","msg":"Success","traceId":"b8973050cfbb470d24a5c42de0169bf9"}</f>
        <v/>
      </c>
      <c r="C2" t="inlineStr">
        <is>
          <t>INFO</t>
        </is>
      </c>
      <c r="D2" t="inlineStr">
        <is>
          <t>vdh</t>
        </is>
      </c>
      <c r="E2" t="inlineStr">
        <is>
          <t>pro17</t>
        </is>
      </c>
      <c r="F2" t="inlineStr">
        <is>
          <t>prod</t>
        </is>
      </c>
    </row>
    <row r="3">
      <c r="A3" t="inlineStr">
        <is>
          <t>2025-05-09 21:52:58.692</t>
        </is>
      </c>
      <c r="B3">
        <f>=请求开始== [请求IP]:111.58.142.131 ,[请求方式]:POST， [请求URL]:https://172.30.103.196:8080/api/appservice/bfv/v1/chatHistory/batchSave, [请求类名]:com.yingzi.appservice.bfv.provider.rest.ChatHistoryController,[请求方法名]:batchSave, [请求头参数]:{"host":"172.30.103.196:8080"}, [请求参数]:[[{"userId":747870465494753280,"deviceId":"64:79:F0:78:D0:1B","sessionId":"","avatarId":"11200210000333800000000000000000","appCode":"VDHtestWDC","instructionTemplateType":"Instruction_library","recordId":"","asrResult":"暂停","instructionAsrFirstTime":{"year":2025,"monthValue":5,"month":"MAY","dayOfMonth":9,"dayOfYear":129,"dayOfWeek":"FRIDAY","hour":21,"minute":52,"second":53,"nano":0,"chronology":{"id":"ISO","calendarType":"iso8601"}},"knowledgeId":"","knowledgeMasterId":"295","instructionType":"COOKING","instructionName":"暂停烹饪","instructionFlag":"voice_cmd_pause_cooking","parameter":"{\"answer\":\"DEFAULT\",\"code\":\"voice_cmd_pause_cooking\",\"continue_answer\":\"\",\"continue_failed_answer\":\"\",\"entities\":\"\",\"failed_answer\":\"{\\\"answerId\\\":\\\"\\\",\\\"value\\\":\\\"抱歉，执行错误\\\",\\\"hidb\\\":\\\"\\\",\\\"aplusId\\\":\\\"\\\",\\\"flag\\\":true,\\\"updFlag\\\":false,\\\"cache\\\":false}\",\"hitBusiness\":\"295\",\"init_state\":\"true\",\"intent\":\"暂停烹饪\",\"intentType\":\"COOKING\",\"isEnd\":\"true\",\"isMulti\":\"false\",\"service\":\"Instruction_library\",\"succeed_answer\":\"{\\\"answerId\\\":\\\"\\\",\\\"value\\\":\\\"帮主人暂停啦\\\",\\\"hidb\\\":\\\"\\\",\\\"aplusId\\\":\\\"\\\",\\\"flag\\\":true,\\\"updFlag\\\":false,\\\"cache\\\":false}\"}","ttsResultSource":"local","ttsResult":"请先开始烹饪","ttsResultTime":{"year":2025,"monthValue":5,"month":"MAY","dayOfMonth":9,"dayOfYear":129,"dayOfWeek":"FRIDAY","hour":21,"minute":52,"second":55,"nano":0,"chronology":{"id":"ISO","calendarType":"iso8601"}},"response":1410}]]</f>
        <v/>
      </c>
      <c r="C3" t="inlineStr">
        <is>
          <t>INFO</t>
        </is>
      </c>
      <c r="D3" t="inlineStr">
        <is>
          <t>vdh</t>
        </is>
      </c>
      <c r="E3" t="inlineStr">
        <is>
          <t>pro17</t>
        </is>
      </c>
      <c r="F3" t="inlineStr">
        <is>
          <t>prod</t>
        </is>
      </c>
    </row>
    <row r="4">
      <c r="A4" t="inlineStr">
        <is>
          <t>2025-05-09 21:31:11.768</t>
        </is>
      </c>
      <c r="B4">
        <f>=请求结束== [请求耗时]:15毫秒, [返回数据]:{"code":"000000","msg":"Success","traceId":"fb26aa41035c76f076c0f420111b69ca"}</f>
        <v/>
      </c>
      <c r="C4" t="inlineStr">
        <is>
          <t>INFO</t>
        </is>
      </c>
      <c r="D4" t="inlineStr">
        <is>
          <t>vdh</t>
        </is>
      </c>
      <c r="E4" t="inlineStr">
        <is>
          <t>pro14</t>
        </is>
      </c>
      <c r="F4" t="inlineStr">
        <is>
          <t>prod</t>
        </is>
      </c>
    </row>
    <row r="5">
      <c r="A5" t="inlineStr">
        <is>
          <t>2025-05-09 21:31:11.753</t>
        </is>
      </c>
      <c r="B5">
        <f>=请求开始== [请求IP]:14.145.79.89 ,[请求方式]:POST， [请求URL]:https://172.30.212.148:8080/api/appservice/bfv/v1/chatHistory/batchSave, [请求类名]:com.yingzi.appservice.bfv.provider.rest.ChatHistoryController,[请求方法名]:batchSave, [请求头参数]:{"host":"172.30.212.148:8080"}, [请求参数]:[[{"userId":1187618907244167170,"deviceId":"64:79:F0:E9:E1:6B","sessionId":"","avatarId":"11200220000208050000000000000000","appCode":"VDHtestWDC","instructionTemplateType":"","recordId":"","asrResult":"","knowledgeId":"","knowledgeMasterId":"","instructionType":"","instructionName":"","instructionFlag":"","parameter":"{}","ttsResultSource":"","ttsResult":"","response":0}]]</f>
        <v/>
      </c>
      <c r="C5" t="inlineStr">
        <is>
          <t>INFO</t>
        </is>
      </c>
      <c r="D5" t="inlineStr">
        <is>
          <t>vdh</t>
        </is>
      </c>
      <c r="E5" t="inlineStr">
        <is>
          <t>pro14</t>
        </is>
      </c>
      <c r="F5" t="inlineStr">
        <is>
          <t>prod</t>
        </is>
      </c>
    </row>
    <row r="6">
      <c r="A6" t="inlineStr">
        <is>
          <t>2025-05-09 21:30:30.655</t>
        </is>
      </c>
      <c r="B6">
        <f>=请求结束== [请求耗时]:15毫秒, [返回数据]:{"code":"000000","msg":"Success","traceId":"dbab62ccb8fa29eb79a08a580690e774"}</f>
        <v/>
      </c>
      <c r="C6" t="inlineStr">
        <is>
          <t>INFO</t>
        </is>
      </c>
      <c r="D6" t="inlineStr">
        <is>
          <t>vdh</t>
        </is>
      </c>
      <c r="E6" t="inlineStr">
        <is>
          <t>pro17</t>
        </is>
      </c>
      <c r="F6" t="inlineStr">
        <is>
          <t>prod</t>
        </is>
      </c>
    </row>
    <row r="7">
      <c r="A7" t="inlineStr">
        <is>
          <t>2025-05-09 21:30:30.640</t>
        </is>
      </c>
      <c r="B7">
        <f>=请求开始== [请求IP]:111.58.69.148 ,[请求方式]:POST， [请求URL]:https://172.30.103.196:8080/api/appservice/bfv/v1/chatHistory/batchSave, [请求类名]:com.yingzi.appservice.bfv.provider.rest.ChatHistoryController,[请求方法名]:batchSave, [请求头参数]:{"host":"172.30.103.196:8080"}, [请求参数]:[[{"userId":750679258637148160,"deviceId":"28:D0:EA:87:97:F9","sessionId":"","avatarId":"11200220000208050000000000000000","appCode":"VDHtestWDC","instructionTemplateType":"","recordId":"","asrResult":"","knowledgeId":"","knowledgeMasterId":"","instructionType":"","instructionName":"","instructionFlag":"","parameter":"{}","ttsResultSource":"","ttsResult":"","response":0}]]</f>
        <v/>
      </c>
      <c r="C7" t="inlineStr">
        <is>
          <t>INFO</t>
        </is>
      </c>
      <c r="D7" t="inlineStr">
        <is>
          <t>vdh</t>
        </is>
      </c>
      <c r="E7" t="inlineStr">
        <is>
          <t>pro17</t>
        </is>
      </c>
      <c r="F7" t="inlineStr">
        <is>
          <t>prod</t>
        </is>
      </c>
    </row>
    <row r="8">
      <c r="A8" t="inlineStr">
        <is>
          <t>2025-05-09 21:25:21.251</t>
        </is>
      </c>
      <c r="B8">
        <f>=请求结束== [请求耗时]:17毫秒, [返回数据]:{"code":"000000","msg":"Success","traceId":"f5372e3b56df4968d2d747d381d312e7"}</f>
        <v/>
      </c>
      <c r="C8" t="inlineStr">
        <is>
          <t>INFO</t>
        </is>
      </c>
      <c r="D8" t="inlineStr">
        <is>
          <t>vdh</t>
        </is>
      </c>
      <c r="E8" t="inlineStr">
        <is>
          <t>pro14</t>
        </is>
      </c>
      <c r="F8" t="inlineStr">
        <is>
          <t>prod</t>
        </is>
      </c>
    </row>
    <row r="9">
      <c r="A9" t="inlineStr">
        <is>
          <t>2025-05-09 21:25:21.235</t>
        </is>
      </c>
      <c r="B9">
        <f>=请求开始== [请求IP]:110.184.35.104 ,[请求方式]:POST， [请求URL]:https://172.30.212.148:8080/api/appservice/bfv/v1/chatHistory/batchSave, [请求类名]:com.yingzi.appservice.bfv.provider.rest.ChatHistoryController,[请求方法名]:batchSave, [请求头参数]:{"host":"172.30.212.148:8080"}, [请求参数]:[[{"userId":1030773310862331904,"deviceId":"F4:CE:23:BC:54:30","sessionId":"","avatarId":"11200220000208050000000000000000","appCode":"VDHtestWDC","instructionTemplateType":"","recordId":"","asrResult":"","knowledgeId":"","knowledgeMasterId":"","instructionType":"","instructionName":"","instructionFlag":"","parameter":"{}","ttsResultSource":"local","ttsResult":"","response":0}]]</f>
        <v/>
      </c>
      <c r="C9" t="inlineStr">
        <is>
          <t>INFO</t>
        </is>
      </c>
      <c r="D9" t="inlineStr">
        <is>
          <t>vdh</t>
        </is>
      </c>
      <c r="E9" t="inlineStr">
        <is>
          <t>pro14</t>
        </is>
      </c>
      <c r="F9" t="inlineStr">
        <is>
          <t>prod</t>
        </is>
      </c>
    </row>
    <row r="10">
      <c r="A10" t="inlineStr">
        <is>
          <t>2025-05-09 21:21:20.613</t>
        </is>
      </c>
      <c r="B10">
        <f>=请求结束== [请求耗时]:17毫秒, [返回数据]:{"code":"000000","msg":"Success","traceId":"3b9a6ba31caffc1b12495ce3e8368dea"}</f>
        <v/>
      </c>
      <c r="C10" t="inlineStr">
        <is>
          <t>INFO</t>
        </is>
      </c>
      <c r="D10" t="inlineStr">
        <is>
          <t>vdh</t>
        </is>
      </c>
      <c r="E10" t="inlineStr">
        <is>
          <t>pro17</t>
        </is>
      </c>
      <c r="F10" t="inlineStr">
        <is>
          <t>prod</t>
        </is>
      </c>
    </row>
    <row r="11">
      <c r="A11" t="inlineStr">
        <is>
          <t>2025-05-09 21:21:20.597</t>
        </is>
      </c>
      <c r="B11">
        <f>=请求开始== [请求IP]:110.184.35.104 ,[请求方式]:POST， [请求URL]:https://172.30.103.196:8080/api/appservice/bfv/v1/chatHistory/batchSave, [请求类名]:com.yingzi.appservice.bfv.provider.rest.ChatHistoryController,[请求方法名]:batchSave, [请求头参数]:{"host":"172.30.103.196:8080"}, [请求参数]:[[{"userId":1030773310862331904,"deviceId":"F4:CE:23:BC:54:30","sessionId":"","avatarId":"11200220000208050000000000000000","appCode":"VDHtestWDC","instructionTemplateType":"","recordId":"","asrResult":"","knowledgeId":"","knowledgeMasterId":"","instructionType":"","instructionName":"","instructionFlag":"","parameter":"{}","ttsResultSource":"local","ttsResult":"搞定了","ttsResultTime":{"year":2025,"monthValue":5,"month":"MAY","dayOfMonth":9,"dayOfYear":129,"dayOfWeek":"FRIDAY","hour":21,"minute":21,"second":16,"nano":0,"chronology":{"id":"ISO","calendarType":"iso8601"}},"response":1746796876501}]]</f>
        <v/>
      </c>
      <c r="C11" t="inlineStr">
        <is>
          <t>INFO</t>
        </is>
      </c>
      <c r="D11" t="inlineStr">
        <is>
          <t>vdh</t>
        </is>
      </c>
      <c r="E11" t="inlineStr">
        <is>
          <t>pro17</t>
        </is>
      </c>
      <c r="F11" t="inlineStr">
        <is>
          <t>prod</t>
        </is>
      </c>
    </row>
    <row r="12">
      <c r="A12" t="inlineStr">
        <is>
          <t>2025-05-09 21:18:50.731</t>
        </is>
      </c>
      <c r="B12">
        <f>=请求结束== [请求耗时]:18毫秒, [返回数据]:{"code":"000000","msg":"Success","traceId":"eaec01dd33d870b9dd84b56f981dd888"}</f>
        <v/>
      </c>
      <c r="C12" t="inlineStr">
        <is>
          <t>INFO</t>
        </is>
      </c>
      <c r="D12" t="inlineStr">
        <is>
          <t>vdh</t>
        </is>
      </c>
      <c r="E12" t="inlineStr">
        <is>
          <t>pro14</t>
        </is>
      </c>
      <c r="F12" t="inlineStr">
        <is>
          <t>prod</t>
        </is>
      </c>
    </row>
    <row r="13">
      <c r="A13" t="inlineStr">
        <is>
          <t>2025-05-09 21:18:50.713</t>
        </is>
      </c>
      <c r="B13">
        <f>=请求开始== [请求IP]:110.184.35.104 ,[请求方式]:POST， [请求URL]:https://172.30.212.148:8080/api/appservice/bfv/v1/chatHistory/batchSave, [请求类名]:com.yingzi.appservice.bfv.provider.rest.ChatHistoryController,[请求方法名]:batchSave, [请求头参数]:{"host":"172.30.212.148:8080"}, [请求参数]:[[{"userId":1030773310862331904,"deviceId":"F4:CE:23:BC:54:30","sessionId":"","avatarId":"11200220000208050000000000000000","appCode":"VDHtestWDC","instructionTemplateType":"","recordId":"","asrResult":"","knowledgeId":"","knowledgeMasterId":"","instructionType":"","instructionName":"","instructionFlag":"","parameter":"{}","ttsResultSource":"local","ttsResult":"好的开始烹饪,请耐心等待","ttsResultTime":{"year":2025,"monthValue":5,"month":"MAY","dayOfMonth":9,"dayOfYear":129,"dayOfWeek":"FRIDAY","hour":7,"minute":15,"second":57,"nano":0,"chronology":{"id":"ISO","calendarType":"iso8601"}},"response":1746746157750}]]</f>
        <v/>
      </c>
      <c r="C13" t="inlineStr">
        <is>
          <t>INFO</t>
        </is>
      </c>
      <c r="D13" t="inlineStr">
        <is>
          <t>vdh</t>
        </is>
      </c>
      <c r="E13" t="inlineStr">
        <is>
          <t>pro14</t>
        </is>
      </c>
      <c r="F13" t="inlineStr">
        <is>
          <t>prod</t>
        </is>
      </c>
    </row>
    <row r="14">
      <c r="A14" t="inlineStr">
        <is>
          <t>2025-05-09 21:10:34.898</t>
        </is>
      </c>
      <c r="B14">
        <f>=请求结束== [请求耗时]:15毫秒, [返回数据]:{"code":"000000","msg":"Success","traceId":"2dab0a51d245000cd5df10fa5fa87a90"}</f>
        <v/>
      </c>
      <c r="C14" t="inlineStr">
        <is>
          <t>INFO</t>
        </is>
      </c>
      <c r="D14" t="inlineStr">
        <is>
          <t>vdh</t>
        </is>
      </c>
      <c r="E14" t="inlineStr">
        <is>
          <t>pro14</t>
        </is>
      </c>
      <c r="F14" t="inlineStr">
        <is>
          <t>prod</t>
        </is>
      </c>
    </row>
    <row r="15">
      <c r="A15" t="inlineStr">
        <is>
          <t>2025-05-09 21:10:34.883</t>
        </is>
      </c>
      <c r="B15">
        <f>=请求开始== [请求IP]:180.139.211.179 ,[请求方式]:POST， [请求URL]:https://172.30.212.148:8080/api/appservice/bfv/v1/chatHistory/batchSave, [请求类名]:com.yingzi.appservice.bfv.provider.rest.ChatHistoryController,[请求方法名]:batchSave, [请求头参数]:{"host":"172.30.212.148:8080"}, [请求参数]:[[{"userId":1069342220569202688,"deviceId":"64:79:F0:90:2B:2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21,"minute":10,"second":29,"nano":0,"chronology":{"id":"ISO","calendarType":"iso8601"}},"response":1746796229721}]]</f>
        <v/>
      </c>
      <c r="C15" t="inlineStr">
        <is>
          <t>INFO</t>
        </is>
      </c>
      <c r="D15" t="inlineStr">
        <is>
          <t>vdh</t>
        </is>
      </c>
      <c r="E15" t="inlineStr">
        <is>
          <t>pro14</t>
        </is>
      </c>
      <c r="F15" t="inlineStr">
        <is>
          <t>prod</t>
        </is>
      </c>
    </row>
    <row r="16">
      <c r="A16" t="inlineStr">
        <is>
          <t>2025-05-09 21:09:34.670</t>
        </is>
      </c>
      <c r="B16">
        <f>=请求结束== [请求耗时]:17毫秒, [返回数据]:{"code":"000000","msg":"Success","traceId":"713a41be9cdf247d29dc57ac6c939ae2"}</f>
        <v/>
      </c>
      <c r="C16" t="inlineStr">
        <is>
          <t>INFO</t>
        </is>
      </c>
      <c r="D16" t="inlineStr">
        <is>
          <t>vdh</t>
        </is>
      </c>
      <c r="E16" t="inlineStr">
        <is>
          <t>pro17</t>
        </is>
      </c>
      <c r="F16" t="inlineStr">
        <is>
          <t>prod</t>
        </is>
      </c>
    </row>
    <row r="17">
      <c r="A17" t="inlineStr">
        <is>
          <t>2025-05-09 21:09:34.653</t>
        </is>
      </c>
      <c r="B17">
        <f>=请求开始== [请求IP]:180.139.211.179 ,[请求方式]:POST， [请求URL]:https://172.30.103.196:8080/api/appservice/bfv/v1/chatHistory/batchSave, [请求类名]:com.yingzi.appservice.bfv.provider.rest.ChatHistoryController,[请求方法名]:batchSave, [请求头参数]:{"host":"172.30.103.196:8080"}, [请求参数]:[[{"userId":1069342220569202688,"deviceId":"64:79:F0:90:2B:2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21,"minute":9,"second":29,"nano":0,"chronology":{"id":"ISO","calendarType":"iso8601"}},"response":1746796169386}]]</f>
        <v/>
      </c>
      <c r="C17" t="inlineStr">
        <is>
          <t>INFO</t>
        </is>
      </c>
      <c r="D17" t="inlineStr">
        <is>
          <t>vdh</t>
        </is>
      </c>
      <c r="E17" t="inlineStr">
        <is>
          <t>pro17</t>
        </is>
      </c>
      <c r="F17" t="inlineStr">
        <is>
          <t>prod</t>
        </is>
      </c>
    </row>
    <row r="18">
      <c r="A18" t="inlineStr">
        <is>
          <t>2025-05-09 20:58:29.358</t>
        </is>
      </c>
      <c r="B18">
        <f>=请求结束== [请求耗时]:14毫秒, [返回数据]:{"code":"000000","msg":"Success","traceId":"597c2b45acda581085f47b916a442eb6"}</f>
        <v/>
      </c>
      <c r="C18" t="inlineStr">
        <is>
          <t>INFO</t>
        </is>
      </c>
      <c r="D18" t="inlineStr">
        <is>
          <t>vdh</t>
        </is>
      </c>
      <c r="E18" t="inlineStr">
        <is>
          <t>pro14</t>
        </is>
      </c>
      <c r="F18" t="inlineStr">
        <is>
          <t>prod</t>
        </is>
      </c>
    </row>
    <row r="19">
      <c r="A19" t="inlineStr">
        <is>
          <t>2025-05-09 20:58:29.344</t>
        </is>
      </c>
      <c r="B19">
        <f>=请求开始== [请求IP]:222.218.29.25 ,[请求方式]:POST， [请求URL]:https://172.30.212.148:8080/api/appservice/bfv/v1/chatHistory/batchSave, [请求类名]:com.yingzi.appservice.bfv.provider.rest.ChatHistoryController,[请求方法名]:batchSave, [请求头参数]:{"host":"172.30.212.148:8080"}, [请求参数]:[[{"userId":903284567778942976,"deviceId":"64:79:F0:FF:55:FF","sessionId":"","avatarId":"11200220000208050000000000000000","appCode":"VDHtestWDC","instructionTemplateType":"","recordId":"","asrResult":"","instructionAsrFirstTime":{"year":2025,"monthValue":5,"month":"MAY","dayOfMonth":9,"dayOfYear":129,"dayOfWeek":"FRIDAY","hour":20,"minute":48,"second":47,"nano":0,"chronology":{"id":"ISO","calendarType":"iso8601"}},"knowledgeId":"","knowledgeMasterId":"","instructionType":"","instructionName":"","instructionFlag":"","parameter":"{}","ttsResultSource":"local","ttsResult":"这道菜小万还没学会,可以使用自助烹饪!","ttsResultTime":{"year":2025,"monthValue":5,"month":"MAY","dayOfMonth":9,"dayOfYear":129,"dayOfWeek":"FRIDAY","hour":20,"minute":48,"second":51,"nano":0,"chronology":{"id":"ISO","calendarType":"iso8601"}},"response":1746794931127}]]</f>
        <v/>
      </c>
      <c r="C19" t="inlineStr">
        <is>
          <t>INFO</t>
        </is>
      </c>
      <c r="D19" t="inlineStr">
        <is>
          <t>vdh</t>
        </is>
      </c>
      <c r="E19" t="inlineStr">
        <is>
          <t>pro14</t>
        </is>
      </c>
      <c r="F19" t="inlineStr">
        <is>
          <t>prod</t>
        </is>
      </c>
    </row>
    <row r="20">
      <c r="A20" t="inlineStr">
        <is>
          <t>2025-05-09 20:55:34.433</t>
        </is>
      </c>
      <c r="B20">
        <f>=请求结束== [请求耗时]:16毫秒, [返回数据]:{"code":"000000","msg":"Success","traceId":"1bd1c8de381bd64488f17784af0c34ce"}</f>
        <v/>
      </c>
      <c r="C20" t="inlineStr">
        <is>
          <t>INFO</t>
        </is>
      </c>
      <c r="D20" t="inlineStr">
        <is>
          <t>vdh</t>
        </is>
      </c>
      <c r="E20" t="inlineStr">
        <is>
          <t>pro17</t>
        </is>
      </c>
      <c r="F20" t="inlineStr">
        <is>
          <t>prod</t>
        </is>
      </c>
    </row>
    <row r="21">
      <c r="A21" t="inlineStr">
        <is>
          <t>2025-05-09 20:55:34.417</t>
        </is>
      </c>
      <c r="B21">
        <f>=请求开始== [请求IP]:222.218.29.25 ,[请求方式]:POST， [请求URL]:https://172.30.103.196:8080/api/appservice/bfv/v1/chatHistory/batchSave, [请求类名]:com.yingzi.appservice.bfv.provider.rest.ChatHistoryController,[请求方法名]:batchSave, [请求头参数]:{"host":"172.30.103.196:8080"}, [请求参数]:[[{"userId":903284567778942976,"deviceId":"64:79:F0:FF:55:FF","sessionId":"","avatarId":"11200220000208050000000000000000","appCode":"VDHtestWDC","instructionTemplateType":"","recordId":"","asrResult":"","instructionAsrFirstTime":{"year":2025,"monthValue":5,"month":"MAY","dayOfMonth":9,"dayOfYear":129,"dayOfWeek":"FRIDAY","hour":20,"minute":48,"second":44,"nano":0,"chronology":{"id":"ISO","calendarType":"iso8601"}},"knowledgeId":"","knowledgeMasterId":"","instructionType":"","instructionName":"","instructionFlag":"","parameter":"{}","ttsResultSource":"","ttsResult":"","response":0}]]</f>
        <v/>
      </c>
      <c r="C21" t="inlineStr">
        <is>
          <t>INFO</t>
        </is>
      </c>
      <c r="D21" t="inlineStr">
        <is>
          <t>vdh</t>
        </is>
      </c>
      <c r="E21" t="inlineStr">
        <is>
          <t>pro17</t>
        </is>
      </c>
      <c r="F21" t="inlineStr">
        <is>
          <t>prod</t>
        </is>
      </c>
    </row>
    <row r="22">
      <c r="A22" t="inlineStr">
        <is>
          <t>2025-05-09 20:20:19.159</t>
        </is>
      </c>
      <c r="B22">
        <f>=请求结束== [请求耗时]:14毫秒, [返回数据]:{"code":"000000","msg":"Success","traceId":"06ff0e5cea9abedea415ca01a9416250"}</f>
        <v/>
      </c>
      <c r="C22" t="inlineStr">
        <is>
          <t>INFO</t>
        </is>
      </c>
      <c r="D22" t="inlineStr">
        <is>
          <t>vdh</t>
        </is>
      </c>
      <c r="E22" t="inlineStr">
        <is>
          <t>pro14</t>
        </is>
      </c>
      <c r="F22" t="inlineStr">
        <is>
          <t>prod</t>
        </is>
      </c>
    </row>
    <row r="23">
      <c r="A23" t="inlineStr">
        <is>
          <t>2025-05-09 20:20:19.145</t>
        </is>
      </c>
      <c r="B23">
        <f>=请求开始== [请求IP]:218.17.115.163 ,[请求方式]:POST， [请求URL]:https://172.30.212.148:8080/api/appservice/bfv/v1/chatHistory/batchSave, [请求类名]:com.yingzi.appservice.bfv.provider.rest.ChatHistoryController,[请求方法名]:batchSave, [请求头参数]:{"host":"172.30.212.148:8080"}, [请求参数]:[[{"userId":908023066220077056,"deviceId":"F4:CE:23:DC:2B:93","sessionId":"","avatarId":"11200220000208050000000000000000","appCode":"VDHtestWDC","instructionTemplateType":"","recordId":"","asrResult":"","knowledgeId":"","knowledgeMasterId":"","instructionType":"","instructionName":"","instructionFlag":"","parameter":"{}","ttsResultSource":"","ttsResult":"","response":0}]]</f>
        <v/>
      </c>
      <c r="C23" t="inlineStr">
        <is>
          <t>INFO</t>
        </is>
      </c>
      <c r="D23" t="inlineStr">
        <is>
          <t>vdh</t>
        </is>
      </c>
      <c r="E23" t="inlineStr">
        <is>
          <t>pro14</t>
        </is>
      </c>
      <c r="F23" t="inlineStr">
        <is>
          <t>prod</t>
        </is>
      </c>
    </row>
    <row r="24">
      <c r="A24" t="inlineStr">
        <is>
          <t>2025-05-09 20:20:18.995</t>
        </is>
      </c>
      <c r="B24">
        <f>=请求结束== [请求耗时]:15毫秒, [返回数据]:{"code":"000000","msg":"Success","traceId":"7340e4aba5ce89398411e794a1149063"}</f>
        <v/>
      </c>
      <c r="C24" t="inlineStr">
        <is>
          <t>INFO</t>
        </is>
      </c>
      <c r="D24" t="inlineStr">
        <is>
          <t>vdh</t>
        </is>
      </c>
      <c r="E24" t="inlineStr">
        <is>
          <t>pro17</t>
        </is>
      </c>
      <c r="F24" t="inlineStr">
        <is>
          <t>prod</t>
        </is>
      </c>
    </row>
    <row r="25">
      <c r="A25" t="inlineStr">
        <is>
          <t>2025-05-09 20:20:18.980</t>
        </is>
      </c>
      <c r="B25">
        <f>=请求开始== [请求IP]:218.17.115.163 ,[请求方式]:POST， [请求URL]:https://172.30.103.196:8080/api/appservice/bfv/v1/chatHistory/batchSave, [请求类名]:com.yingzi.appservice.bfv.provider.rest.ChatHistoryController,[请求方法名]:batchSave, [请求头参数]:{"host":"172.30.103.196:8080"}, [请求参数]:[[{"userId":908023066098442241,"deviceId":"F4:CE:23:BC:3F:B8","sessionId":"","avatarId":"11200220000208050000000000000000","appCode":"VDHtestWDC","instructionTemplateType":"","recordId":"","asrResult":"","knowledgeId":"","knowledgeMasterId":"","instructionType":"","instructionName":"","instructionFlag":"","parameter":"{}","ttsResultSource":"","ttsResult":"","response":0}]]</f>
        <v/>
      </c>
      <c r="C25" t="inlineStr">
        <is>
          <t>INFO</t>
        </is>
      </c>
      <c r="D25" t="inlineStr">
        <is>
          <t>vdh</t>
        </is>
      </c>
      <c r="E25" t="inlineStr">
        <is>
          <t>pro17</t>
        </is>
      </c>
      <c r="F25" t="inlineStr">
        <is>
          <t>prod</t>
        </is>
      </c>
    </row>
    <row r="26">
      <c r="A26" t="inlineStr">
        <is>
          <t>2025-05-09 20:14:56.810</t>
        </is>
      </c>
      <c r="B26">
        <f>=请求结束== [请求耗时]:26毫秒, [返回数据]:{"code":"000000","msg":"Success","traceId":"960a1a458a530d707f7a7deec769cfa8"}</f>
        <v/>
      </c>
      <c r="C26" t="inlineStr">
        <is>
          <t>INFO</t>
        </is>
      </c>
      <c r="D26" t="inlineStr">
        <is>
          <t>vdh</t>
        </is>
      </c>
      <c r="E26" t="inlineStr">
        <is>
          <t>pro17</t>
        </is>
      </c>
      <c r="F26" t="inlineStr">
        <is>
          <t>prod</t>
        </is>
      </c>
    </row>
    <row r="27">
      <c r="A27" t="inlineStr">
        <is>
          <t>2025-05-09 20:14:56.784</t>
        </is>
      </c>
      <c r="B27">
        <f>=请求开始== [请求IP]:223.73.185.94 ,[请求方式]:POST， [请求URL]:https://172.30.103.196:8080/api/appservice/bfv/v1/chatHistory/batchSave, [请求类名]:com.yingzi.appservice.bfv.provider.rest.ChatHistoryController,[请求方法名]:batchSave, [请求头参数]:{"host":"172.30.103.196:8080"}, [请求参数]:[[{"userId":1197400469414801409,"deviceId":"64:79:F0:78:CF:3A","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20,"minute":1,"second":31,"nano":0,"chronology":{"id":"ISO","calendarType":"iso8601"}},"response":396646}]]</f>
        <v/>
      </c>
      <c r="C27" t="inlineStr">
        <is>
          <t>INFO</t>
        </is>
      </c>
      <c r="D27" t="inlineStr">
        <is>
          <t>vdh</t>
        </is>
      </c>
      <c r="E27" t="inlineStr">
        <is>
          <t>pro17</t>
        </is>
      </c>
      <c r="F27" t="inlineStr">
        <is>
          <t>prod</t>
        </is>
      </c>
    </row>
    <row r="28">
      <c r="A28" t="inlineStr">
        <is>
          <t>2025-05-09 20:12:19.142</t>
        </is>
      </c>
      <c r="B28">
        <f>=请求结束== [请求耗时]:15毫秒, [返回数据]:{"code":"000000","msg":"Success","traceId":"52d79116bcc9d1cfbbf8a74571dd6fa5"}</f>
        <v/>
      </c>
      <c r="C28" t="inlineStr">
        <is>
          <t>INFO</t>
        </is>
      </c>
      <c r="D28" t="inlineStr">
        <is>
          <t>vdh</t>
        </is>
      </c>
      <c r="E28" t="inlineStr">
        <is>
          <t>pro14</t>
        </is>
      </c>
      <c r="F28" t="inlineStr">
        <is>
          <t>prod</t>
        </is>
      </c>
    </row>
    <row r="29">
      <c r="A29" t="inlineStr">
        <is>
          <t>2025-05-09 20:12:19.128</t>
        </is>
      </c>
      <c r="B29">
        <f>=请求开始== [请求IP]:182.90.200.218 ,[请求方式]:POST， [请求URL]:https://172.30.212.148:8080/api/appservice/bfv/v1/chatHistory/batchSave, [请求类名]:com.yingzi.appservice.bfv.provider.rest.ChatHistoryController,[请求方法名]:batchSave, [请求头参数]:{"host":"172.30.212.148:8080"}, [请求参数]:[[{"userId":903284567665696769,"deviceId":"28:D0:EA:87:90:97","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20,"minute":12,"second":13,"nano":0,"chronology":{"id":"ISO","calendarType":"iso8601"}},"response":78493}]]</f>
        <v/>
      </c>
      <c r="C29" t="inlineStr">
        <is>
          <t>INFO</t>
        </is>
      </c>
      <c r="D29" t="inlineStr">
        <is>
          <t>vdh</t>
        </is>
      </c>
      <c r="E29" t="inlineStr">
        <is>
          <t>pro14</t>
        </is>
      </c>
      <c r="F29" t="inlineStr">
        <is>
          <t>prod</t>
        </is>
      </c>
    </row>
    <row r="30">
      <c r="A30" t="inlineStr">
        <is>
          <t>2025-05-09 20:11:09.811</t>
        </is>
      </c>
      <c r="B30">
        <f>=请求结束== [请求耗时]:14毫秒, [返回数据]:{"code":"000000","msg":"Success","traceId":"ff931d158f0c1c7bf3204d6d144f7453"}</f>
        <v/>
      </c>
      <c r="C30" t="inlineStr">
        <is>
          <t>INFO</t>
        </is>
      </c>
      <c r="D30" t="inlineStr">
        <is>
          <t>vdh</t>
        </is>
      </c>
      <c r="E30" t="inlineStr">
        <is>
          <t>pro17</t>
        </is>
      </c>
      <c r="F30" t="inlineStr">
        <is>
          <t>prod</t>
        </is>
      </c>
    </row>
    <row r="31">
      <c r="A31" t="inlineStr">
        <is>
          <t>2025-05-09 20:11:09.797</t>
        </is>
      </c>
      <c r="B31">
        <f>=请求开始== [请求IP]:182.90.200.218 ,[请求方式]:POST， [请求URL]:https://172.30.103.196:8080/api/appservice/bfv/v1/chatHistory/batchSave, [请求类名]:com.yingzi.appservice.bfv.provider.rest.ChatHistoryController,[请求方法名]:batchSave, [请求头参数]:{"host":"172.30.103.196:8080"}, [请求参数]:[[{"userId":903284567665696769,"deviceId":"28:D0:EA:87:90:97","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20,"minute":11,"second":4,"nano":0,"chronology":{"id":"ISO","calendarType":"iso8601"}},"response":9065}]]</f>
        <v/>
      </c>
      <c r="C31" t="inlineStr">
        <is>
          <t>INFO</t>
        </is>
      </c>
      <c r="D31" t="inlineStr">
        <is>
          <t>vdh</t>
        </is>
      </c>
      <c r="E31" t="inlineStr">
        <is>
          <t>pro17</t>
        </is>
      </c>
      <c r="F31" t="inlineStr">
        <is>
          <t>prod</t>
        </is>
      </c>
    </row>
    <row r="32">
      <c r="A32" t="inlineStr">
        <is>
          <t>2025-05-09 20:11:03.025</t>
        </is>
      </c>
      <c r="B32">
        <f>=请求结束== [请求耗时]:15毫秒, [返回数据]:{"code":"000000","msg":"Success","traceId":"9c9b0ce9edd6ca500c216e5f4ada6393"}</f>
        <v/>
      </c>
      <c r="C32" t="inlineStr">
        <is>
          <t>INFO</t>
        </is>
      </c>
      <c r="D32" t="inlineStr">
        <is>
          <t>vdh</t>
        </is>
      </c>
      <c r="E32" t="inlineStr">
        <is>
          <t>pro14</t>
        </is>
      </c>
      <c r="F32" t="inlineStr">
        <is>
          <t>prod</t>
        </is>
      </c>
    </row>
    <row r="33">
      <c r="A33" t="inlineStr">
        <is>
          <t>2025-05-09 20:11:03.010</t>
        </is>
      </c>
      <c r="B33">
        <f>=请求开始== [请求IP]:182.90.200.218 ,[请求方式]:POST， [请求URL]:https://172.30.212.148:8080/api/appservice/bfv/v1/chatHistory/batchSave, [请求类名]:com.yingzi.appservice.bfv.provider.rest.ChatHistoryController,[请求方法名]:batchSave, [请求头参数]:{"host":"172.30.212.148:8080"}, [请求参数]:[[{"userId":903284567665696769,"deviceId":"28:D0:EA:87:90:97","sessionId":"","avatarId":"11200220000208050000000000000000","appCode":"VDHtestWDC","instructionTemplateType":"Instruction_library","recordId":"","asrResult":"小万请加热牛排","instructionAsrFirstTime":{"year":2025,"monthValue":5,"month":"MAY","dayOfMonth":9,"dayOfYear":129,"dayOfWeek":"FRIDAY","hour":20,"minute":10,"second":52,"nano":0,"chronology":{"id":"ISO","calendarType":"iso8601"}},"knowledgeId":"","knowledgeMasterId":"295","instructionType":"COOKING","instructionName":"选择智能复热模式","instructionFlag":"heat_cooking_page_open","parameter":"{\"answer\":\"DEFAULT\",\"code\":\"heat_cooking_page_open\",\"continue_answer\":\"\",\"continue_failed_answer\":\"\",\"entities\":\"\",\"failed_answer\":\"{\\\"answerId\\\":\\\"\\\",\\\"value\\\":\\\"抱歉，执行失败\\\",\\\"hidb\\\":\\\"\\\",\\\"aplusId\\\":\\\"\\\",\\\"flag\\\":true,\\\"updFlag\\\":false,\\\"cache\\\":false}\",\"hitBusiness\":\"295\",\"init_state\":\"false\",\"intent\":\"选择智能复热模式\",\"intentType\":\"COOKING\",\"isEnd\":\"true\",\"isMulti\":\"false\",\"service\":\"Instruction_library\",\"succeed_answer\":\"{\\\"answerId\\\":\\\"\\\",\\\"value\\\":\\\"好的\\\",\\\"hidb\\\":\\\"\\\",\\\"aplusId\\\":\\\"\\\",\\\"flag\\\":true,\\\"updFlag\\\":false,\\\"cache\\\":false}\"}","ttsResultSource":"local","ttsResult":"好嘞,已经按照推荐的温度调好了,要帮主人开始烹饪吗","ttsResultTime":{"year":2025,"monthValue":5,"month":"MAY","dayOfMonth":9,"dayOfYear":129,"dayOfWeek":"FRIDAY","hour":20,"minute":10,"second":57,"nano":0,"chronology":{"id":"ISO","calendarType":"iso8601"}},"response":2536}]]</f>
        <v/>
      </c>
      <c r="C33" t="inlineStr">
        <is>
          <t>INFO</t>
        </is>
      </c>
      <c r="D33" t="inlineStr">
        <is>
          <t>vdh</t>
        </is>
      </c>
      <c r="E33" t="inlineStr">
        <is>
          <t>pro14</t>
        </is>
      </c>
      <c r="F33" t="inlineStr">
        <is>
          <t>prod</t>
        </is>
      </c>
    </row>
    <row r="34">
      <c r="A34" t="inlineStr">
        <is>
          <t>2025-05-09 20:10:51.354</t>
        </is>
      </c>
      <c r="B34">
        <f>=请求结束== [请求耗时]:16毫秒, [返回数据]:{"code":"000000","msg":"Success","traceId":"528fa4b3ef3bcaa81c85e4b7b60f0750"}</f>
        <v/>
      </c>
      <c r="C34" t="inlineStr">
        <is>
          <t>INFO</t>
        </is>
      </c>
      <c r="D34" t="inlineStr">
        <is>
          <t>vdh</t>
        </is>
      </c>
      <c r="E34" t="inlineStr">
        <is>
          <t>pro17</t>
        </is>
      </c>
      <c r="F34" t="inlineStr">
        <is>
          <t>prod</t>
        </is>
      </c>
    </row>
    <row r="35">
      <c r="A35" t="inlineStr">
        <is>
          <t>2025-05-09 20:10:51.338</t>
        </is>
      </c>
      <c r="B35">
        <f>=请求开始== [请求IP]:182.90.200.218 ,[请求方式]:POST， [请求URL]:https://172.30.103.196:8080/api/appservice/bfv/v1/chatHistory/batchSave, [请求类名]:com.yingzi.appservice.bfv.provider.rest.ChatHistoryController,[请求方法名]:batchSave, [请求头参数]:{"host":"172.30.103.196:8080"}, [请求参数]:[[{"userId":903284567665696769,"deviceId":"28:D0:EA:87:90:97","sessionId":"","avatarId":"11200220000208050000000000000000","appCode":"VDHtestWDC","instructionTemplateType":"","recordId":"","asrResult":"","knowledgeId":"","knowledgeMasterId":"","instructionType":"","instructionName":"","instructionFlag":"","parameter":"{}","ttsResultSource":"local","ttsResult":"小万发现了法式橙香鸭胸肉,请选择烹饪模式","ttsResultTime":{"year":2025,"monthValue":5,"month":"MAY","dayOfMonth":9,"dayOfYear":129,"dayOfWeek":"FRIDAY","hour":20,"minute":10,"second":46,"nano":0,"chronology":{"id":"ISO","calendarType":"iso8601"}},"response":1746792646707}]]</f>
        <v/>
      </c>
      <c r="C35" t="inlineStr">
        <is>
          <t>INFO</t>
        </is>
      </c>
      <c r="D35" t="inlineStr">
        <is>
          <t>vdh</t>
        </is>
      </c>
      <c r="E35" t="inlineStr">
        <is>
          <t>pro17</t>
        </is>
      </c>
      <c r="F35" t="inlineStr">
        <is>
          <t>prod</t>
        </is>
      </c>
    </row>
    <row r="36">
      <c r="A36" t="inlineStr">
        <is>
          <t>2025-05-09 20:08:21.757</t>
        </is>
      </c>
      <c r="B36">
        <f>=请求结束== [请求耗时]:21毫秒, [返回数据]:{"code":"000000","msg":"Success","traceId":"28008a647cf038fac999d2885adecc16"}</f>
        <v/>
      </c>
      <c r="C36" t="inlineStr">
        <is>
          <t>INFO</t>
        </is>
      </c>
      <c r="D36" t="inlineStr">
        <is>
          <t>vdh</t>
        </is>
      </c>
      <c r="E36" t="inlineStr">
        <is>
          <t>pro14</t>
        </is>
      </c>
      <c r="F36" t="inlineStr">
        <is>
          <t>prod</t>
        </is>
      </c>
    </row>
    <row r="37">
      <c r="A37" t="inlineStr">
        <is>
          <t>2025-05-09 20:08:21.736</t>
        </is>
      </c>
      <c r="B37">
        <f>=请求开始== [请求IP]:223.73.185.94 ,[请求方式]:POST， [请求URL]:https://172.30.212.148:8080/api/appservice/bfv/v1/chatHistory/batchSave, [请求类名]:com.yingzi.appservice.bfv.provider.rest.ChatHistoryController,[请求方法名]:batchSave, [请求头参数]:{"host":"172.30.212.148:8080"}, [请求参数]:[[{"userId":1197400469414801409,"deviceId":"64:79:F0:78:CF:3A","sessionId":"","avatarId":"11200220000208050000000000000000","appCode":"VDHtestWDC","instructionTemplateType":"","recordId":"","asrResult":"就用酸菜肉丝来拍","instructionAsrFirstTime":{"year":2025,"monthValue":5,"month":"MAY","dayOfMonth":9,"dayOfYear":129,"dayOfWeek":"FRIDAY","hour":19,"minute":54,"second":53,"nano":0,"chronology":{"id":"ISO","calendarType":"iso8601"}},"knowledgeId":"","knowledgeMasterId":"","instructionType":"","instructionName":"","instructionFlag":"","parameter":"{}","ttsResultSource":"local","ttsResult":"小万发现了酸菜肉丝,要帮主人开始烹饪吗","ttsResultTime":{"year":2025,"monthValue":5,"month":"MAY","dayOfMonth":9,"dayOfYear":129,"dayOfWeek":"FRIDAY","hour":19,"minute":55,"second":0,"nano":0,"chronology":{"id":"ISO","calendarType":"iso8601"}},"response":6037}]]</f>
        <v/>
      </c>
      <c r="C37" t="inlineStr">
        <is>
          <t>INFO</t>
        </is>
      </c>
      <c r="D37" t="inlineStr">
        <is>
          <t>vdh</t>
        </is>
      </c>
      <c r="E37" t="inlineStr">
        <is>
          <t>pro14</t>
        </is>
      </c>
      <c r="F37" t="inlineStr">
        <is>
          <t>prod</t>
        </is>
      </c>
    </row>
    <row r="38">
      <c r="A38" t="inlineStr">
        <is>
          <t>2025-05-09 20:08:12.497</t>
        </is>
      </c>
      <c r="B38">
        <f>=请求结束== [请求耗时]:15毫秒, [返回数据]:{"code":"000000","msg":"Success","traceId":"d343542552fb6a962f6b5f31b5573fbe"}</f>
        <v/>
      </c>
      <c r="C38" t="inlineStr">
        <is>
          <t>INFO</t>
        </is>
      </c>
      <c r="D38" t="inlineStr">
        <is>
          <t>vdh</t>
        </is>
      </c>
      <c r="E38" t="inlineStr">
        <is>
          <t>pro17</t>
        </is>
      </c>
      <c r="F38" t="inlineStr">
        <is>
          <t>prod</t>
        </is>
      </c>
    </row>
    <row r="39">
      <c r="A39" t="inlineStr">
        <is>
          <t>2025-05-09 20:08:12.482</t>
        </is>
      </c>
      <c r="B39">
        <f>=请求开始== [请求IP]:223.73.185.94 ,[请求方式]:POST， [请求URL]:https://172.30.103.196:8080/api/appservice/bfv/v1/chatHistory/batchSave, [请求类名]:com.yingzi.appservice.bfv.provider.rest.ChatHistoryController,[请求方法名]:batchSave, [请求头参数]:{"host":"172.30.103.196:8080"}, [请求参数]:[[{"userId":1197400469414801409,"deviceId":"64:79:F0:78:CF:3A","sessionId":"","avatarId":"11200220000208050000000000000000","appCode":"VDHtestWDC","instructionTemplateType":"","recordId":"","asrResult":"","knowledgeId":"","knowledgeMasterId":"","instructionType":"","instructionName":"","instructionFlag":"","parameter":"{}","ttsResultSource":"local","ttsResult":"这道菜小万还没学会,可以使用自助烹饪!小万发现了酸菜肉丝,请选择烹饪模式","ttsResultTime":{"year":2025,"monthValue":5,"month":"MAY","dayOfMonth":9,"dayOfYear":129,"dayOfWeek":"FRIDAY","hour":19,"minute":54,"second":30,"nano":0,"chronology":{"id":"ISO","calendarType":"iso8601"}},"response":1746791670033}]]</f>
        <v/>
      </c>
      <c r="C39" t="inlineStr">
        <is>
          <t>INFO</t>
        </is>
      </c>
      <c r="D39" t="inlineStr">
        <is>
          <t>vdh</t>
        </is>
      </c>
      <c r="E39" t="inlineStr">
        <is>
          <t>pro17</t>
        </is>
      </c>
      <c r="F39" t="inlineStr">
        <is>
          <t>prod</t>
        </is>
      </c>
    </row>
    <row r="40">
      <c r="A40" t="inlineStr">
        <is>
          <t>2025-05-09 20:01:25.591</t>
        </is>
      </c>
      <c r="B40">
        <f>=请求结束== [请求耗时]:15毫秒, [返回数据]:{"code":"000000","msg":"Success","traceId":"e622790d3596b1d32a498ee2cce62770"}</f>
        <v/>
      </c>
      <c r="C40" t="inlineStr">
        <is>
          <t>INFO</t>
        </is>
      </c>
      <c r="D40" t="inlineStr">
        <is>
          <t>vdh</t>
        </is>
      </c>
      <c r="E40" t="inlineStr">
        <is>
          <t>pro14</t>
        </is>
      </c>
      <c r="F40" t="inlineStr">
        <is>
          <t>prod</t>
        </is>
      </c>
    </row>
    <row r="41">
      <c r="A41" t="inlineStr">
        <is>
          <t>2025-05-09 20:01:25.577</t>
        </is>
      </c>
      <c r="B41">
        <f>=请求开始== [请求IP]:120.230.119.45 ,[请求方式]:POST， [请求URL]:https://172.30.212.148:8080/api/appservice/bfv/v1/chatHistory/batchSave, [请求类名]:com.yingzi.appservice.bfv.provider.rest.ChatHistoryController,[请求方法名]:batchSave, [请求头参数]:{"host":"172.30.212.148:8080"}, [请求参数]:[[{"userId":1260415678205181952,"deviceId":"64:79:F0:79:7A:F7","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20,"minute":1,"second":20,"nano":0,"chronology":{"id":"ISO","calendarType":"iso8601"}},"response":1746792080370}]]</f>
        <v/>
      </c>
      <c r="C41" t="inlineStr">
        <is>
          <t>INFO</t>
        </is>
      </c>
      <c r="D41" t="inlineStr">
        <is>
          <t>vdh</t>
        </is>
      </c>
      <c r="E41" t="inlineStr">
        <is>
          <t>pro14</t>
        </is>
      </c>
      <c r="F41" t="inlineStr">
        <is>
          <t>prod</t>
        </is>
      </c>
    </row>
    <row r="42">
      <c r="A42" t="inlineStr">
        <is>
          <t>2025-05-09 20:01:25.410</t>
        </is>
      </c>
      <c r="B42">
        <f>=请求结束== [请求耗时]:13毫秒, [返回数据]:{"code":"000000","msg":"Success","traceId":"a038feee04254a777f8108a539ffba55"}</f>
        <v/>
      </c>
      <c r="C42" t="inlineStr">
        <is>
          <t>INFO</t>
        </is>
      </c>
      <c r="D42" t="inlineStr">
        <is>
          <t>vdh</t>
        </is>
      </c>
      <c r="E42" t="inlineStr">
        <is>
          <t>pro17</t>
        </is>
      </c>
      <c r="F42" t="inlineStr">
        <is>
          <t>prod</t>
        </is>
      </c>
    </row>
    <row r="43">
      <c r="A43" t="inlineStr">
        <is>
          <t>2025-05-09 20:01:25.397</t>
        </is>
      </c>
      <c r="B43">
        <f>=请求开始== [请求IP]:117.181.29.233 ,[请求方式]:POST， [请求URL]:https://172.30.103.196:8080/api/appservice/bfv/v1/chatHistory/batchSave, [请求类名]:com.yingzi.appservice.bfv.provider.rest.ChatHistoryController,[请求方法名]:batchSave, [请求头参数]:{"host":"172.30.103.196:8080"}, [请求参数]:[[{"userId":1309871072332574720,"deviceId":"F4:CE:23:BC:1B:69","sessionId":"","avatarId":"11200220000208050000000000000000","appCode":"VDHtestWDC","instructionTemplateType":"","recordId":"","asrResult":"","knowledgeId":"","knowledgeMasterId":"","instructionType":"","instructionName":"","instructionFlag":"","parameter":"{}","ttsResultSource":"","ttsResult":"","response":0}]]</f>
        <v/>
      </c>
      <c r="C43" t="inlineStr">
        <is>
          <t>INFO</t>
        </is>
      </c>
      <c r="D43" t="inlineStr">
        <is>
          <t>vdh</t>
        </is>
      </c>
      <c r="E43" t="inlineStr">
        <is>
          <t>pro17</t>
        </is>
      </c>
      <c r="F43" t="inlineStr">
        <is>
          <t>prod</t>
        </is>
      </c>
    </row>
    <row r="44">
      <c r="A44" t="inlineStr">
        <is>
          <t>2025-05-09 20:00:37.878</t>
        </is>
      </c>
      <c r="B44">
        <f>=请求结束== [请求耗时]:15毫秒, [返回数据]:{"code":"000000","msg":"Success","traceId":"a68bec3c6551eff95c767de015f76143"}</f>
        <v/>
      </c>
      <c r="C44" t="inlineStr">
        <is>
          <t>INFO</t>
        </is>
      </c>
      <c r="D44" t="inlineStr">
        <is>
          <t>vdh</t>
        </is>
      </c>
      <c r="E44" t="inlineStr">
        <is>
          <t>pro14</t>
        </is>
      </c>
      <c r="F44" t="inlineStr">
        <is>
          <t>prod</t>
        </is>
      </c>
    </row>
    <row r="45">
      <c r="A45" t="inlineStr">
        <is>
          <t>2025-05-09 20:00:37.863</t>
        </is>
      </c>
      <c r="B45">
        <f>=请求开始== [请求IP]:116.9.6.7 ,[请求方式]:POST， [请求URL]:https://172.30.212.148:8080/api/appservice/bfv/v1/chatHistory/batchSave, [请求类名]:com.yingzi.appservice.bfv.provider.rest.ChatHistoryController,[请求方法名]:batchSave, [请求头参数]:{"host":"172.30.212.148:8080"}, [请求参数]:[[{"userId":908023031466074113,"deviceId":"28:D0:EA:87:39:C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20,"minute":0,"second":32,"nano":0,"chronology":{"id":"ISO","calendarType":"iso8601"}},"response":1746792032631}]]</f>
        <v/>
      </c>
      <c r="C45" t="inlineStr">
        <is>
          <t>INFO</t>
        </is>
      </c>
      <c r="D45" t="inlineStr">
        <is>
          <t>vdh</t>
        </is>
      </c>
      <c r="E45" t="inlineStr">
        <is>
          <t>pro14</t>
        </is>
      </c>
      <c r="F45" t="inlineStr">
        <is>
          <t>prod</t>
        </is>
      </c>
    </row>
    <row r="46">
      <c r="A46" t="inlineStr">
        <is>
          <t>2025-05-09 19:59:41.983</t>
        </is>
      </c>
      <c r="B46">
        <f>=请求结束== [请求耗时]:19毫秒, [返回数据]:{"code":"000000","msg":"Success","traceId":"86f98e4e468b7e9f9035a86bead3cc41"}</f>
        <v/>
      </c>
      <c r="C46" t="inlineStr">
        <is>
          <t>INFO</t>
        </is>
      </c>
      <c r="D46" t="inlineStr">
        <is>
          <t>vdh</t>
        </is>
      </c>
      <c r="E46" t="inlineStr">
        <is>
          <t>pro17</t>
        </is>
      </c>
      <c r="F46" t="inlineStr">
        <is>
          <t>prod</t>
        </is>
      </c>
    </row>
    <row r="47">
      <c r="A47" t="inlineStr">
        <is>
          <t>2025-05-09 19:59:41.964</t>
        </is>
      </c>
      <c r="B47">
        <f>=请求开始== [请求IP]:120.230.119.45 ,[请求方式]:POST， [请求URL]:https://172.30.103.196:8080/api/appservice/bfv/v1/chatHistory/batchSave, [请求类名]:com.yingzi.appservice.bfv.provider.rest.ChatHistoryController,[请求方法名]:batchSave, [请求头参数]:{"host":"172.30.103.196:8080"}, [请求参数]:[[{"userId":1260415678205181952,"deviceId":"64:79:F0:79:7A:F7","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19,"minute":59,"second":36,"nano":0,"chronology":{"id":"ISO","calendarType":"iso8601"}},"response":1746791976741}]]</f>
        <v/>
      </c>
      <c r="C47" t="inlineStr">
        <is>
          <t>INFO</t>
        </is>
      </c>
      <c r="D47" t="inlineStr">
        <is>
          <t>vdh</t>
        </is>
      </c>
      <c r="E47" t="inlineStr">
        <is>
          <t>pro17</t>
        </is>
      </c>
      <c r="F47" t="inlineStr">
        <is>
          <t>prod</t>
        </is>
      </c>
    </row>
    <row r="48">
      <c r="A48" t="inlineStr">
        <is>
          <t>2025-05-09 19:58:37.397</t>
        </is>
      </c>
      <c r="B48">
        <f>=请求结束== [请求耗时]:20毫秒, [返回数据]:{"code":"000000","msg":"Success","traceId":"ad9dd4aa4507c325fae694d834ad89c0"}</f>
        <v/>
      </c>
      <c r="C48" t="inlineStr">
        <is>
          <t>INFO</t>
        </is>
      </c>
      <c r="D48" t="inlineStr">
        <is>
          <t>vdh</t>
        </is>
      </c>
      <c r="E48" t="inlineStr">
        <is>
          <t>pro14</t>
        </is>
      </c>
      <c r="F48" t="inlineStr">
        <is>
          <t>prod</t>
        </is>
      </c>
    </row>
    <row r="49">
      <c r="A49" t="inlineStr">
        <is>
          <t>2025-05-09 19:58:37.377</t>
        </is>
      </c>
      <c r="B49">
        <f>=请求开始== [请求IP]:116.9.6.7 ,[请求方式]:POST， [请求URL]:https://172.30.212.148:8080/api/appservice/bfv/v1/chatHistory/batchSave, [请求类名]:com.yingzi.appservice.bfv.provider.rest.ChatHistoryController,[请求方法名]:batchSave, [请求头参数]:{"host":"172.30.212.148:8080"}, [请求参数]:[[{"userId":908023031466074113,"deviceId":"28:D0:EA:87:39:C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19,"minute":58,"second":32,"nano":0,"chronology":{"id":"ISO","calendarType":"iso8601"}},"response":1746791912152}]]</f>
        <v/>
      </c>
      <c r="C49" t="inlineStr">
        <is>
          <t>INFO</t>
        </is>
      </c>
      <c r="D49" t="inlineStr">
        <is>
          <t>vdh</t>
        </is>
      </c>
      <c r="E49" t="inlineStr">
        <is>
          <t>pro14</t>
        </is>
      </c>
      <c r="F49" t="inlineStr">
        <is>
          <t>prod</t>
        </is>
      </c>
    </row>
    <row r="50">
      <c r="A50" t="inlineStr">
        <is>
          <t>2025-05-09 19:58:26.814</t>
        </is>
      </c>
      <c r="B50">
        <f>=请求结束== [请求耗时]:12毫秒, [返回数据]:{"code":"000000","msg":"Success","traceId":"3d9f09c6893cf0e1b498bc5b02570bfe"}</f>
        <v/>
      </c>
      <c r="C50" t="inlineStr">
        <is>
          <t>INFO</t>
        </is>
      </c>
      <c r="D50" t="inlineStr">
        <is>
          <t>vdh</t>
        </is>
      </c>
      <c r="E50" t="inlineStr">
        <is>
          <t>pro17</t>
        </is>
      </c>
      <c r="F50" t="inlineStr">
        <is>
          <t>prod</t>
        </is>
      </c>
    </row>
    <row r="51">
      <c r="A51" t="inlineStr">
        <is>
          <t>2025-05-09 19:58:26.802</t>
        </is>
      </c>
      <c r="B51">
        <f>=请求开始== [请求IP]:116.9.6.7 ,[请求方式]:POST， [请求URL]:https://172.30.103.196:8080/api/appservice/bfv/v1/chatHistory/batchSave, [请求类名]:com.yingzi.appservice.bfv.provider.rest.ChatHistoryController,[请求方法名]:batchSave, [请求头参数]:{"host":"172.30.103.196:8080"}, [请求参数]:[[{"userId":908023031466074113,"deviceId":"28:D0:EA:87:39:CB","sessionId":"","avatarId":"11200220000208050000000000000000","appCode":"VDHtestWDC","instructionTemplateType":"","recordId":"","asrResult":"","knowledgeId":"","knowledgeMasterId":"","instructionType":"","instructionName":"","instructionFlag":"","parameter":"{}","ttsResultSource":"local","ttsResult":"小万发现了上汤娃娃菜,请选择烹饪模式","ttsResultTime":{"year":2025,"monthValue":5,"month":"MAY","dayOfMonth":9,"dayOfYear":129,"dayOfWeek":"FRIDAY","hour":19,"minute":58,"second":22,"nano":0,"chronology":{"id":"ISO","calendarType":"iso8601"}},"response":1746791902681}]]</f>
        <v/>
      </c>
      <c r="C51" t="inlineStr">
        <is>
          <t>INFO</t>
        </is>
      </c>
      <c r="D51" t="inlineStr">
        <is>
          <t>vdh</t>
        </is>
      </c>
      <c r="E51" t="inlineStr">
        <is>
          <t>pro17</t>
        </is>
      </c>
      <c r="F51" t="inlineStr">
        <is>
          <t>prod</t>
        </is>
      </c>
    </row>
    <row r="52">
      <c r="A52" t="inlineStr">
        <is>
          <t>2025-05-09 19:57:44.440</t>
        </is>
      </c>
      <c r="B52">
        <f>=请求结束== [请求耗时]:18毫秒, [返回数据]:{"code":"000000","msg":"Success","traceId":"1438a1fb2846bf4d90fc2c99f068d213"}</f>
        <v/>
      </c>
      <c r="C52" t="inlineStr">
        <is>
          <t>INFO</t>
        </is>
      </c>
      <c r="D52" t="inlineStr">
        <is>
          <t>vdh</t>
        </is>
      </c>
      <c r="E52" t="inlineStr">
        <is>
          <t>pro14</t>
        </is>
      </c>
      <c r="F52" t="inlineStr">
        <is>
          <t>prod</t>
        </is>
      </c>
    </row>
    <row r="53">
      <c r="A53" t="inlineStr">
        <is>
          <t>2025-05-09 19:57:44.422</t>
        </is>
      </c>
      <c r="B53">
        <f>=请求开始== [请求IP]:116.9.6.7 ,[请求方式]:POST， [请求URL]:https://172.30.212.148:8080/api/appservice/bfv/v1/chatHistory/batchSave, [请求类名]:com.yingzi.appservice.bfv.provider.rest.ChatHistoryController,[请求方法名]:batchSave, [请求头参数]:{"host":"172.30.212.148:8080"}, [请求参数]:[[{"userId":908023031466074113,"deviceId":"28:D0:EA:87:39:C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19,"minute":57,"second":39,"nano":0,"chronology":{"id":"ISO","calendarType":"iso8601"}},"response":1746791859255}]]</f>
        <v/>
      </c>
      <c r="C53" t="inlineStr">
        <is>
          <t>INFO</t>
        </is>
      </c>
      <c r="D53" t="inlineStr">
        <is>
          <t>vdh</t>
        </is>
      </c>
      <c r="E53" t="inlineStr">
        <is>
          <t>pro14</t>
        </is>
      </c>
      <c r="F53" t="inlineStr">
        <is>
          <t>prod</t>
        </is>
      </c>
    </row>
    <row r="54">
      <c r="A54" t="inlineStr">
        <is>
          <t>2025-05-09 19:55:44.258</t>
        </is>
      </c>
      <c r="B54">
        <f>=请求结束== [请求耗时]:12毫秒, [返回数据]:{"code":"000000","msg":"Success","traceId":"fb0f5452ff40cc926a4e84e755425847"}</f>
        <v/>
      </c>
      <c r="C54" t="inlineStr">
        <is>
          <t>INFO</t>
        </is>
      </c>
      <c r="D54" t="inlineStr">
        <is>
          <t>vdh</t>
        </is>
      </c>
      <c r="E54" t="inlineStr">
        <is>
          <t>pro17</t>
        </is>
      </c>
      <c r="F54" t="inlineStr">
        <is>
          <t>prod</t>
        </is>
      </c>
    </row>
    <row r="55">
      <c r="A55" t="inlineStr">
        <is>
          <t>2025-05-09 19:55:44.246</t>
        </is>
      </c>
      <c r="B55">
        <f>=请求开始== [请求IP]:116.9.6.7 ,[请求方式]:POST， [请求URL]:https://172.30.103.196:8080/api/appservice/bfv/v1/chatHistory/batchSave, [请求类名]:com.yingzi.appservice.bfv.provider.rest.ChatHistoryController,[请求方法名]:batchSave, [请求头参数]:{"host":"172.30.103.196:8080"}, [请求参数]:[[{"userId":908023031466074113,"deviceId":"28:D0:EA:87:39:C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19,"minute":55,"second":38,"nano":0,"chronology":{"id":"ISO","calendarType":"iso8601"}},"response":1746791738951}]]</f>
        <v/>
      </c>
      <c r="C55" t="inlineStr">
        <is>
          <t>INFO</t>
        </is>
      </c>
      <c r="D55" t="inlineStr">
        <is>
          <t>vdh</t>
        </is>
      </c>
      <c r="E55" t="inlineStr">
        <is>
          <t>pro17</t>
        </is>
      </c>
      <c r="F55" t="inlineStr">
        <is>
          <t>prod</t>
        </is>
      </c>
    </row>
    <row r="56">
      <c r="A56" t="inlineStr">
        <is>
          <t>2025-05-09 19:55:28.284</t>
        </is>
      </c>
      <c r="B56">
        <f>=请求结束== [请求耗时]:17毫秒, [返回数据]:{"code":"000000","msg":"Success","traceId":"f2d23f3ad7b2e262c737e423a2c8fcde"}</f>
        <v/>
      </c>
      <c r="C56" t="inlineStr">
        <is>
          <t>INFO</t>
        </is>
      </c>
      <c r="D56" t="inlineStr">
        <is>
          <t>vdh</t>
        </is>
      </c>
      <c r="E56" t="inlineStr">
        <is>
          <t>pro14</t>
        </is>
      </c>
      <c r="F56" t="inlineStr">
        <is>
          <t>prod</t>
        </is>
      </c>
    </row>
    <row r="57">
      <c r="A57" t="inlineStr">
        <is>
          <t>2025-05-09 19:55:28.267</t>
        </is>
      </c>
      <c r="B57">
        <f>=请求开始== [请求IP]:116.9.6.7 ,[请求方式]:POST， [请求URL]:https://172.30.212.148:8080/api/appservice/bfv/v1/chatHistory/batchSave, [请求类名]:com.yingzi.appservice.bfv.provider.rest.ChatHistoryController,[请求方法名]:batchSave, [请求头参数]:{"host":"172.30.212.148:8080"}, [请求参数]:[[{"userId":908023031466074113,"deviceId":"28:D0:EA:87:39:CB","sessionId":"","avatarId":"11200220000208050000000000000000","appCode":"VDHtestWDC","instructionTemplateType":"","recordId":"","asrResult":"","knowledgeId":"","knowledgeMasterId":"","instructionType":"","instructionName":"","instructionFlag":"","parameter":"{}","ttsResultSource":"local","ttsResult":"小万发现了燕麦粥+甜玉米,请选择烹饪模式","ttsResultTime":{"year":2025,"monthValue":5,"month":"MAY","dayOfMonth":9,"dayOfYear":129,"dayOfWeek":"FRIDAY","hour":19,"minute":55,"second":23,"nano":0,"chronology":{"id":"ISO","calendarType":"iso8601"}},"response":1746791723865}]]</f>
        <v/>
      </c>
      <c r="C57" t="inlineStr">
        <is>
          <t>INFO</t>
        </is>
      </c>
      <c r="D57" t="inlineStr">
        <is>
          <t>vdh</t>
        </is>
      </c>
      <c r="E57" t="inlineStr">
        <is>
          <t>pro14</t>
        </is>
      </c>
      <c r="F57" t="inlineStr">
        <is>
          <t>prod</t>
        </is>
      </c>
    </row>
    <row r="58">
      <c r="A58" t="inlineStr">
        <is>
          <t>2025-05-09 19:38:56.214</t>
        </is>
      </c>
      <c r="B58">
        <f>=请求结束== [请求耗时]:16毫秒, [返回数据]:{"code":"000000","msg":"Success","traceId":"5a91d2a3c86236e0ff474b72c766e8b0"}</f>
        <v/>
      </c>
      <c r="C58" t="inlineStr">
        <is>
          <t>INFO</t>
        </is>
      </c>
      <c r="D58" t="inlineStr">
        <is>
          <t>vdh</t>
        </is>
      </c>
      <c r="E58" t="inlineStr">
        <is>
          <t>pro17</t>
        </is>
      </c>
      <c r="F58" t="inlineStr">
        <is>
          <t>prod</t>
        </is>
      </c>
    </row>
    <row r="59">
      <c r="A59" t="inlineStr">
        <is>
          <t>2025-05-09 19:38:56.198</t>
        </is>
      </c>
      <c r="B59">
        <f>=请求开始== [请求IP]:14.145.79.89 ,[请求方式]:POST， [请求URL]:https://172.30.103.196:8080/api/appservice/bfv/v1/chatHistory/batchSave, [请求类名]:com.yingzi.appservice.bfv.provider.rest.ChatHistoryController,[请求方法名]:batchSave, [请求头参数]:{"host":"172.30.103.196:8080"}, [请求参数]:[[{"userId":1187618907244167170,"deviceId":"64:79:F0:E9:E1:6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19,"minute":38,"second":51,"nano":0,"chronology":{"id":"ISO","calendarType":"iso8601"}},"response":21567}]]</f>
        <v/>
      </c>
      <c r="C59" t="inlineStr">
        <is>
          <t>INFO</t>
        </is>
      </c>
      <c r="D59" t="inlineStr">
        <is>
          <t>vdh</t>
        </is>
      </c>
      <c r="E59" t="inlineStr">
        <is>
          <t>pro17</t>
        </is>
      </c>
      <c r="F59" t="inlineStr">
        <is>
          <t>prod</t>
        </is>
      </c>
    </row>
    <row r="60">
      <c r="A60" t="inlineStr">
        <is>
          <t>2025-05-09 19:38:51.366</t>
        </is>
      </c>
      <c r="B60">
        <f>=请求结束== [请求耗时]:14毫秒, [返回数据]:{"code":"000000","msg":"Success","traceId":"1eadd68f7776d96aa7af1834ec6e7e35"}</f>
        <v/>
      </c>
      <c r="C60" t="inlineStr">
        <is>
          <t>INFO</t>
        </is>
      </c>
      <c r="D60" t="inlineStr">
        <is>
          <t>vdh</t>
        </is>
      </c>
      <c r="E60" t="inlineStr">
        <is>
          <t>pro14</t>
        </is>
      </c>
      <c r="F60" t="inlineStr">
        <is>
          <t>prod</t>
        </is>
      </c>
    </row>
    <row r="61">
      <c r="A61" t="inlineStr">
        <is>
          <t>2025-05-09 19:38:51.352</t>
        </is>
      </c>
      <c r="B61">
        <f>=请求开始== [请求IP]:111.58.68.11 ,[请求方式]:POST， [请求URL]:https://172.30.212.148:8080/api/appservice/bfv/v1/chatHistory/batchSave, [请求类名]:com.yingzi.appservice.bfv.provider.rest.ChatHistoryController,[请求方法名]:batchSave, [请求头参数]:{"host":"172.30.212.148:8080"}, [请求参数]:[[{"userId":1310293454334205952,"deviceId":"1C:99:57:15:5F:8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19,"minute":38,"second":46,"nano":0,"chronology":{"id":"ISO","calendarType":"iso8601"}},"response":1746790726126}]]</f>
        <v/>
      </c>
      <c r="C61" t="inlineStr">
        <is>
          <t>INFO</t>
        </is>
      </c>
      <c r="D61" t="inlineStr">
        <is>
          <t>vdh</t>
        </is>
      </c>
      <c r="E61" t="inlineStr">
        <is>
          <t>pro14</t>
        </is>
      </c>
      <c r="F61" t="inlineStr">
        <is>
          <t>prod</t>
        </is>
      </c>
    </row>
    <row r="62">
      <c r="A62" t="inlineStr">
        <is>
          <t>2025-05-09 19:38:39.170</t>
        </is>
      </c>
      <c r="B62">
        <f>=请求结束== [请求耗时]:14毫秒, [返回数据]:{"code":"000000","msg":"Success","traceId":"0e126316a73bbfcbdbc123ea781b0bbc"}</f>
        <v/>
      </c>
      <c r="C62" t="inlineStr">
        <is>
          <t>INFO</t>
        </is>
      </c>
      <c r="D62" t="inlineStr">
        <is>
          <t>vdh</t>
        </is>
      </c>
      <c r="E62" t="inlineStr">
        <is>
          <t>pro17</t>
        </is>
      </c>
      <c r="F62" t="inlineStr">
        <is>
          <t>prod</t>
        </is>
      </c>
    </row>
    <row r="63">
      <c r="A63" t="inlineStr">
        <is>
          <t>2025-05-09 19:38:39.156</t>
        </is>
      </c>
      <c r="B63">
        <f>=请求开始== [请求IP]:14.145.79.89 ,[请求方式]:POST， [请求URL]:https://172.30.103.196:8080/api/appservice/bfv/v1/chatHistory/batchSave, [请求类名]:com.yingzi.appservice.bfv.provider.rest.ChatHistoryController,[请求方法名]:batchSave, [请求头参数]:{"host":"172.30.103.196:8080"}, [请求参数]:[[{"userId":1187618907244167170,"deviceId":"64:79:F0:E9:E1:6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19,"minute":38,"second":33,"nano":0,"chronology":{"id":"ISO","calendarType":"iso8601"}},"response":4447}]]</f>
        <v/>
      </c>
      <c r="C63" t="inlineStr">
        <is>
          <t>INFO</t>
        </is>
      </c>
      <c r="D63" t="inlineStr">
        <is>
          <t>vdh</t>
        </is>
      </c>
      <c r="E63" t="inlineStr">
        <is>
          <t>pro17</t>
        </is>
      </c>
      <c r="F63" t="inlineStr">
        <is>
          <t>prod</t>
        </is>
      </c>
    </row>
    <row r="64">
      <c r="A64" t="inlineStr">
        <is>
          <t>2025-05-09 19:38:33.515</t>
        </is>
      </c>
      <c r="B64">
        <f>=请求结束== [请求耗时]:12毫秒, [返回数据]:{"code":"000000","msg":"Success","traceId":"d87f3d1a33eb80cb1b7dffe18cab3894"}</f>
        <v/>
      </c>
      <c r="C64" t="inlineStr">
        <is>
          <t>INFO</t>
        </is>
      </c>
      <c r="D64" t="inlineStr">
        <is>
          <t>vdh</t>
        </is>
      </c>
      <c r="E64" t="inlineStr">
        <is>
          <t>pro14</t>
        </is>
      </c>
      <c r="F64" t="inlineStr">
        <is>
          <t>prod</t>
        </is>
      </c>
    </row>
    <row r="65">
      <c r="A65" t="inlineStr">
        <is>
          <t>2025-05-09 19:38:33.503</t>
        </is>
      </c>
      <c r="B65">
        <f>=请求开始== [请求IP]:14.145.79.89 ,[请求方式]:POST， [请求URL]:https://172.30.212.148:8080/api/appservice/bfv/v1/chatHistory/batchSave, [请求类名]:com.yingzi.appservice.bfv.provider.rest.ChatHistoryController,[请求方法名]:batchSave, [请求头参数]:{"host":"172.30.212.148:8080"}, [请求参数]:[[{"userId":1187618907244167170,"deviceId":"64:79:F0:E9:E1:6B","sessionId":"","avatarId":"11200220000208050000000000000000","appCode":"VDHtestWDC","instructionTemplateType":"Instruction_library","recordId":"","asrResult":"40度","instructionAsrFirstTime":{"year":2025,"monthValue":5,"month":"MAY","dayOfMonth":9,"dayOfYear":129,"dayOfWeek":"FRIDAY","hour":19,"minute":38,"second":28,"nano":0,"chronology":{"id":"ISO","calendarType":"iso8601"}},"knowledgeId":"","knowledgeMasterId":"295","instructionType":"COOKING","instructionName":"加热到指定温度","instructionFlag":"set_cooking_temp","parameter":"{\"answer\":\"DEFAULT\",\"code\":\"set_cooking_temp\",\"continue_answer\":\"\",\"continue_failed_answer\":\"\",\"entities\":\"[{\\\"start\\\":0,\\\"end\\\":2,\\\"text\\\":\\\"40\\\",\\\"value\\\":40,\\\"confidence\\\":1,\\\"additional_info\\\":{\\\"value\\\":40,\\\"type\\\":\\\"value\\\",\\\"unit\\\":\\\"\\\"},\\\"entity\\\":\\\"number\\\",\\\"extractor\\\":\\\"DucklingEntityExtractor\\\"}]\",\"failed_answer\":\"{\\\"answerId\\\":\\\"\\\",\\\"value\\\":\\\"抱歉，无法执行\\\",\\\"hidb\\\":\\\"\\\",\\\"aplusId\\\":\\\"\\\",\\\"flag\\\":true,\\\"updFlag\\\":false,\\\"cache\\\":false}\",\"hitBusiness\":\"295\",\"init_state\":\"false\",\"intent\":\"加热到指定温度\",\"intentType\":\"COOKING\",\"isEnd\":\"true\",\"isMulti\":\"false\",\"service\":\"Instruction_library\",\"succeed_answer\":\"{\\\"answerId\\\":\\\"\\\",\\\"value\\\":\\\"好嘞，温度调好了，要帮主人开始烹饪吗\\\",\\\"hidb\\\":\\\"\\\",\\\"aplusId\\\":\\\"\\\",\\\"flag\\\":true,\\\"updFlag\\\":false,\\\"cache\\\":false}\"}","ttsResultSource":"local","ttsResult":"温度调好了,要开始烹饪吗","ttsResultTime":{"year":2025,"monthValue":5,"month":"MAY","dayOfMonth":9,"dayOfYear":129,"dayOfWeek":"FRIDAY","hour":19,"minute":38,"second":30,"nano":0,"chronology":{"id":"ISO","calendarType":"iso8601"}},"response":1231}]]</f>
        <v/>
      </c>
      <c r="C65" t="inlineStr">
        <is>
          <t>INFO</t>
        </is>
      </c>
      <c r="D65" t="inlineStr">
        <is>
          <t>vdh</t>
        </is>
      </c>
      <c r="E65" t="inlineStr">
        <is>
          <t>pro14</t>
        </is>
      </c>
      <c r="F65" t="inlineStr">
        <is>
          <t>prod</t>
        </is>
      </c>
    </row>
    <row r="66">
      <c r="A66" t="inlineStr">
        <is>
          <t>2025-05-09 19:38:29.405</t>
        </is>
      </c>
      <c r="B66">
        <f>=请求结束== [请求耗时]:14毫秒, [返回数据]:{"code":"000000","msg":"Success","traceId":"31f4f78beeac83e502ff701d00929dcb"}</f>
        <v/>
      </c>
      <c r="C66" t="inlineStr">
        <is>
          <t>INFO</t>
        </is>
      </c>
      <c r="D66" t="inlineStr">
        <is>
          <t>vdh</t>
        </is>
      </c>
      <c r="E66" t="inlineStr">
        <is>
          <t>pro14</t>
        </is>
      </c>
      <c r="F66" t="inlineStr">
        <is>
          <t>prod</t>
        </is>
      </c>
    </row>
    <row r="67">
      <c r="A67" t="inlineStr">
        <is>
          <t>2025-05-09 19:38:29.391</t>
        </is>
      </c>
      <c r="B67">
        <f>=请求开始== [请求IP]:111.58.142.237 ,[请求方式]:POST， [请求URL]:https://172.30.212.148:8080/api/appservice/bfv/v1/chatHistory/batchSave, [请求类名]:com.yingzi.appservice.bfv.provider.rest.ChatHistoryController,[请求方法名]:batchSave, [请求头参数]:{"host":"172.30.212.148:8080"}, [请求参数]:[[{"userId":888711276726673408,"deviceId":"84:5C:F3:27:DC:B5","sessionId":"","avatarId":"11200220000208050000000000000000","appCode":"VDHtestWDC","instructionTemplateType":"","recordId":"","asrResult":"","knowledgeId":"","knowledgeMasterId":"","instructionType":"","instructionName":"","instructionFlag":"","parameter":"{}","ttsResultSource":"local","ttsResult":"小万发现了古巴白芸豆浓汤,主人喜欢第一段还是第二段口感开始烹饪,请耐心等待","ttsResultTime":{"year":2025,"monthValue":5,"month":"MAY","dayOfMonth":9,"dayOfYear":129,"dayOfWeek":"FRIDAY","hour":19,"minute":38,"second":15,"nano":0,"chronology":{"id":"ISO","calendarType":"iso8601"}},"response":1746790695089}]]</f>
        <v/>
      </c>
      <c r="C67" t="inlineStr">
        <is>
          <t>INFO</t>
        </is>
      </c>
      <c r="D67" t="inlineStr">
        <is>
          <t>vdh</t>
        </is>
      </c>
      <c r="E67" t="inlineStr">
        <is>
          <t>pro14</t>
        </is>
      </c>
      <c r="F67" t="inlineStr">
        <is>
          <t>prod</t>
        </is>
      </c>
    </row>
    <row r="68">
      <c r="A68" t="inlineStr">
        <is>
          <t>2025-05-09 19:38:26.712</t>
        </is>
      </c>
      <c r="B68">
        <f>=请求结束== [请求耗时]:14毫秒, [返回数据]:{"code":"000000","msg":"Success","traceId":"c6313a9ee4db67d5a5a9451981a81895"}</f>
        <v/>
      </c>
      <c r="C68" t="inlineStr">
        <is>
          <t>INFO</t>
        </is>
      </c>
      <c r="D68" t="inlineStr">
        <is>
          <t>vdh</t>
        </is>
      </c>
      <c r="E68" t="inlineStr">
        <is>
          <t>pro17</t>
        </is>
      </c>
      <c r="F68" t="inlineStr">
        <is>
          <t>prod</t>
        </is>
      </c>
    </row>
    <row r="69">
      <c r="A69" t="inlineStr">
        <is>
          <t>2025-05-09 19:38:26.697</t>
        </is>
      </c>
      <c r="B69">
        <f>=请求开始== [请求IP]:14.145.79.89 ,[请求方式]:POST， [请求URL]:https://172.30.103.196:8080/api/appservice/bfv/v1/chatHistory/batchSave, [请求类名]:com.yingzi.appservice.bfv.provider.rest.ChatHistoryController,[请求方法名]:batchSave, [请求头参数]:{"host":"172.30.103.196:8080"}, [请求参数]:[[{"userId":1187618907244167170,"deviceId":"64:79:F0:E9:E1:6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19,"minute":38,"second":15,"nano":0,"chronology":{"id":"ISO","calendarType":"iso8601"}},"response":65094}]]</f>
        <v/>
      </c>
      <c r="C69" t="inlineStr">
        <is>
          <t>INFO</t>
        </is>
      </c>
      <c r="D69" t="inlineStr">
        <is>
          <t>vdh</t>
        </is>
      </c>
      <c r="E69" t="inlineStr">
        <is>
          <t>pro17</t>
        </is>
      </c>
      <c r="F69" t="inlineStr">
        <is>
          <t>prod</t>
        </is>
      </c>
    </row>
    <row r="70">
      <c r="A70" t="inlineStr">
        <is>
          <t>2025-05-09 19:37:36.041</t>
        </is>
      </c>
      <c r="B70">
        <f>=请求结束== [请求耗时]:14毫秒, [返回数据]:{"code":"000000","msg":"Success","traceId":"eda4e2948a34f0fc5291577f95ef2c2e"}</f>
        <v/>
      </c>
      <c r="C70" t="inlineStr">
        <is>
          <t>INFO</t>
        </is>
      </c>
      <c r="D70" t="inlineStr">
        <is>
          <t>vdh</t>
        </is>
      </c>
      <c r="E70" t="inlineStr">
        <is>
          <t>pro17</t>
        </is>
      </c>
      <c r="F70" t="inlineStr">
        <is>
          <t>prod</t>
        </is>
      </c>
    </row>
    <row r="71">
      <c r="A71" t="inlineStr">
        <is>
          <t>2025-05-09 19:37:36.027</t>
        </is>
      </c>
      <c r="B71">
        <f>=请求开始== [请求IP]:111.58.68.11 ,[请求方式]:POST， [请求URL]:https://172.30.103.196:8080/api/appservice/bfv/v1/chatHistory/batchSave, [请求类名]:com.yingzi.appservice.bfv.provider.rest.ChatHistoryController,[请求方法名]:batchSave, [请求头参数]:{"host":"172.30.103.196:8080"}, [请求参数]:[[{"userId":1310293454334205952,"deviceId":"1C:99:57:15:5F:8B","sessionId":"","avatarId":"11200220000208050000000000000000","appCode":"VDHtestWDC","instructionTemplateType":"","recordId":"","asrResult":"","knowledgeId":"","knowledgeMasterId":"","instructionType":"","instructionName":"","instructionFlag":"","parameter":"{}","ttsResultSource":"local","ttsResult":"好嘞,已经按照推荐的温度调好了,要帮主人开始烹饪吗开始烹饪,请耐心等待","ttsResultTime":{"year":2025,"monthValue":5,"month":"MAY","dayOfMonth":9,"dayOfYear":129,"dayOfWeek":"FRIDAY","hour":19,"minute":37,"second":29,"nano":0,"chronology":{"id":"ISO","calendarType":"iso8601"}},"response":1746790649057}]]</f>
        <v/>
      </c>
      <c r="C71" t="inlineStr">
        <is>
          <t>INFO</t>
        </is>
      </c>
      <c r="D71" t="inlineStr">
        <is>
          <t>vdh</t>
        </is>
      </c>
      <c r="E71" t="inlineStr">
        <is>
          <t>pro17</t>
        </is>
      </c>
      <c r="F71" t="inlineStr">
        <is>
          <t>prod</t>
        </is>
      </c>
    </row>
    <row r="72">
      <c r="A72" t="inlineStr">
        <is>
          <t>2025-05-09 19:37:20.139</t>
        </is>
      </c>
      <c r="B72">
        <f>=请求结束== [请求耗时]:14毫秒, [返回数据]:{"code":"000000","msg":"Success","traceId":"754218bc21a83e37e2c42aa0f81dea81"}</f>
        <v/>
      </c>
      <c r="C72" t="inlineStr">
        <is>
          <t>INFO</t>
        </is>
      </c>
      <c r="D72" t="inlineStr">
        <is>
          <t>vdh</t>
        </is>
      </c>
      <c r="E72" t="inlineStr">
        <is>
          <t>pro14</t>
        </is>
      </c>
      <c r="F72" t="inlineStr">
        <is>
          <t>prod</t>
        </is>
      </c>
    </row>
    <row r="73">
      <c r="A73" t="inlineStr">
        <is>
          <t>2025-05-09 19:37:20.125</t>
        </is>
      </c>
      <c r="B73">
        <f>=请求开始== [请求IP]:14.145.79.89 ,[请求方式]:POST， [请求URL]:https://172.30.212.148:8080/api/appservice/bfv/v1/chatHistory/batchSave, [请求类名]:com.yingzi.appservice.bfv.provider.rest.ChatHistoryController,[请求方法名]:batchSave, [请求头参数]:{"host":"172.30.212.148:8080"}, [请求参数]:[[{"userId":1187618907244167170,"deviceId":"64:79:F0:E9:E1:6B","sessionId":"","avatarId":"11200220000208050000000000000000","appCode":"VDHtestWDC","instructionTemplateType":"Instruction_library","recordId":"","asrResult":"第2个","instructionAsrFirstTime":{"year":2025,"monthValue":5,"month":"MAY","dayOfMonth":9,"dayOfYear":129,"dayOfWeek":"FRIDAY","hour":19,"minute":37,"second":7,"nano":0,"chronology":{"id":"ISO","calendarType":"iso8601"}},"knowledgeId":"","knowledgeMasterId":"295","instructionType":"SYSTEM","instructionName":"选择序号","instructionFlag":"select_list_id","parameter":"{\"answer\":\"DEFAULT\",\"code\":\"select_list_id\",\"continue_answer\":\"\",\"continue_failed_answer\":\"\",\"entities\":\"[{\\\"name\\\":\\\"第N\\\",\\\"value\\\":\\\"第2\\\",\\\"similar_value\\\":\\\"第2\\\",\\\"similar_standard_value\\\":\\\"第二\\\",\\\"similar_target_id\\\":\\\"2\\\",\\\"answer\\\":{\\\"answerId\\\":\\\"\\\",\\\"value\\\":\\\"\\\",\\\"hidb\\\":\\\"\\\",\\\"aplusId\\\":\\\"\\\",\\\"flag\\\":true,\\\"updFlag\\\":false,\\\"cache\\\":false}}]\",\"failed_answer\":\"{\\\"answerId\\\":\\\"\\\",\\\"value\\\":\\\"抱歉，执行失败\\\",\\\"hidb\\\":\\\"\\\",\\\"aplusId\\\":\\\"\\\",\\\"flag\\\":true,\\\"updFlag\\\":false,\\\"cache\\\":false}\",\"hitBusiness\":\"295\",\"init_state\":\"false\",\"intent\":\"选择序号\",\"intentType\":\"SYSTEM\",\"isEnd\":\"true\",\"isMulti\":\"false\",\"service\":\"Instruction_library\",\"succeed_answer\":\"{\\\"answerId\\\":\\\"\\\",\\\"value\\\":\\\"好的\\\",\\\"hidb\\\":\\\"\\\",\\\"aplusId\\\":\\\"\\\",\\\"flag\\\":true,\\\"updFlag\\\":false,\\\"cache\\\":false}\"}","ttsResultSource":"local","ttsResult":"抱歉,请在可选序号范围内选择唷开始烹饪,请耐心等待","ttsResultTime":{"year":2025,"monthValue":5,"month":"MAY","dayOfMonth":9,"dayOfYear":129,"dayOfWeek":"FRIDAY","hour":19,"minute":37,"second":11,"nano":0,"chronology":{"id":"ISO","calendarType":"iso8601"}},"response":1494}]]</f>
        <v/>
      </c>
      <c r="C73" t="inlineStr">
        <is>
          <t>INFO</t>
        </is>
      </c>
      <c r="D73" t="inlineStr">
        <is>
          <t>vdh</t>
        </is>
      </c>
      <c r="E73" t="inlineStr">
        <is>
          <t>pro14</t>
        </is>
      </c>
      <c r="F73" t="inlineStr">
        <is>
          <t>prod</t>
        </is>
      </c>
    </row>
    <row r="74">
      <c r="A74" t="inlineStr">
        <is>
          <t>2025-05-09 19:37:04.161</t>
        </is>
      </c>
      <c r="B74">
        <f>=请求结束== [请求耗时]:12毫秒, [返回数据]:{"code":"000000","msg":"Success","traceId":"fef9f49d1636ed291d18356347966162"}</f>
        <v/>
      </c>
      <c r="C74" t="inlineStr">
        <is>
          <t>INFO</t>
        </is>
      </c>
      <c r="D74" t="inlineStr">
        <is>
          <t>vdh</t>
        </is>
      </c>
      <c r="E74" t="inlineStr">
        <is>
          <t>pro17</t>
        </is>
      </c>
      <c r="F74" t="inlineStr">
        <is>
          <t>prod</t>
        </is>
      </c>
    </row>
    <row r="75">
      <c r="A75" t="inlineStr">
        <is>
          <t>2025-05-09 19:37:04.149</t>
        </is>
      </c>
      <c r="B75">
        <f>=请求开始== [请求IP]:14.145.79.89 ,[请求方式]:POST， [请求URL]:https://172.30.103.196:8080/api/appservice/bfv/v1/chatHistory/batchSave, [请求类名]:com.yingzi.appservice.bfv.provider.rest.ChatHistoryController,[请求方法名]:batchSave, [请求头参数]:{"host":"172.30.103.196:8080"}, [请求参数]:[[{"userId":1187618907244167170,"deviceId":"64:79:F0:E9:E1:6B","sessionId":"","avatarId":"11200220000208050000000000000000","appCode":"VDHtestWDC","instructionTemplateType":"Instruction_library","recordId":"","asrResult":"50度","instructionAsrFirstTime":{"year":2025,"monthValue":5,"month":"MAY","dayOfMonth":9,"dayOfYear":129,"dayOfWeek":"FRIDAY","hour":19,"minute":36,"second":58,"nano":0,"chronology":{"id":"ISO","calendarType":"iso8601"}},"knowledgeId":"","knowledgeMasterId":"295","instructionType":"COOKING","instructionName":"加热到指定温度","instructionFlag":"set_cooking_temp","parameter":"{\"answer\":\"DEFAULT\",\"code\":\"set_cooking_temp\",\"continue_answer\":\"\",\"continue_failed_answer\":\"\",\"entities\":\"[{\\\"start\\\":0,\\\"end\\\":2,\\\"text\\\":\\\"50\\\",\\\"value\\\":50,\\\"confidence\\\":1,\\\"additional_info\\\":{\\\"value\\\":50,\\\"type\\\":\\\"value\\\",\\\"unit\\\":\\\"\\\"},\\\"entity\\\":\\\"number\\\",\\\"extractor\\\":\\\"DucklingEntityExtractor\\\"}]\",\"failed_answer\":\"{\\\"answerId\\\":\\\"\\\",\\\"value\\\":\\\"抱歉，无法执行\\\",\\\"hidb\\\":\\\"\\\",\\\"aplusId\\\":\\\"\\\",\\\"flag\\\":true,\\\"updFlag\\\":false,\\\"cache\\\":false}\",\"hitBusiness\":\"295\",\"init_state\":\"false\",\"intent\":\"加热到指定温度\",\"intentType\":\"COOKING\",\"isEnd\":\"true\",\"isMulti\":\"false\",\"service\":\"Instruction_library\",\"succeed_answer\":\"{\\\"answerId\\\":\\\"\\\",\\\"value\\\":\\\"好嘞，温度调好了，要帮主人开始烹饪吗\\\",\\\"hidb\\\":\\\"\\\",\\\"aplusId\\\":\\\"\\\",\\\"flag\\\":true,\\\"updFlag\\\":false,\\\"cache\\\":false}\"}","ttsResultSource":"local","ttsResult":"温度调好了,要开始烹饪吗","ttsResultTime":{"year":2025,"monthValue":5,"month":"MAY","dayOfMonth":9,"dayOfYear":129,"dayOfWeek":"FRIDAY","hour":19,"minute":37,"second":1,"nano":0,"chronology":{"id":"ISO","calendarType":"iso8601"}},"response":1645}]]</f>
        <v/>
      </c>
      <c r="C75" t="inlineStr">
        <is>
          <t>INFO</t>
        </is>
      </c>
      <c r="D75" t="inlineStr">
        <is>
          <t>vdh</t>
        </is>
      </c>
      <c r="E75" t="inlineStr">
        <is>
          <t>pro17</t>
        </is>
      </c>
      <c r="F75" t="inlineStr">
        <is>
          <t>prod</t>
        </is>
      </c>
    </row>
    <row r="76">
      <c r="A76" t="inlineStr">
        <is>
          <t>2025-05-09 19:37:03.159</t>
        </is>
      </c>
      <c r="B76">
        <f>=请求结束== [请求耗时]:13毫秒, [返回数据]:{"code":"000000","msg":"Success","traceId":"f1d4aea0fe071c5a658fc6f5a4c51d57"}</f>
        <v/>
      </c>
      <c r="C76" t="inlineStr">
        <is>
          <t>INFO</t>
        </is>
      </c>
      <c r="D76" t="inlineStr">
        <is>
          <t>vdh</t>
        </is>
      </c>
      <c r="E76" t="inlineStr">
        <is>
          <t>pro14</t>
        </is>
      </c>
      <c r="F76" t="inlineStr">
        <is>
          <t>prod</t>
        </is>
      </c>
    </row>
    <row r="77">
      <c r="A77" t="inlineStr">
        <is>
          <t>2025-05-09 19:37:03.146</t>
        </is>
      </c>
      <c r="B77">
        <f>=请求开始== [请求IP]:111.58.142.237 ,[请求方式]:POST， [请求URL]:https://172.30.212.148:8080/api/appservice/bfv/v1/chatHistory/batchSave, [请求类名]:com.yingzi.appservice.bfv.provider.rest.ChatHistoryController,[请求方法名]:batchSave, [请求头参数]:{"host":"172.30.212.148:8080"}, [请求参数]:[[{"userId":888711276726673408,"deviceId":"84:5C:F3:27:DC:B5","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19,"minute":36,"second":57,"nano":0,"chronology":{"id":"ISO","calendarType":"iso8601"}},"response":1746790617826}]]</f>
        <v/>
      </c>
      <c r="C77" t="inlineStr">
        <is>
          <t>INFO</t>
        </is>
      </c>
      <c r="D77" t="inlineStr">
        <is>
          <t>vdh</t>
        </is>
      </c>
      <c r="E77" t="inlineStr">
        <is>
          <t>pro14</t>
        </is>
      </c>
      <c r="F77" t="inlineStr">
        <is>
          <t>prod</t>
        </is>
      </c>
    </row>
    <row r="78">
      <c r="A78" t="inlineStr">
        <is>
          <t>2025-05-09 19:36:56.939</t>
        </is>
      </c>
      <c r="B78">
        <f>=请求结束== [请求耗时]:13毫秒, [返回数据]:{"code":"000000","msg":"Success","traceId":"e5b7e1a0e5c8129089573af8c82946f2"}</f>
        <v/>
      </c>
      <c r="C78" t="inlineStr">
        <is>
          <t>INFO</t>
        </is>
      </c>
      <c r="D78" t="inlineStr">
        <is>
          <t>vdh</t>
        </is>
      </c>
      <c r="E78" t="inlineStr">
        <is>
          <t>pro17</t>
        </is>
      </c>
      <c r="F78" t="inlineStr">
        <is>
          <t>prod</t>
        </is>
      </c>
    </row>
    <row r="79">
      <c r="A79" t="inlineStr">
        <is>
          <t>2025-05-09 19:36:56.926</t>
        </is>
      </c>
      <c r="B79">
        <f>=请求开始== [请求IP]:14.145.79.89 ,[请求方式]:POST， [请求URL]:https://172.30.103.196:8080/api/appservice/bfv/v1/chatHistory/batchSave, [请求类名]:com.yingzi.appservice.bfv.provider.rest.ChatHistoryController,[请求方法名]:batchSave, [请求头参数]:{"host":"172.30.103.196:8080"}, [请求参数]:[[{"userId":1187618907244167170,"deviceId":"64:79:F0:E9:E1:6B","sessionId":"","avatarId":"11200220000208050000000000000000","appCode":"VDHtestWDC","instructionTemplateType":"","recordId":"","asrResult":"","knowledgeId":"","knowledgeMasterId":"","instructionType":"","instructionName":"","instructionFlag":"","parameter":"{}","ttsResultSource":"","ttsResult":"","response":0}]]</f>
        <v/>
      </c>
      <c r="C79" t="inlineStr">
        <is>
          <t>INFO</t>
        </is>
      </c>
      <c r="D79" t="inlineStr">
        <is>
          <t>vdh</t>
        </is>
      </c>
      <c r="E79" t="inlineStr">
        <is>
          <t>pro17</t>
        </is>
      </c>
      <c r="F79" t="inlineStr">
        <is>
          <t>prod</t>
        </is>
      </c>
    </row>
    <row r="80">
      <c r="A80" t="inlineStr">
        <is>
          <t>2025-05-09 19:35:34.619</t>
        </is>
      </c>
      <c r="B80">
        <f>=请求结束== [请求耗时]:14毫秒, [返回数据]:{"code":"000000","msg":"Success","traceId":"af35460ea3f294fc89d96bc68e89dba5"}</f>
        <v/>
      </c>
      <c r="C80" t="inlineStr">
        <is>
          <t>INFO</t>
        </is>
      </c>
      <c r="D80" t="inlineStr">
        <is>
          <t>vdh</t>
        </is>
      </c>
      <c r="E80" t="inlineStr">
        <is>
          <t>pro14</t>
        </is>
      </c>
      <c r="F80" t="inlineStr">
        <is>
          <t>prod</t>
        </is>
      </c>
    </row>
    <row r="81">
      <c r="A81" t="inlineStr">
        <is>
          <t>2025-05-09 19:35:34.605</t>
        </is>
      </c>
      <c r="B81">
        <f>=请求开始== [请求IP]:111.58.68.36 ,[请求方式]:POST， [请求URL]:https://172.30.212.148:8080/api/appservice/bfv/v1/chatHistory/batchSave, [请求类名]:com.yingzi.appservice.bfv.provider.rest.ChatHistoryController,[请求方法名]:batchSave, [请求头参数]:{"host":"172.30.212.148:8080"}, [请求参数]:[[{"userId":908023046011920387,"deviceId":"F4:CE:23:BC:2B:B3","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19,"minute":35,"second":29,"nano":0,"chronology":{"id":"ISO","calendarType":"iso8601"}},"response":1172}]]</f>
        <v/>
      </c>
      <c r="C81" t="inlineStr">
        <is>
          <t>INFO</t>
        </is>
      </c>
      <c r="D81" t="inlineStr">
        <is>
          <t>vdh</t>
        </is>
      </c>
      <c r="E81" t="inlineStr">
        <is>
          <t>pro14</t>
        </is>
      </c>
      <c r="F81" t="inlineStr">
        <is>
          <t>prod</t>
        </is>
      </c>
    </row>
    <row r="82">
      <c r="A82" t="inlineStr">
        <is>
          <t>2025-05-09 19:35:18.116</t>
        </is>
      </c>
      <c r="B82">
        <f>=请求结束== [请求耗时]:681毫秒, [返回数据]:{"code":"000000","msg":"Success","data":[{"knowledgeId":"1272948056214077440","knowledgeContent":[{"score":0.6466563,"content":"问题：不满。\\n回复：不满意的地方还请多多包涵。","fileId":"1303425377255075840","chunkId":"2671","textGroup":"不满"},{"score":0.6438896639999999,"content":"问题：可以和我聊聊天吗。\\n回复：你可以随时找我聊。","fileId":"1303425377255075840","chunkId":"2757","textGroup":"可以和我聊聊天吗"}]},{"knowledgeId":"1310573539587891200","knowledgeContent":[{"score":0.672425604,"content":"请返回","fileId":"1310987789597368320","chunkId":"166","textGroup":"page_previous"},{"score":0.664342992,"content":"请放大声音","fileId":"1311334944174465024","chunkId":"90","textGroup":"volume_control {type=up}"},{"score":0.663882732,"content":"请静音","fileId":"1311334944174465024","chunkId":"399","textGroup":"volume_control {type=mute}"},{"score":0.6569261279999999,"content":"帮我反馈问题","fileId":"1310974251075973120","chunkId":"122","textGroup":"question_feedback"},{"score":0.654578388,"content":"请恢复声音","fileId":"1311334944174465024","chunkId":"538","textGroup":"volume_control {type=unmute}"},{"score":0.654196752,"content":"小声点","fileId":"1311334944174465024","chunkId":"171","textGroup":"volume_control {type=down}"},{"score":0.651113316,"content":"请结束烹调过程","fileId":"1310917315735400448","chunkId":"276","textGroup":"cooking_control {type=stop}"},{"score":0.648379044,"content":"请暂时停止微波","fileId":"1310917315735400448","chunkId":"145","textGroup":"cooking_control {type=pause}"},{"score":0.648264672,"content":"请接着烹饪","fileId":"1310917315735400448","chunkId":"204","textGroup":"cooking_control {type=continue}"},{"score":0.6482465279999999,"content":"请打开[第N]个","fileId":"1310974251075973120","chunkId":"99","textGroup":"select_list_id"}]}]}</f>
        <v/>
      </c>
      <c r="C82" t="inlineStr">
        <is>
          <t>INFO</t>
        </is>
      </c>
      <c r="D82" t="inlineStr">
        <is>
          <t>vdh</t>
        </is>
      </c>
      <c r="E82" t="inlineStr">
        <is>
          <t>pro14</t>
        </is>
      </c>
      <c r="F82" t="inlineStr">
        <is>
          <t>prod</t>
        </is>
      </c>
    </row>
    <row r="83">
      <c r="A83" t="inlineStr">
        <is>
          <t>2025-05-09 19:35:18.115</t>
        </is>
      </c>
      <c r="B83" t="inlineStr">
        <is>
          <t>知识库插件检索耗时: 680ms</t>
        </is>
      </c>
      <c r="C83" t="inlineStr">
        <is>
          <t>INFO</t>
        </is>
      </c>
      <c r="D83" t="inlineStr">
        <is>
          <t>vdh</t>
        </is>
      </c>
      <c r="E83" t="inlineStr">
        <is>
          <t>pro14</t>
        </is>
      </c>
      <c r="F83" t="inlineStr">
        <is>
          <t>prod</t>
        </is>
      </c>
    </row>
    <row r="84">
      <c r="A84" t="inlineStr">
        <is>
          <t>2025-05-09 19:35:17.434</t>
        </is>
      </c>
      <c r="B84">
        <f>=请求开始== [请求IP]:172.21.10.31 ,[请求方式]:POST， [请求URL]:https://172.30.212.148:8080/api/appservice/bfv/v1/knowledge/retrieval/plugin, [请求类名]:com.yingzi.appservice.bfv.provider.rest.KnowledgeRetrievalController,[请求方法名]:plugin, [请求头参数]:{"host":"172.30.212.148:8080"}, [请求参数]:[{"query":"请说话","auto_config":1,"knowledge_configs":[{"topk":15,"type":"faq_wda_oven","knowledge_id":"1272948056214077440","vector_threshold":0.89,"match_score":1.0,"vector_boost":0.72},{"topk":40,"type":"command_dual-screen-nvidia_oven","knowledge_id":"1310573539587891200","vector_threshold":0.9,"match_score":0.55,"vector_boost":0.72},{"topk":20,"type":"sql_business_database_recipe","knowledge_id":"1272947938412855296","vector_threshold":0.9,"match_score":0.55,"vector_boost":0.72},{"topk":3,"type":"other","knowledge_id":"1326868148286373888","vector_threshold":0.88,"match_score":0.8,"vector_boost":0.72}]}]</f>
        <v/>
      </c>
      <c r="C84" t="inlineStr">
        <is>
          <t>INFO</t>
        </is>
      </c>
      <c r="D84" t="inlineStr">
        <is>
          <t>vdh</t>
        </is>
      </c>
      <c r="E84" t="inlineStr">
        <is>
          <t>pro14</t>
        </is>
      </c>
      <c r="F84" t="inlineStr">
        <is>
          <t>prod</t>
        </is>
      </c>
    </row>
    <row r="85">
      <c r="A85" t="inlineStr">
        <is>
          <t>2025-05-09 19:34:02.919</t>
        </is>
      </c>
      <c r="B85">
        <f>=请求结束== [请求耗时]:17毫秒, [返回数据]:{"code":"000000","msg":"Success","traceId":"0a7b81a7d6004a4497140ede5d4597d5"}</f>
        <v/>
      </c>
      <c r="C85" t="inlineStr">
        <is>
          <t>INFO</t>
        </is>
      </c>
      <c r="D85" t="inlineStr">
        <is>
          <t>vdh</t>
        </is>
      </c>
      <c r="E85" t="inlineStr">
        <is>
          <t>pro17</t>
        </is>
      </c>
      <c r="F85" t="inlineStr">
        <is>
          <t>prod</t>
        </is>
      </c>
    </row>
    <row r="86">
      <c r="A86" t="inlineStr">
        <is>
          <t>2025-05-09 19:34:02.902</t>
        </is>
      </c>
      <c r="B86">
        <f>=请求开始== [请求IP]:111.58.142.237 ,[请求方式]:POST， [请求URL]:https://172.30.103.196:8080/api/appservice/bfv/v1/chatHistory/batchSave, [请求类名]:com.yingzi.appservice.bfv.provider.rest.ChatHistoryController,[请求方法名]:batchSave, [请求头参数]:{"host":"172.30.103.196:8080"}, [请求参数]:[[{"userId":888711276726673408,"deviceId":"84:5C:F3:27:DC:B5","sessionId":"","avatarId":"11200220000208050000000000000000","appCode":"VDHtestWDC","instructionTemplateType":"","recordId":"","asrResult":"","knowledgeId":"","knowledgeMasterId":"","instructionType":"","instructionName":"","instructionFlag":"","parameter":"{}","ttsResultSource":"local","ttsResult":"好的小万发现了清烹胡萝卜,请选择烹饪模式开始烹饪,请耐心等待","ttsResultTime":{"year":2025,"monthValue":5,"month":"MAY","dayOfMonth":9,"dayOfYear":129,"dayOfWeek":"FRIDAY","hour":19,"minute":33,"second":11,"nano":0,"chronology":{"id":"ISO","calendarType":"iso8601"}},"response":1746790391025}]]</f>
        <v/>
      </c>
      <c r="C86" t="inlineStr">
        <is>
          <t>INFO</t>
        </is>
      </c>
      <c r="D86" t="inlineStr">
        <is>
          <t>vdh</t>
        </is>
      </c>
      <c r="E86" t="inlineStr">
        <is>
          <t>pro17</t>
        </is>
      </c>
      <c r="F86" t="inlineStr">
        <is>
          <t>prod</t>
        </is>
      </c>
    </row>
    <row r="87">
      <c r="A87" t="inlineStr">
        <is>
          <t>2025-05-09 19:33:36.805</t>
        </is>
      </c>
      <c r="B87">
        <f>=请求结束== [请求耗时]:14毫秒, [返回数据]:{"code":"000000","msg":"Success","traceId":"8d1217e18c4a50841b81d6ce4aa391bb"}</f>
        <v/>
      </c>
      <c r="C87" t="inlineStr">
        <is>
          <t>INFO</t>
        </is>
      </c>
      <c r="D87" t="inlineStr">
        <is>
          <t>vdh</t>
        </is>
      </c>
      <c r="E87" t="inlineStr">
        <is>
          <t>pro17</t>
        </is>
      </c>
      <c r="F87" t="inlineStr">
        <is>
          <t>prod</t>
        </is>
      </c>
    </row>
    <row r="88">
      <c r="A88" t="inlineStr">
        <is>
          <t>2025-05-09 19:33:36.791</t>
        </is>
      </c>
      <c r="B88">
        <f>=请求开始== [请求IP]:111.58.68.36 ,[请求方式]:POST， [请求URL]:https://172.30.103.196:8080/api/appservice/bfv/v1/chatHistory/batchSave, [请求类名]:com.yingzi.appservice.bfv.provider.rest.ChatHistoryController,[请求方法名]:batchSave, [请求头参数]:{"host":"172.30.103.196:8080"}, [请求参数]:[[{"userId":908023046011920387,"deviceId":"F4:CE:23:BC:2B:B3","sessionId":"","avatarId":"11200220000208050000000000000000","appCode":"VDHtestWDC","instructionTemplateType":"","recordId":"","asrResult":"","knowledgeId":"","knowledgeMasterId":"","instructionType":"","instructionName":"","instructionFlag":"","parameter":"{}","ttsResultSource":"","ttsResult":"","response":0}]]</f>
        <v/>
      </c>
      <c r="C88" t="inlineStr">
        <is>
          <t>INFO</t>
        </is>
      </c>
      <c r="D88" t="inlineStr">
        <is>
          <t>vdh</t>
        </is>
      </c>
      <c r="E88" t="inlineStr">
        <is>
          <t>pro17</t>
        </is>
      </c>
      <c r="F88" t="inlineStr">
        <is>
          <t>prod</t>
        </is>
      </c>
    </row>
    <row r="89">
      <c r="A89" t="inlineStr">
        <is>
          <t>2025-05-09 19:33:29.698</t>
        </is>
      </c>
      <c r="B89">
        <f>=请求结束== [请求耗时]:13毫秒, [返回数据]:{"code":"000000","msg":"Success","traceId":"d00ff2250430dd7176969a9f77f070ee"}</f>
        <v/>
      </c>
      <c r="C89" t="inlineStr">
        <is>
          <t>INFO</t>
        </is>
      </c>
      <c r="D89" t="inlineStr">
        <is>
          <t>vdh</t>
        </is>
      </c>
      <c r="E89" t="inlineStr">
        <is>
          <t>pro14</t>
        </is>
      </c>
      <c r="F89" t="inlineStr">
        <is>
          <t>prod</t>
        </is>
      </c>
    </row>
    <row r="90">
      <c r="A90" t="inlineStr">
        <is>
          <t>2025-05-09 19:33:29.685</t>
        </is>
      </c>
      <c r="B90">
        <f>=请求开始== [请求IP]:111.58.68.36 ,[请求方式]:POST， [请求URL]:https://172.30.212.148:8080/api/appservice/bfv/v1/chatHistory/batchSave, [请求类名]:com.yingzi.appservice.bfv.provider.rest.ChatHistoryController,[请求方法名]:batchSave, [请求头参数]:{"host":"172.30.212.148:8080"}, [请求参数]:[[{"userId":908023046011920387,"deviceId":"F4:CE:23:BC:2B:B3","sessionId":"","avatarId":"11200220000208050000000000000000","appCode":"VDHtestWDC","instructionTemplateType":"","recordId":"","asrResult":"","knowledgeId":"","knowledgeMasterId":"","instructionType":"","instructionName":"","instructionFlag":"","parameter":"{}","ttsResultSource":"","ttsResult":"","response":0}]]</f>
        <v/>
      </c>
      <c r="C90" t="inlineStr">
        <is>
          <t>INFO</t>
        </is>
      </c>
      <c r="D90" t="inlineStr">
        <is>
          <t>vdh</t>
        </is>
      </c>
      <c r="E90" t="inlineStr">
        <is>
          <t>pro14</t>
        </is>
      </c>
      <c r="F90" t="inlineStr">
        <is>
          <t>prod</t>
        </is>
      </c>
    </row>
    <row r="91">
      <c r="A91" t="inlineStr">
        <is>
          <t>2025-05-09 19:32:34.623</t>
        </is>
      </c>
      <c r="B91">
        <f>=请求结束== [请求耗时]:12毫秒, [返回数据]:{"code":"000000","msg":"Success","traceId":"2289435fe72018e497afcd7029975cd8"}</f>
        <v/>
      </c>
      <c r="C91" t="inlineStr">
        <is>
          <t>INFO</t>
        </is>
      </c>
      <c r="D91" t="inlineStr">
        <is>
          <t>vdh</t>
        </is>
      </c>
      <c r="E91" t="inlineStr">
        <is>
          <t>pro17</t>
        </is>
      </c>
      <c r="F91" t="inlineStr">
        <is>
          <t>prod</t>
        </is>
      </c>
    </row>
    <row r="92">
      <c r="A92" t="inlineStr">
        <is>
          <t>2025-05-09 19:32:34.611</t>
        </is>
      </c>
      <c r="B92">
        <f>=请求开始== [请求IP]:111.58.68.36 ,[请求方式]:POST， [请求URL]:https://172.30.103.196:8080/api/appservice/bfv/v1/chatHistory/batchSave, [请求类名]:com.yingzi.appservice.bfv.provider.rest.ChatHistoryController,[请求方法名]:batchSave, [请求头参数]:{"host":"172.30.103.196:8080"}, [请求参数]:[[{"userId":908023046011920387,"deviceId":"F4:CE:23:BC:2B:B3","sessionId":"","avatarId":"11200220000208050000000000000000","appCode":"VDHtestWDC","instructionTemplateType":"","recordId":"","asrResult":"","knowledgeId":"","knowledgeMasterId":"","instructionType":"","instructionName":"","instructionFlag":"","parameter":"{}","ttsResultSource":"local","ttsResult":"小万发现了干锅花菜,主人选择一下想要的烹饪模式吧开始烹饪,请耐心等待","ttsResultTime":{"year":2025,"monthValue":5,"month":"MAY","dayOfMonth":9,"dayOfYear":129,"dayOfWeek":"FRIDAY","hour":19,"minute":32,"second":13,"nano":0,"chronology":{"id":"ISO","calendarType":"iso8601"}},"response":1801}]]</f>
        <v/>
      </c>
      <c r="C92" t="inlineStr">
        <is>
          <t>INFO</t>
        </is>
      </c>
      <c r="D92" t="inlineStr">
        <is>
          <t>vdh</t>
        </is>
      </c>
      <c r="E92" t="inlineStr">
        <is>
          <t>pro17</t>
        </is>
      </c>
      <c r="F92" t="inlineStr">
        <is>
          <t>prod</t>
        </is>
      </c>
    </row>
    <row r="93">
      <c r="A93" t="inlineStr">
        <is>
          <t>2025-05-09 19:32:12.891</t>
        </is>
      </c>
      <c r="B93">
        <f>=请求结束== [请求耗时]:30毫秒, [返回数据]:{"code":"000000","msg":"Success","traceId":"3d9150379db42e3b142042b05e586ac5"}</f>
        <v/>
      </c>
      <c r="C93" t="inlineStr">
        <is>
          <t>INFO</t>
        </is>
      </c>
      <c r="D93" t="inlineStr">
        <is>
          <t>vdh</t>
        </is>
      </c>
      <c r="E93" t="inlineStr">
        <is>
          <t>pro14</t>
        </is>
      </c>
      <c r="F93" t="inlineStr">
        <is>
          <t>prod</t>
        </is>
      </c>
    </row>
    <row r="94">
      <c r="A94" t="inlineStr">
        <is>
          <t>2025-05-09 19:32:12.861</t>
        </is>
      </c>
      <c r="B94">
        <f>=请求开始== [请求IP]:111.58.142.237 ,[请求方式]:POST， [请求URL]:https://172.30.212.148:8080/api/appservice/bfv/v1/chatHistory/batchSave, [请求类名]:com.yingzi.appservice.bfv.provider.rest.ChatHistoryController,[请求方法名]:batchSave, [请求头参数]:{"host":"172.30.212.148:8080"}, [请求参数]:[[{"userId":888711276726673408,"deviceId":"84:5C:F3:27:DC:B5","sessionId":"","avatarId":"11200220000208050000000000000000","appCode":"VDHtestWDC","instructionTemplateType":"","recordId":"","asrResult":"","knowledgeId":"","knowledgeMasterId":"","instructionType":"","instructionName":"","instructionFlag":"","parameter":"{}","ttsResultSource":"local","ttsResult":"好的搞定了","ttsResultTime":{"year":2025,"monthValue":5,"month":"MAY","dayOfMonth":9,"dayOfYear":129,"dayOfWeek":"FRIDAY","hour":19,"minute":31,"second":58,"nano":0,"chronology":{"id":"ISO","calendarType":"iso8601"}},"response":1746790318083}]]</f>
        <v/>
      </c>
      <c r="C94" t="inlineStr">
        <is>
          <t>INFO</t>
        </is>
      </c>
      <c r="D94" t="inlineStr">
        <is>
          <t>vdh</t>
        </is>
      </c>
      <c r="E94" t="inlineStr">
        <is>
          <t>pro14</t>
        </is>
      </c>
      <c r="F94" t="inlineStr">
        <is>
          <t>prod</t>
        </is>
      </c>
    </row>
    <row r="95">
      <c r="A95" t="inlineStr">
        <is>
          <t>2025-05-09 19:31:06.900</t>
        </is>
      </c>
      <c r="B95">
        <f>=请求结束== [请求耗时]:17毫秒, [返回数据]:{"code":"000000","msg":"Success","traceId":"6509a7e991313bd126f24cab81e1c755"}</f>
        <v/>
      </c>
      <c r="C95" t="inlineStr">
        <is>
          <t>INFO</t>
        </is>
      </c>
      <c r="D95" t="inlineStr">
        <is>
          <t>vdh</t>
        </is>
      </c>
      <c r="E95" t="inlineStr">
        <is>
          <t>pro17</t>
        </is>
      </c>
      <c r="F95" t="inlineStr">
        <is>
          <t>prod</t>
        </is>
      </c>
    </row>
    <row r="96">
      <c r="A96" t="inlineStr">
        <is>
          <t>2025-05-09 19:31:06.884</t>
        </is>
      </c>
      <c r="B96">
        <f>=请求开始== [请求IP]:111.58.142.237 ,[请求方式]:POST， [请求URL]:https://172.30.103.196:8080/api/appservice/bfv/v1/chatHistory/batchSave, [请求类名]:com.yingzi.appservice.bfv.provider.rest.ChatHistoryController,[请求方法名]:batchSave, [请求头参数]:{"host":"172.30.103.196:8080"}, [请求参数]:[[{"userId":888711276726673408,"deviceId":"84:5C:F3:27:DC:B5","sessionId":"","avatarId":"11200220000208050000000000000000","appCode":"VDHtestWDC","instructionTemplateType":"","recordId":"","asrResult":"","knowledgeId":"","knowledgeMasterId":"","instructionType":"","instructionName":"","instructionFlag":"","parameter":"{}","ttsResultSource":"local","ttsResult":"烹饪完成,请取餐,小心烫小万发现了法式橙香鸭胸肉,请选择烹饪模式开始烹饪,请耐心等待","ttsResultTime":{"year":2025,"monthValue":5,"month":"MAY","dayOfMonth":9,"dayOfYear":129,"dayOfWeek":"FRIDAY","hour":19,"minute":29,"second":46,"nano":0,"chronology":{"id":"ISO","calendarType":"iso8601"}},"response":1746790186273}]]</f>
        <v/>
      </c>
      <c r="C96" t="inlineStr">
        <is>
          <t>INFO</t>
        </is>
      </c>
      <c r="D96" t="inlineStr">
        <is>
          <t>vdh</t>
        </is>
      </c>
      <c r="E96" t="inlineStr">
        <is>
          <t>pro17</t>
        </is>
      </c>
      <c r="F96" t="inlineStr">
        <is>
          <t>prod</t>
        </is>
      </c>
    </row>
    <row r="97">
      <c r="A97" t="inlineStr">
        <is>
          <t>2025-05-09 19:27:03.831</t>
        </is>
      </c>
      <c r="B97">
        <f>=请求结束== [请求耗时]:13毫秒, [返回数据]:{"code":"000000","msg":"Success","traceId":"90fa336ec85b3b5fecb6a1685311a0b6"}</f>
        <v/>
      </c>
      <c r="C97" t="inlineStr">
        <is>
          <t>INFO</t>
        </is>
      </c>
      <c r="D97" t="inlineStr">
        <is>
          <t>vdh</t>
        </is>
      </c>
      <c r="E97" t="inlineStr">
        <is>
          <t>pro14</t>
        </is>
      </c>
      <c r="F97" t="inlineStr">
        <is>
          <t>prod</t>
        </is>
      </c>
    </row>
    <row r="98">
      <c r="A98" t="inlineStr">
        <is>
          <t>2025-05-09 19:27:03.818</t>
        </is>
      </c>
      <c r="B98">
        <f>=请求开始== [请求IP]:111.58.142.237 ,[请求方式]:POST， [请求URL]:https://172.30.212.148:8080/api/appservice/bfv/v1/chatHistory/batchSave, [请求类名]:com.yingzi.appservice.bfv.provider.rest.ChatHistoryController,[请求方法名]:batchSave, [请求头参数]:{"host":"172.30.212.148:8080"}, [请求参数]:[[{"userId":888711276726673408,"deviceId":"84:5C:F3:27:DC:B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19,"minute":26,"second":58,"nano":0,"chronology":{"id":"ISO","calendarType":"iso8601"}},"response":1746790018093}]]</f>
        <v/>
      </c>
      <c r="C98" t="inlineStr">
        <is>
          <t>INFO</t>
        </is>
      </c>
      <c r="D98" t="inlineStr">
        <is>
          <t>vdh</t>
        </is>
      </c>
      <c r="E98" t="inlineStr">
        <is>
          <t>pro14</t>
        </is>
      </c>
      <c r="F98" t="inlineStr">
        <is>
          <t>prod</t>
        </is>
      </c>
    </row>
    <row r="99">
      <c r="A99" t="inlineStr">
        <is>
          <t>2025-05-09 19:26:55.091</t>
        </is>
      </c>
      <c r="B99">
        <f>=请求结束== [请求耗时]:14毫秒, [返回数据]:{"code":"000000","msg":"Success","traceId":"a30add68cad3634e9599b2a09f228fd3"}</f>
        <v/>
      </c>
      <c r="C99" t="inlineStr">
        <is>
          <t>INFO</t>
        </is>
      </c>
      <c r="D99" t="inlineStr">
        <is>
          <t>vdh</t>
        </is>
      </c>
      <c r="E99" t="inlineStr">
        <is>
          <t>pro17</t>
        </is>
      </c>
      <c r="F99" t="inlineStr">
        <is>
          <t>prod</t>
        </is>
      </c>
    </row>
    <row r="100">
      <c r="A100" t="inlineStr">
        <is>
          <t>2025-05-09 19:26:55.078</t>
        </is>
      </c>
      <c r="B100">
        <f>=请求开始== [请求IP]:180.139.211.179 ,[请求方式]:POST， [请求URL]:https://172.30.103.196:8080/api/appservice/bfv/v1/chatHistory/batchSave, [请求类名]:com.yingzi.appservice.bfv.provider.rest.ChatHistoryController,[请求方法名]:batchSave, [请求头参数]:{"host":"172.30.103.196:8080"}, [请求参数]:[[{"userId":1069342220569202688,"deviceId":"64:79:F0:90:2B:2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37,"second":27,"nano":0,"chronology":{"id":"ISO","calendarType":"iso8601"}},"response":1746787047446}]]</f>
        <v/>
      </c>
      <c r="C100" t="inlineStr">
        <is>
          <t>INFO</t>
        </is>
      </c>
      <c r="D100" t="inlineStr">
        <is>
          <t>vdh</t>
        </is>
      </c>
      <c r="E100" t="inlineStr">
        <is>
          <t>pro17</t>
        </is>
      </c>
      <c r="F100" t="inlineStr">
        <is>
          <t>prod</t>
        </is>
      </c>
    </row>
    <row r="101">
      <c r="A101" t="inlineStr">
        <is>
          <t>2025-05-09 19:26:51.042</t>
        </is>
      </c>
      <c r="B101">
        <f>=请求结束== [请求耗时]:17毫秒, [返回数据]:{"code":"000000","msg":"Success","traceId":"44b6b45ab161a29cc3747b668cc89238"}</f>
        <v/>
      </c>
      <c r="C101" t="inlineStr">
        <is>
          <t>INFO</t>
        </is>
      </c>
      <c r="D101" t="inlineStr">
        <is>
          <t>vdh</t>
        </is>
      </c>
      <c r="E101" t="inlineStr">
        <is>
          <t>pro14</t>
        </is>
      </c>
      <c r="F101" t="inlineStr">
        <is>
          <t>prod</t>
        </is>
      </c>
    </row>
    <row r="102">
      <c r="A102" t="inlineStr">
        <is>
          <t>2025-05-09 19:26:51.025</t>
        </is>
      </c>
      <c r="B102">
        <f>=请求开始== [请求IP]:111.58.142.237 ,[请求方式]:POST， [请求URL]:https://172.30.212.148:8080/api/appservice/bfv/v1/chatHistory/batchSave, [请求类名]:com.yingzi.appservice.bfv.provider.rest.ChatHistoryController,[请求方法名]:batchSave, [请求头参数]:{"host":"172.30.212.148:8080"}, [请求参数]:[[{"userId":888711276726673408,"deviceId":"84:5C:F3:27:DC:B5","sessionId":"","avatarId":"11200220000208050000000000000000","appCode":"VDHtestWDC","instructionTemplateType":"","recordId":"","asrResult":"","knowledgeId":"","knowledgeMasterId":"","instructionType":"","instructionName":"","instructionFlag":"","parameter":"{}","ttsResultSource":"local","ttsResult":"小万发现了番茄牛肉,请选择烹饪模式","ttsResultTime":{"year":2025,"monthValue":5,"month":"MAY","dayOfMonth":9,"dayOfYear":129,"dayOfWeek":"FRIDAY","hour":19,"minute":26,"second":46,"nano":0,"chronology":{"id":"ISO","calendarType":"iso8601"}},"response":1746790006644}]]</f>
        <v/>
      </c>
      <c r="C102" t="inlineStr">
        <is>
          <t>INFO</t>
        </is>
      </c>
      <c r="D102" t="inlineStr">
        <is>
          <t>vdh</t>
        </is>
      </c>
      <c r="E102" t="inlineStr">
        <is>
          <t>pro14</t>
        </is>
      </c>
      <c r="F102" t="inlineStr">
        <is>
          <t>prod</t>
        </is>
      </c>
    </row>
    <row r="103">
      <c r="A103" t="inlineStr">
        <is>
          <t>2025-05-09 19:25:42.419</t>
        </is>
      </c>
      <c r="B103">
        <f>=请求结束== [请求耗时]:16毫秒, [返回数据]:{"code":"000000","msg":"Success","traceId":"23739e063a265b4871068ab06ef9aeb0"}</f>
        <v/>
      </c>
      <c r="C103" t="inlineStr">
        <is>
          <t>INFO</t>
        </is>
      </c>
      <c r="D103" t="inlineStr">
        <is>
          <t>vdh</t>
        </is>
      </c>
      <c r="E103" t="inlineStr">
        <is>
          <t>pro17</t>
        </is>
      </c>
      <c r="F103" t="inlineStr">
        <is>
          <t>prod</t>
        </is>
      </c>
    </row>
    <row r="104">
      <c r="A104" t="inlineStr">
        <is>
          <t>2025-05-09 19:25:42.403</t>
        </is>
      </c>
      <c r="B104">
        <f>=请求开始== [请求IP]:111.58.142.237 ,[请求方式]:POST， [请求URL]:https://172.30.103.196:8080/api/appservice/bfv/v1/chatHistory/batchSave, [请求类名]:com.yingzi.appservice.bfv.provider.rest.ChatHistoryController,[请求方法名]:batchSave, [请求头参数]:{"host":"172.30.103.196:8080"}, [请求参数]:[[{"userId":888711276726673408,"deviceId":"84:5C:F3:27:DC:B5","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19,"minute":25,"second":37,"nano":0,"chronology":{"id":"ISO","calendarType":"iso8601"}},"response":1746789937025}]]</f>
        <v/>
      </c>
      <c r="C104" t="inlineStr">
        <is>
          <t>INFO</t>
        </is>
      </c>
      <c r="D104" t="inlineStr">
        <is>
          <t>vdh</t>
        </is>
      </c>
      <c r="E104" t="inlineStr">
        <is>
          <t>pro17</t>
        </is>
      </c>
      <c r="F104" t="inlineStr">
        <is>
          <t>prod</t>
        </is>
      </c>
    </row>
    <row r="105">
      <c r="A105" t="inlineStr">
        <is>
          <t>2025-05-09 19:19:59.743</t>
        </is>
      </c>
      <c r="B105">
        <f>=请求结束== [请求耗时]:15毫秒, [返回数据]:{"code":"000000","msg":"Success","traceId":"428be2b4ea04d5aa11194530bffe9ab5"}</f>
        <v/>
      </c>
      <c r="C105" t="inlineStr">
        <is>
          <t>INFO</t>
        </is>
      </c>
      <c r="D105" t="inlineStr">
        <is>
          <t>vdh</t>
        </is>
      </c>
      <c r="E105" t="inlineStr">
        <is>
          <t>pro14</t>
        </is>
      </c>
      <c r="F105" t="inlineStr">
        <is>
          <t>prod</t>
        </is>
      </c>
    </row>
    <row r="106">
      <c r="A106" t="inlineStr">
        <is>
          <t>2025-05-09 19:19:59.728</t>
        </is>
      </c>
      <c r="B106">
        <f>=请求开始== [请求IP]:111.58.142.237 ,[请求方式]:POST， [请求URL]:https://172.30.212.148:8080/api/appservice/bfv/v1/chatHistory/batchSave, [请求类名]:com.yingzi.appservice.bfv.provider.rest.ChatHistoryController,[请求方法名]:batchSave, [请求头参数]:{"host":"172.30.212.148:8080"}, [请求参数]:[[{"userId":888711276726673408,"deviceId":"84:5C:F3:27:DC:B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19,"minute":19,"second":53,"nano":0,"chronology":{"id":"ISO","calendarType":"iso8601"}},"response":1746789593987}]]</f>
        <v/>
      </c>
      <c r="C106" t="inlineStr">
        <is>
          <t>INFO</t>
        </is>
      </c>
      <c r="D106" t="inlineStr">
        <is>
          <t>vdh</t>
        </is>
      </c>
      <c r="E106" t="inlineStr">
        <is>
          <t>pro14</t>
        </is>
      </c>
      <c r="F106" t="inlineStr">
        <is>
          <t>prod</t>
        </is>
      </c>
    </row>
    <row r="107">
      <c r="A107" t="inlineStr">
        <is>
          <t>2025-05-09 19:16:58.486</t>
        </is>
      </c>
      <c r="B107">
        <f>=请求结束== [请求耗时]:15毫秒, [返回数据]:{"code":"000000","msg":"Success","traceId":"92bd6ee30e8dc1dd817401f74138379b"}</f>
        <v/>
      </c>
      <c r="C107" t="inlineStr">
        <is>
          <t>INFO</t>
        </is>
      </c>
      <c r="D107" t="inlineStr">
        <is>
          <t>vdh</t>
        </is>
      </c>
      <c r="E107" t="inlineStr">
        <is>
          <t>pro14</t>
        </is>
      </c>
      <c r="F107" t="inlineStr">
        <is>
          <t>prod</t>
        </is>
      </c>
    </row>
    <row r="108">
      <c r="A108" t="inlineStr">
        <is>
          <t>2025-05-09 19:16:58.471</t>
        </is>
      </c>
      <c r="B108">
        <f>=请求开始== [请求IP]:117.183.10.240 ,[请求方式]:POST， [请求URL]:https://172.30.212.148:8080/api/appservice/bfv/v1/chatHistory/batchSave, [请求类名]:com.yingzi.appservice.bfv.provider.rest.ChatHistoryController,[请求方法名]:batchSave, [请求头参数]:{"host":"172.30.212.148:8080"}, [请求参数]:[[{"userId":755039903947829248,"deviceId":"64:79:F0:79:7A:93","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1,"dayOfYear":121,"dayOfWeek":"THURSDAY","hour":23,"minute":30,"second":9,"nano":0,"chronology":{"id":"ISO","calendarType":"iso8601"}},"response":1746113409458}]]</f>
        <v/>
      </c>
      <c r="C108" t="inlineStr">
        <is>
          <t>INFO</t>
        </is>
      </c>
      <c r="D108" t="inlineStr">
        <is>
          <t>vdh</t>
        </is>
      </c>
      <c r="E108" t="inlineStr">
        <is>
          <t>pro14</t>
        </is>
      </c>
      <c r="F108" t="inlineStr">
        <is>
          <t>prod</t>
        </is>
      </c>
    </row>
    <row r="109">
      <c r="A109" t="inlineStr">
        <is>
          <t>2025-05-09 19:16:01.426</t>
        </is>
      </c>
      <c r="B109">
        <f>=请求结束== [请求耗时]:13毫秒, [返回数据]:{"code":"000000","msg":"Success","traceId":"c48afdb6228dd113eb8785c9ae23e9ea"}</f>
        <v/>
      </c>
      <c r="C109" t="inlineStr">
        <is>
          <t>INFO</t>
        </is>
      </c>
      <c r="D109" t="inlineStr">
        <is>
          <t>vdh</t>
        </is>
      </c>
      <c r="E109" t="inlineStr">
        <is>
          <t>pro17</t>
        </is>
      </c>
      <c r="F109" t="inlineStr">
        <is>
          <t>prod</t>
        </is>
      </c>
    </row>
    <row r="110">
      <c r="A110" t="inlineStr">
        <is>
          <t>2025-05-09 19:16:01.413</t>
        </is>
      </c>
      <c r="B110">
        <f>=请求开始== [请求IP]:117.183.10.225 ,[请求方式]:POST， [请求URL]:https://172.30.103.196:8080/api/appservice/bfv/v1/chatHistory/batchSave, [请求类名]:com.yingzi.appservice.bfv.provider.rest.ChatHistoryController,[请求方法名]:batchSave, [请求头参数]:{"host":"172.30.103.196:8080"}, [请求参数]:[[{"userId":786641175286677504,"deviceId":"28:D0:EA:87:39:C6","sessionId":"","avatarId":"11200220000208050000000000000000","appCode":"VDHtestWDC","instructionTemplateType":"","recordId":"","asrResult":"","knowledgeId":"","knowledgeMasterId":"","instructionType":"","instructionName":"","instructionFlag":"","parameter":"{}","ttsResultSource":"","ttsResult":"","response":0}]]</f>
        <v/>
      </c>
      <c r="C110" t="inlineStr">
        <is>
          <t>INFO</t>
        </is>
      </c>
      <c r="D110" t="inlineStr">
        <is>
          <t>vdh</t>
        </is>
      </c>
      <c r="E110" t="inlineStr">
        <is>
          <t>pro17</t>
        </is>
      </c>
      <c r="F110" t="inlineStr">
        <is>
          <t>prod</t>
        </is>
      </c>
    </row>
    <row r="111">
      <c r="A111" t="inlineStr">
        <is>
          <t>2025-05-09 19:14:58.084</t>
        </is>
      </c>
      <c r="B111">
        <f>=请求结束== [请求耗时]:13毫秒, [返回数据]:{"code":"000000","msg":"Success","traceId":"22d30fb6466ac14c7502d9aff835b715"}</f>
        <v/>
      </c>
      <c r="C111" t="inlineStr">
        <is>
          <t>INFO</t>
        </is>
      </c>
      <c r="D111" t="inlineStr">
        <is>
          <t>vdh</t>
        </is>
      </c>
      <c r="E111" t="inlineStr">
        <is>
          <t>pro17</t>
        </is>
      </c>
      <c r="F111" t="inlineStr">
        <is>
          <t>prod</t>
        </is>
      </c>
    </row>
    <row r="112">
      <c r="A112" t="inlineStr">
        <is>
          <t>2025-05-09 19:14:58.071</t>
        </is>
      </c>
      <c r="B112">
        <f>=请求开始== [请求IP]:117.183.10.240 ,[请求方式]:POST， [请求URL]:https://172.30.103.196:8080/api/appservice/bfv/v1/chatHistory/batchSave, [请求类名]:com.yingzi.appservice.bfv.provider.rest.ChatHistoryController,[请求方法名]:batchSave, [请求头参数]:{"host":"172.30.103.196:8080"}, [请求参数]:[[{"userId":755039903947829248,"deviceId":"64:79:F0:79:7A:93","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1,"dayOfYear":121,"dayOfWeek":"THURSDAY","hour":23,"minute":28,"second":8,"nano":0,"chronology":{"id":"ISO","calendarType":"iso8601"}},"response":1746113288850}]]</f>
        <v/>
      </c>
      <c r="C112" t="inlineStr">
        <is>
          <t>INFO</t>
        </is>
      </c>
      <c r="D112" t="inlineStr">
        <is>
          <t>vdh</t>
        </is>
      </c>
      <c r="E112" t="inlineStr">
        <is>
          <t>pro17</t>
        </is>
      </c>
      <c r="F112" t="inlineStr">
        <is>
          <t>prod</t>
        </is>
      </c>
    </row>
    <row r="113">
      <c r="A113" t="inlineStr">
        <is>
          <t>2025-05-09 19:14:54.098</t>
        </is>
      </c>
      <c r="B113">
        <f>=请求结束== [请求耗时]:15毫秒, [返回数据]:{"code":"000000","msg":"Success","traceId":"e2b3df422d2df46aebf8d2af7168307a"}</f>
        <v/>
      </c>
      <c r="C113" t="inlineStr">
        <is>
          <t>INFO</t>
        </is>
      </c>
      <c r="D113" t="inlineStr">
        <is>
          <t>vdh</t>
        </is>
      </c>
      <c r="E113" t="inlineStr">
        <is>
          <t>pro14</t>
        </is>
      </c>
      <c r="F113" t="inlineStr">
        <is>
          <t>prod</t>
        </is>
      </c>
    </row>
    <row r="114">
      <c r="A114" t="inlineStr">
        <is>
          <t>2025-05-09 19:14:54.083</t>
        </is>
      </c>
      <c r="B114">
        <f>=请求开始== [请求IP]:111.58.68.134 ,[请求方式]:POST， [请求URL]:https://172.30.212.148:8080/api/appservice/bfv/v1/chatHistory/batchSave, [请求类名]:com.yingzi.appservice.bfv.provider.rest.ChatHistoryController,[请求方法名]:batchSave, [请求头参数]:{"host":"172.30.212.148:8080"}, [请求参数]:[[{"userId":1151882722659651585,"deviceId":"64:79:F0:79:7A:84","sessionId":"","avatarId":"11200220000208050000000000000000","appCode":"VDHtestWDC","instructionTemplateType":"Undertake","recordId":"","asrResult":"朝阳","instructionAsrFirstTime":{"year":2025,"monthValue":5,"month":"MAY","dayOfMonth":9,"dayOfYear":129,"dayOfWeek":"FRIDAY","hour":19,"minute":14,"second":51,"nano":0,"chronology":{"id":"ISO","calendarType":"iso8601"}},"knowledgeId":"","knowledgeMasterId":"","instructionType":"","instructionName":"","instructionFlag":"","parameter":"{\"answer\":\"{\\\"answerId\\\":\\\"\\\",\\\"value\\\":\\\"你考到我了哟\\\",\\\"hidb\\\":\\\"1729128394061176932ubrka\\\",\\\"aplusId\\\":\\\"1724553353816029372ixbrx\\\",\\\"flag\\\":true,\\\"updFlag\\\":true,\\\"cache\\\":true}\",\"service\":\"Undertake\"}","ttsResultSource":"FTT","ttsResult":"","response":0}]]</f>
        <v/>
      </c>
      <c r="C114" t="inlineStr">
        <is>
          <t>INFO</t>
        </is>
      </c>
      <c r="D114" t="inlineStr">
        <is>
          <t>vdh</t>
        </is>
      </c>
      <c r="E114" t="inlineStr">
        <is>
          <t>pro14</t>
        </is>
      </c>
      <c r="F114" t="inlineStr">
        <is>
          <t>prod</t>
        </is>
      </c>
    </row>
    <row r="115">
      <c r="A115" t="inlineStr">
        <is>
          <t>2025-05-09 19:14:00.874</t>
        </is>
      </c>
      <c r="B115">
        <f>=请求结束== [请求耗时]:17毫秒, [返回数据]:{"code":"000000","msg":"Success","traceId":"e6b28ab00f54ac4b96a38a043b9c3387"}</f>
        <v/>
      </c>
      <c r="C115" t="inlineStr">
        <is>
          <t>INFO</t>
        </is>
      </c>
      <c r="D115" t="inlineStr">
        <is>
          <t>vdh</t>
        </is>
      </c>
      <c r="E115" t="inlineStr">
        <is>
          <t>pro14</t>
        </is>
      </c>
      <c r="F115" t="inlineStr">
        <is>
          <t>prod</t>
        </is>
      </c>
    </row>
    <row r="116">
      <c r="A116" t="inlineStr">
        <is>
          <t>2025-05-09 19:14:00.857</t>
        </is>
      </c>
      <c r="B116">
        <f>=请求开始== [请求IP]:111.58.69.148 ,[请求方式]:POST， [请求URL]:https://172.30.212.148:8080/api/appservice/bfv/v1/chatHistory/batchSave, [请求类名]:com.yingzi.appservice.bfv.provider.rest.ChatHistoryController,[请求方法名]:batchSave, [请求头参数]:{"host":"172.30.212.148:8080"}, [请求参数]:[[{"userId":750679258637148160,"deviceId":"28:D0:EA:87:97:F9","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19,"minute":13,"second":55,"nano":0,"chronology":{"id":"ISO","calendarType":"iso8601"}},"response":1292474}]]</f>
        <v/>
      </c>
      <c r="C116" t="inlineStr">
        <is>
          <t>INFO</t>
        </is>
      </c>
      <c r="D116" t="inlineStr">
        <is>
          <t>vdh</t>
        </is>
      </c>
      <c r="E116" t="inlineStr">
        <is>
          <t>pro14</t>
        </is>
      </c>
      <c r="F116" t="inlineStr">
        <is>
          <t>prod</t>
        </is>
      </c>
    </row>
    <row r="117">
      <c r="A117" t="inlineStr">
        <is>
          <t>2025-05-09 19:13:37.263</t>
        </is>
      </c>
      <c r="B117">
        <f>=请求结束== [请求耗时]:15毫秒, [返回数据]:{"code":"000000","msg":"Success","traceId":"f86a58588e0501f5f3c1b8a04adde68f"}</f>
        <v/>
      </c>
      <c r="C117" t="inlineStr">
        <is>
          <t>INFO</t>
        </is>
      </c>
      <c r="D117" t="inlineStr">
        <is>
          <t>vdh</t>
        </is>
      </c>
      <c r="E117" t="inlineStr">
        <is>
          <t>pro17</t>
        </is>
      </c>
      <c r="F117" t="inlineStr">
        <is>
          <t>prod</t>
        </is>
      </c>
    </row>
    <row r="118">
      <c r="A118" t="inlineStr">
        <is>
          <t>2025-05-09 19:13:37.248</t>
        </is>
      </c>
      <c r="B118">
        <f>=请求开始== [请求IP]:117.183.10.213 ,[请求方式]:POST， [请求URL]:https://172.30.103.196:8080/api/appservice/bfv/v1/chatHistory/batchSave, [请求类名]:com.yingzi.appservice.bfv.provider.rest.ChatHistoryController,[请求方法名]:batchSave, [请求头参数]:{"host":"172.30.103.196:8080"}, [请求参数]:[[{"userId":787335123823247360,"deviceId":"64:79:F0:FF:F2:8F","sessionId":"","avatarId":"11200220000208050000000000000000","appCode":"VDHtestWDC","instructionTemplateType":"","recordId":"","asrResult":"","knowledgeId":"","knowledgeMasterId":"","instructionType":"","instructionName":"","instructionFlag":"","parameter":"{}","ttsResultSource":"local","ttsResult":"烹饪完成,请取餐,小心烫小万发现了芋头糕,请选择烹饪模式","ttsResultTime":{"year":2025,"monthValue":5,"month":"MAY","dayOfMonth":9,"dayOfYear":129,"dayOfWeek":"FRIDAY","hour":19,"minute":13,"second":28,"nano":0,"chronology":{"id":"ISO","calendarType":"iso8601"}},"response":1746789208443}]]</f>
        <v/>
      </c>
      <c r="C118" t="inlineStr">
        <is>
          <t>INFO</t>
        </is>
      </c>
      <c r="D118" t="inlineStr">
        <is>
          <t>vdh</t>
        </is>
      </c>
      <c r="E118" t="inlineStr">
        <is>
          <t>pro17</t>
        </is>
      </c>
      <c r="F118" t="inlineStr">
        <is>
          <t>prod</t>
        </is>
      </c>
    </row>
    <row r="119">
      <c r="A119" t="inlineStr">
        <is>
          <t>2025-05-09 19:13:07.581</t>
        </is>
      </c>
      <c r="B119">
        <f>=请求结束== [请求耗时]:13毫秒, [返回数据]:{"code":"000000","msg":"Success","traceId":"72750d5356e54d878bc9c2a25884bafa"}</f>
        <v/>
      </c>
      <c r="C119" t="inlineStr">
        <is>
          <t>INFO</t>
        </is>
      </c>
      <c r="D119" t="inlineStr">
        <is>
          <t>vdh</t>
        </is>
      </c>
      <c r="E119" t="inlineStr">
        <is>
          <t>pro14</t>
        </is>
      </c>
      <c r="F119" t="inlineStr">
        <is>
          <t>prod</t>
        </is>
      </c>
    </row>
    <row r="120">
      <c r="A120" t="inlineStr">
        <is>
          <t>2025-05-09 19:13:07.568</t>
        </is>
      </c>
      <c r="B120">
        <f>=请求开始== [请求IP]:111.58.68.134 ,[请求方式]:POST， [请求URL]:https://172.30.212.148:8080/api/appservice/bfv/v1/chatHistory/batchSave, [请求类名]:com.yingzi.appservice.bfv.provider.rest.ChatHistoryController,[请求方法名]:batchSave, [请求头参数]:{"host":"172.30.212.148:8080"}, [请求参数]:[[{"userId":1151882722659651585,"deviceId":"64:79:F0:79:7A:84","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19,"minute":13,"second":2,"nano":0,"chronology":{"id":"ISO","calendarType":"iso8601"}},"response":1993}]]</f>
        <v/>
      </c>
      <c r="C120" t="inlineStr">
        <is>
          <t>INFO</t>
        </is>
      </c>
      <c r="D120" t="inlineStr">
        <is>
          <t>vdh</t>
        </is>
      </c>
      <c r="E120" t="inlineStr">
        <is>
          <t>pro14</t>
        </is>
      </c>
      <c r="F120" t="inlineStr">
        <is>
          <t>prod</t>
        </is>
      </c>
    </row>
    <row r="121">
      <c r="A121" t="inlineStr">
        <is>
          <t>2025-05-09 19:12:40.317</t>
        </is>
      </c>
      <c r="B121">
        <f>=请求结束== [请求耗时]:16毫秒, [返回数据]:{"code":"000000","msg":"Success","traceId":"c0abfd8a2b02b115b801215801bedf77"}</f>
        <v/>
      </c>
      <c r="C121" t="inlineStr">
        <is>
          <t>INFO</t>
        </is>
      </c>
      <c r="D121" t="inlineStr">
        <is>
          <t>vdh</t>
        </is>
      </c>
      <c r="E121" t="inlineStr">
        <is>
          <t>pro17</t>
        </is>
      </c>
      <c r="F121" t="inlineStr">
        <is>
          <t>prod</t>
        </is>
      </c>
    </row>
    <row r="122">
      <c r="A122" t="inlineStr">
        <is>
          <t>2025-05-09 19:12:40.301</t>
        </is>
      </c>
      <c r="B122">
        <f>=请求开始== [请求IP]:117.183.10.213 ,[请求方式]:POST， [请求URL]:https://172.30.103.196:8080/api/appservice/bfv/v1/chatHistory/batchSave, [请求类名]:com.yingzi.appservice.bfv.provider.rest.ChatHistoryController,[请求方法名]:batchSave, [请求头参数]:{"host":"172.30.103.196:8080"}, [请求参数]:[[{"userId":787335123823247360,"deviceId":"64:79:F0:FF:F2:8F","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19,"minute":12,"second":27,"nano":0,"chronology":{"id":"ISO","calendarType":"iso8601"}},"response":1746789147435}]]</f>
        <v/>
      </c>
      <c r="C122" t="inlineStr">
        <is>
          <t>INFO</t>
        </is>
      </c>
      <c r="D122" t="inlineStr">
        <is>
          <t>vdh</t>
        </is>
      </c>
      <c r="E122" t="inlineStr">
        <is>
          <t>pro17</t>
        </is>
      </c>
      <c r="F122" t="inlineStr">
        <is>
          <t>prod</t>
        </is>
      </c>
    </row>
    <row r="123">
      <c r="A123" t="inlineStr">
        <is>
          <t>2025-05-09 19:08:07.040</t>
        </is>
      </c>
      <c r="B123">
        <f>=请求结束== [请求耗时]:15毫秒, [返回数据]:{"code":"000000","msg":"Success","traceId":"8a881fe73a316ad1cb6d668458d9292b"}</f>
        <v/>
      </c>
      <c r="C123" t="inlineStr">
        <is>
          <t>INFO</t>
        </is>
      </c>
      <c r="D123" t="inlineStr">
        <is>
          <t>vdh</t>
        </is>
      </c>
      <c r="E123" t="inlineStr">
        <is>
          <t>pro14</t>
        </is>
      </c>
      <c r="F123" t="inlineStr">
        <is>
          <t>prod</t>
        </is>
      </c>
    </row>
    <row r="124">
      <c r="A124" t="inlineStr">
        <is>
          <t>2025-05-09 19:08:07.024</t>
        </is>
      </c>
      <c r="B124">
        <f>=请求开始== [请求IP]:111.58.68.134 ,[请求方式]:POST， [请求URL]:https://172.30.212.148:8080/api/appservice/bfv/v1/chatHistory/batchSave, [请求类名]:com.yingzi.appservice.bfv.provider.rest.ChatHistoryController,[请求方法名]:batchSave, [请求头参数]:{"host":"172.30.212.148:8080"}, [请求参数]:[[{"userId":1151882722659651585,"deviceId":"64:79:F0:79:7A:84","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19,"minute":8,"second":1,"nano":0,"chronology":{"id":"ISO","calendarType":"iso8601"}},"response":1597}]]</f>
        <v/>
      </c>
      <c r="C124" t="inlineStr">
        <is>
          <t>INFO</t>
        </is>
      </c>
      <c r="D124" t="inlineStr">
        <is>
          <t>vdh</t>
        </is>
      </c>
      <c r="E124" t="inlineStr">
        <is>
          <t>pro14</t>
        </is>
      </c>
      <c r="F124" t="inlineStr">
        <is>
          <t>prod</t>
        </is>
      </c>
    </row>
    <row r="125">
      <c r="A125" t="inlineStr">
        <is>
          <t>2025-05-09 19:07:26.437</t>
        </is>
      </c>
      <c r="B125">
        <f>=请求结束== [请求耗时]:17毫秒, [返回数据]:{"code":"000000","msg":"Success","traceId":"ba8613a0e4da3a01e2fdbc6e5c18a0e7"}</f>
        <v/>
      </c>
      <c r="C125" t="inlineStr">
        <is>
          <t>INFO</t>
        </is>
      </c>
      <c r="D125" t="inlineStr">
        <is>
          <t>vdh</t>
        </is>
      </c>
      <c r="E125" t="inlineStr">
        <is>
          <t>pro17</t>
        </is>
      </c>
      <c r="F125" t="inlineStr">
        <is>
          <t>prod</t>
        </is>
      </c>
    </row>
    <row r="126">
      <c r="A126" t="inlineStr">
        <is>
          <t>2025-05-09 19:07:26.420</t>
        </is>
      </c>
      <c r="B126">
        <f>=请求开始== [请求IP]:111.58.68.134 ,[请求方式]:POST， [请求URL]:https://172.30.103.196:8080/api/appservice/bfv/v1/chatHistory/batchSave, [请求类名]:com.yingzi.appservice.bfv.provider.rest.ChatHistoryController,[请求方法名]:batchSave, [请求头参数]:{"host":"172.30.103.196:8080"}, [请求参数]:[[{"userId":1151882722659651585,"deviceId":"64:79:F0:79:7A:84","sessionId":"","avatarId":"11200220000208050000000000000000","appCode":"VDHtestWDC","instructionTemplateType":"Undertake","recordId":"","asrResult":"我不在你家我不在","instructionAsrFirstTime":{"year":2025,"monthValue":5,"month":"MAY","dayOfMonth":9,"dayOfYear":129,"dayOfWeek":"FRIDAY","hour":19,"minute":7,"second":22,"nano":0,"chronology":{"id":"ISO","calendarType":"iso8601"}},"knowledgeId":"","knowledgeMasterId":"","instructionType":"","instructionName":"","instructionFlag":"","parameter":"{\"answer\":\"{\\\"answerId\\\":\\\"\\\",\\\"value\\\":\\\"这个问题考到我了\\\",\\\"hidb\\\":\\\"\\\",\\\"aplusId\\\":\\\"1724553354369357534tgovl\\\",\\\"flag\\\":true,\\\"updFlag\\\":true,\\\"cache\\\":true}\",\"service\":\"Undertake\"}","ttsResultSource":"FTT","ttsResult":"","response":0}]]</f>
        <v/>
      </c>
      <c r="C126" t="inlineStr">
        <is>
          <t>INFO</t>
        </is>
      </c>
      <c r="D126" t="inlineStr">
        <is>
          <t>vdh</t>
        </is>
      </c>
      <c r="E126" t="inlineStr">
        <is>
          <t>pro17</t>
        </is>
      </c>
      <c r="F126" t="inlineStr">
        <is>
          <t>prod</t>
        </is>
      </c>
    </row>
    <row r="127">
      <c r="A127" t="inlineStr">
        <is>
          <t>2025-05-09 19:02:47.770</t>
        </is>
      </c>
      <c r="B127">
        <f>=请求结束== [请求耗时]:19毫秒, [返回数据]:{"code":"000000","msg":"Success","traceId":"b735ddde53157dea0e0b86cdfae76a92"}</f>
        <v/>
      </c>
      <c r="C127" t="inlineStr">
        <is>
          <t>INFO</t>
        </is>
      </c>
      <c r="D127" t="inlineStr">
        <is>
          <t>vdh</t>
        </is>
      </c>
      <c r="E127" t="inlineStr">
        <is>
          <t>pro17</t>
        </is>
      </c>
      <c r="F127" t="inlineStr">
        <is>
          <t>prod</t>
        </is>
      </c>
    </row>
    <row r="128">
      <c r="A128" t="inlineStr">
        <is>
          <t>2025-05-09 19:02:47.752</t>
        </is>
      </c>
      <c r="B128">
        <f>=请求开始== [请求IP]:218.17.115.163 ,[请求方式]:POST， [请求URL]:https://172.30.103.196:8080/api/appservice/bfv/v1/chatHistory/batchSave, [请求类名]:com.yingzi.appservice.bfv.provider.rest.ChatHistoryController,[请求方法名]:batchSave, [请求头参数]:{"host":"172.30.103.196:8080"}, [请求参数]:[[{"userId":1163481844748582912,"deviceId":"64:79:F0:79:7A:A7","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19,"minute":2,"second":42,"nano":0,"chronology":{"id":"ISO","calendarType":"iso8601"}},"response":1746788562502}]]</f>
        <v/>
      </c>
      <c r="C128" t="inlineStr">
        <is>
          <t>INFO</t>
        </is>
      </c>
      <c r="D128" t="inlineStr">
        <is>
          <t>vdh</t>
        </is>
      </c>
      <c r="E128" t="inlineStr">
        <is>
          <t>pro17</t>
        </is>
      </c>
      <c r="F128" t="inlineStr">
        <is>
          <t>prod</t>
        </is>
      </c>
    </row>
    <row r="129">
      <c r="A129" t="inlineStr">
        <is>
          <t>2025-05-09 18:56:32.222</t>
        </is>
      </c>
      <c r="B129">
        <f>=请求结束== [请求耗时]:7655毫秒</f>
        <v/>
      </c>
      <c r="C129" t="inlineStr">
        <is>
          <t>INFO</t>
        </is>
      </c>
      <c r="D129" t="inlineStr">
        <is>
          <t>vdh</t>
        </is>
      </c>
      <c r="E129" t="inlineStr">
        <is>
          <t>pro17</t>
        </is>
      </c>
      <c r="F129" t="inlineStr">
        <is>
          <t>prod</t>
        </is>
      </c>
    </row>
    <row r="130">
      <c r="A130" t="inlineStr">
        <is>
          <t>2025-05-09 18:56:32.221</t>
        </is>
      </c>
      <c r="B130" t="inlineStr">
        <is>
          <t>第2次流式调用完成，耗时：4039ms，response: Response { content = AiMessage { text = "广州市今天的天气情况如下：
- 白天气温：29°C，天气：中雨到大雨，风向：北风
- 晚上气温：22°C，天气：大雨，风向：北风
明天的天气预报是：大雨，白天气温：29°C，晚上气温：20°C。" toolExecutionRequests = null }, tokenUsage = TokenUsage { inputTokenCount = 4653, outputTokenCount = 112, totalTokenCount = 4765 }, finishReason = STOP }</t>
        </is>
      </c>
      <c r="C130" t="inlineStr">
        <is>
          <t>INFO</t>
        </is>
      </c>
      <c r="D130" t="inlineStr">
        <is>
          <t>vdh</t>
        </is>
      </c>
      <c r="E130" t="inlineStr">
        <is>
          <t>pro17</t>
        </is>
      </c>
      <c r="F130" t="inlineStr">
        <is>
          <t>prod</t>
        </is>
      </c>
    </row>
    <row r="131">
      <c r="A131" t="inlineStr">
        <is>
          <t>2025-05-09 18:56:30.558</t>
        </is>
      </c>
      <c r="B131" t="inlineStr">
        <is>
          <t xml:space="preserve">第2次流式调用开始回复，耗时：2376ms，第一个token: </t>
        </is>
      </c>
      <c r="C131" t="inlineStr">
        <is>
          <t>INFO</t>
        </is>
      </c>
      <c r="D131" t="inlineStr">
        <is>
          <t>vdh</t>
        </is>
      </c>
      <c r="E131" t="inlineStr">
        <is>
          <t>pro17</t>
        </is>
      </c>
      <c r="F131" t="inlineStr">
        <is>
          <t>prod</t>
        </is>
      </c>
    </row>
    <row r="132">
      <c r="A132" t="inlineStr">
        <is>
          <t>2025-05-09 18:56:28.183</t>
        </is>
      </c>
      <c r="B132" t="inlineStr">
        <is>
          <t>streaming provider=gpt, model: gpt-4o-mini</t>
        </is>
      </c>
      <c r="C132" t="inlineStr">
        <is>
          <t>INFO</t>
        </is>
      </c>
      <c r="D132" t="inlineStr">
        <is>
          <t>vdh</t>
        </is>
      </c>
      <c r="E132" t="inlineStr">
        <is>
          <t>pro17</t>
        </is>
      </c>
      <c r="F132" t="inlineStr">
        <is>
          <t>prod</t>
        </is>
      </c>
    </row>
    <row r="133">
      <c r="A133" t="inlineStr">
        <is>
          <t>2025-05-09 18:56:28.181</t>
        </is>
      </c>
      <c r="B133" t="inlineStr">
        <is>
          <t>执行天气工具，耗时: 174ms</t>
        </is>
      </c>
      <c r="C133" t="inlineStr">
        <is>
          <t>INFO</t>
        </is>
      </c>
      <c r="D133" t="inlineStr">
        <is>
          <t>vdh</t>
        </is>
      </c>
      <c r="E133" t="inlineStr">
        <is>
          <t>pro17</t>
        </is>
      </c>
      <c r="F133" t="inlineStr">
        <is>
          <t>prod</t>
        </is>
      </c>
    </row>
    <row r="134">
      <c r="A134" t="inlineStr">
        <is>
          <t>2025-05-09 18:56:28.006</t>
        </is>
      </c>
      <c r="B134" t="inlineStr">
        <is>
          <t>第1次流式调用完成，耗时：2876ms，response: Response { content = AiMessage { text = null toolExecutionRequests = [ToolExecutionRequest { id = "call_CbQyZbTXFXSap3afbInLqBb9", name = "getCurrentWeather", arguments = "{"province":"广东省","city":"广州市"}" }] }, tokenUsage = TokenUsage { inputTokenCount = 4687, outputTokenCount = 19, totalTokenCount = 4706 }, finishReason = TOOL_EXECUTION }</t>
        </is>
      </c>
      <c r="C134" t="inlineStr">
        <is>
          <t>INFO</t>
        </is>
      </c>
      <c r="D134" t="inlineStr">
        <is>
          <t>vdh</t>
        </is>
      </c>
      <c r="E134" t="inlineStr">
        <is>
          <t>pro17</t>
        </is>
      </c>
      <c r="F134" t="inlineStr">
        <is>
          <t>prod</t>
        </is>
      </c>
    </row>
    <row r="135">
      <c r="A135" t="inlineStr">
        <is>
          <t>2025-05-09 18:56:25.130</t>
        </is>
      </c>
      <c r="B135" t="inlineStr">
        <is>
          <t>streaming provider=gpt, model: gpt-4o</t>
        </is>
      </c>
      <c r="C135" t="inlineStr">
        <is>
          <t>INFO</t>
        </is>
      </c>
      <c r="D135" t="inlineStr">
        <is>
          <t>vdh</t>
        </is>
      </c>
      <c r="E135" t="inlineStr">
        <is>
          <t>pro17</t>
        </is>
      </c>
      <c r="F135" t="inlineStr">
        <is>
          <t>prod</t>
        </is>
      </c>
    </row>
    <row r="136">
      <c r="A136" t="inlineStr">
        <is>
          <t>2025-05-09 18:56:25.124</t>
        </is>
      </c>
      <c r="B136">
        <f>=请求结束== [请求耗时]:530毫秒, [返回数据]:{"code":"000000","msg":"Success","data":[{"knowledgeId":"1326868148286373888","knowledgeContent":[{"score":0.7357886025,"content":"：2025年春节/过年/大年初一是1月29日，农历正月初一，星期三。","fileId":"1326944717968060416","chunkId":"paragraph-1"},{"score":0.729727975,"content":"：广州影子科技的股价是多少？广州影子科技有限公司没有上市，因此没有股价信息。","fileId":"1326944717968060416","chunkId":"paragraph-5"},{"score":0.7268786899999999,"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1272948056214077440","knowledgeContent":[{"score":0.736102295,"content":"问题：公司在哪办公。\\n回复：影子科技公司地址是在广州。","fileId":"1303425377255075840","chunkId":"2789","textGroup":"公司在哪办公"},{"score":0.728526585,"content":"问题：你喜欢的季节是。\\n回复：我喜欢夏天，可以沐浴阳光和沙滩。","fileId":"1303425377255075840","chunkId":"2694","textGroup":"你喜欢的季节是"}]},{"knowledgeId":"1329399948694220800","knowledgeContent":[{"score":0.9794271999999999,"content":"广州明天天气","fileId":"1329400169758941184","chunkId":"36","textGroup":"getCurrentWeather {province=广东省,city=广州市}"},{"score":0.8232099125,"content":"番禺区今天天气","fileId":"1329400169758941184","chunkId":"39","textGroup":"getCurrentWeather {province=广东省,city=广州市,district=番禺区}"},{"score":0.808390205,"content":"宝安区今天天气","fileId":"1329400169758941184","chunkId":"44","textGroup":"getCurrentWeather {province=广东省,city=深圳市,district=宝安区}"},{"score":0.80778798,"content":"天河区今天天气","fileId":"1329400169758941184","chunkId":"37","textGroup":"getCurrentWeather {province=广东省,city=广州市,district=天河区}"},{"score":0.80147571,"content":"深圳今天天气","fileId":"1329400169758941184","chunkId":"41","textGroup":"getCurrentWeather {province=广东省,city=深圳市}"},{"score":0.8009706825,"content":"南沙区今天天气","fileId":"1329400169758941184","chunkId":"38","textGroup":"getCurrentWeather {province=广东省,city=广州市,district=南沙区}"},{"score":0.79825302,"content":"白云区今天天气","fileId":"1329400169758941184","chunkId":"40","textGroup":"getCurrentWeather {province=广东省,city=广州市,district=白云区}"},{"score":0.7981705699999999,"content":"港南区今天天气","fileId":"1329400169758941184","chunkId":"32","textGroup":"getCurrentWeather {province=广西壮族自治区,city=贵港市,district=港南区}"},{"score":0.79763065,"content":"罗湖区今天天气","fileId":"1329400169758941184","chunkId":"45","textGroup":"getCurrentWeather {province=广东省,city=深圳市,district=罗湖区}"},{"score":0.791380175,"content":"南山区今天天气","fileId":"1329400169758941184","chunkId":"43","textGroup":"getCurrentWeather {province=广东省,city=深圳市,district=南山区}"},{"score":0.7907318375,"content":"贵港明天天气","fileId":"1329400169758941184","chunkId":"31","textGroup":"getCurrentWeather {province=广西壮族自治区,city=贵港市}"},{"score":0.78959356,"content":"天气状况","fileId":"1329400169758941184","chunkId":"20","textGroup":"getCurrentWeather"},{"score":0.789408005,"content":"港北区今天天气","fileId":"1329400169758941184","chunkId":"33","textGroup":"getCurrentWeather {province=广西壮族自治区,city=贵港市,district=港北区}"},{"score":0.78157687,"content":"光明区今天天气","fileId":"1329400169758941184","chunkId":"47","textGroup":"getCurrentWeather {province=广东省,city=深圳市,district=光明区}"},{"score":0.7810865475,"content":"通州区今天天气","fileId":"1329400169758941184","chunkId":"50","textGroup":"getCurrentWeather {province=北京市,district=通州区}"},{"score":0.7798862624999999,"content":"龙华区今天天气","fileId":"1329400169758941184","chunkId":"46","textGroup":"getCurrentWeather {province=广东省,city=深圳市,district=龙华区}"},{"score":0.778558605,"content":"南宁今天天气","fileId":"1329400169758941184","chunkId":"48","textGroup":"getCurrentWeather {province=广西壮族自治区,city=南宁市}"}]}]}</f>
        <v/>
      </c>
      <c r="C136" t="inlineStr">
        <is>
          <t>INFO</t>
        </is>
      </c>
      <c r="D136" t="inlineStr">
        <is>
          <t>vdh</t>
        </is>
      </c>
      <c r="E136" t="inlineStr">
        <is>
          <t>pro14</t>
        </is>
      </c>
      <c r="F136" t="inlineStr">
        <is>
          <t>prod</t>
        </is>
      </c>
    </row>
    <row r="137">
      <c r="A137" t="inlineStr">
        <is>
          <t>2025-05-09 18:56:25.123</t>
        </is>
      </c>
      <c r="B137" t="inlineStr">
        <is>
          <t>知识库插件检索耗时: 528ms</t>
        </is>
      </c>
      <c r="C137" t="inlineStr">
        <is>
          <t>INFO</t>
        </is>
      </c>
      <c r="D137" t="inlineStr">
        <is>
          <t>vdh</t>
        </is>
      </c>
      <c r="E137" t="inlineStr">
        <is>
          <t>pro14</t>
        </is>
      </c>
      <c r="F137" t="inlineStr">
        <is>
          <t>prod</t>
        </is>
      </c>
    </row>
    <row r="138">
      <c r="A138" t="inlineStr">
        <is>
          <t>2025-05-09 18:56:24.594</t>
        </is>
      </c>
      <c r="B138">
        <f>=请求开始== [请求IP]:172.18.33.17 ,[请求方式]:POST， [请求URL]:https://172.30.212.148:8080/api/appservice/bfv/v1/knowledge/retrieval/plugin, [请求类名]:com.yingzi.appservice.bfv.provider.rest.KnowledgeRetrievalController,[请求方法名]:plugin, [请求头参数]:{"host":"172.30.212.148:8080"}, [请求参数]:[{"query":"广州天气","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38" t="inlineStr">
        <is>
          <t>INFO</t>
        </is>
      </c>
      <c r="D138" t="inlineStr">
        <is>
          <t>vdh</t>
        </is>
      </c>
      <c r="E138" t="inlineStr">
        <is>
          <t>pro14</t>
        </is>
      </c>
      <c r="F138" t="inlineStr">
        <is>
          <t>prod</t>
        </is>
      </c>
    </row>
    <row r="139">
      <c r="A139" t="inlineStr">
        <is>
          <t>2025-05-09 18:56:24.567</t>
        </is>
      </c>
      <c r="B139">
        <f>=请求开始== [请求IP]:172.18.114.98 ,[请求方式]:POST， [请求URL]:https://172.30.103.196:8080/api/appservice/bfv/v1/chat/, [请求类名]:com.yingzi.appservice.bfv.provider.rest.ChatV1Controller,[请求方法名]:chat, [请求头参数]:{"host":"172.30.103.196:8080"}, [请求参数]:[{"stream":true,"message":"广州天气","args":"{\"channel_id\":9}"}]</f>
        <v/>
      </c>
      <c r="C139" t="inlineStr">
        <is>
          <t>INFO</t>
        </is>
      </c>
      <c r="D139" t="inlineStr">
        <is>
          <t>vdh</t>
        </is>
      </c>
      <c r="E139" t="inlineStr">
        <is>
          <t>pro17</t>
        </is>
      </c>
      <c r="F139" t="inlineStr">
        <is>
          <t>prod</t>
        </is>
      </c>
    </row>
    <row r="140">
      <c r="A140" t="inlineStr">
        <is>
          <t>2025-05-09 18:56:22.397</t>
        </is>
      </c>
      <c r="B140">
        <f>=请求结束== [请求耗时]:14毫秒, [返回数据]:{"code":"000000","msg":"Success","traceId":"3f1b650bec618365d4c96b460edc8602"}</f>
        <v/>
      </c>
      <c r="C140" t="inlineStr">
        <is>
          <t>INFO</t>
        </is>
      </c>
      <c r="D140" t="inlineStr">
        <is>
          <t>vdh</t>
        </is>
      </c>
      <c r="E140" t="inlineStr">
        <is>
          <t>pro14</t>
        </is>
      </c>
      <c r="F140" t="inlineStr">
        <is>
          <t>prod</t>
        </is>
      </c>
    </row>
    <row r="141">
      <c r="A141" t="inlineStr">
        <is>
          <t>2025-05-09 18:56:22.383</t>
        </is>
      </c>
      <c r="B141">
        <f>=请求开始== [请求IP]:111.58.142.254 ,[请求方式]:POST， [请求URL]:https://172.30.212.148:8080/api/appservice/bfv/v1/chatHistory/batchSave, [请求类名]:com.yingzi.appservice.bfv.provider.rest.ChatHistoryController,[请求方法名]:batchSave, [请求头参数]:{"host":"172.30.212.148:8080"}, [请求参数]:[[{"userId":1329548835527294976,"deviceId":"64:79:F0:E9:E3:8C","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18,"minute":56,"second":17,"nano":0,"chronology":{"id":"ISO","calendarType":"iso8601"}},"response":1746788177031}]]</f>
        <v/>
      </c>
      <c r="C141" t="inlineStr">
        <is>
          <t>INFO</t>
        </is>
      </c>
      <c r="D141" t="inlineStr">
        <is>
          <t>vdh</t>
        </is>
      </c>
      <c r="E141" t="inlineStr">
        <is>
          <t>pro14</t>
        </is>
      </c>
      <c r="F141" t="inlineStr">
        <is>
          <t>prod</t>
        </is>
      </c>
    </row>
    <row r="142">
      <c r="A142" t="inlineStr">
        <is>
          <t>2025-05-09 18:56:12.546</t>
        </is>
      </c>
      <c r="B142">
        <f>=请求结束== [请求耗时]:16毫秒, [返回数据]:{"code":"000000","msg":"Success","traceId":"c250ca80e3378bb71d95de7b50bd8031"}</f>
        <v/>
      </c>
      <c r="C142" t="inlineStr">
        <is>
          <t>INFO</t>
        </is>
      </c>
      <c r="D142" t="inlineStr">
        <is>
          <t>vdh</t>
        </is>
      </c>
      <c r="E142" t="inlineStr">
        <is>
          <t>pro17</t>
        </is>
      </c>
      <c r="F142" t="inlineStr">
        <is>
          <t>prod</t>
        </is>
      </c>
    </row>
    <row r="143">
      <c r="A143" t="inlineStr">
        <is>
          <t>2025-05-09 18:56:12.530</t>
        </is>
      </c>
      <c r="B143">
        <f>=请求开始== [请求IP]:116.8.73.136 ,[请求方式]:POST， [请求URL]:https://172.30.103.196:8080/api/appservice/bfv/v1/chatHistory/batchSave, [请求类名]:com.yingzi.appservice.bfv.provider.rest.ChatHistoryController,[请求方法名]:batchSave, [请求头参数]:{"host":"172.30.103.196:8080"}, [请求参数]:[[{"userId":977200869129551872,"deviceId":"28:D0:EA:87:38:B8","sessionId":"","avatarId":"11200220000208050000000000000000","appCode":"VDHtestWDC","instructionTemplateType":"","recordId":"","asrResult":"","knowledgeId":"","knowledgeMasterId":"","instructionType":"","instructionName":"","instructionFlag":"","parameter":"{}","ttsResultSource":"local","ttsResult":"好嘞,已经按照推荐的温度调好了,要帮主人开始烹饪吗开始烹饪,请耐心等待","ttsResultTime":{"year":2025,"monthValue":5,"month":"MAY","dayOfMonth":9,"dayOfYear":129,"dayOfWeek":"FRIDAY","hour":18,"minute":56,"second":4,"nano":0,"chronology":{"id":"ISO","calendarType":"iso8601"}},"response":1746788164258}]]</f>
        <v/>
      </c>
      <c r="C143" t="inlineStr">
        <is>
          <t>INFO</t>
        </is>
      </c>
      <c r="D143" t="inlineStr">
        <is>
          <t>vdh</t>
        </is>
      </c>
      <c r="E143" t="inlineStr">
        <is>
          <t>pro17</t>
        </is>
      </c>
      <c r="F143" t="inlineStr">
        <is>
          <t>prod</t>
        </is>
      </c>
    </row>
    <row r="144">
      <c r="A144" t="inlineStr">
        <is>
          <t>2025-05-09 18:55:47.229</t>
        </is>
      </c>
      <c r="B144">
        <f>=请求结束== [请求耗时]:11毫秒, [返回数据]:{"code":"000000","msg":"Success","traceId":"94f8aa8157630211cd1705e7102fd206"}</f>
        <v/>
      </c>
      <c r="C144" t="inlineStr">
        <is>
          <t>INFO</t>
        </is>
      </c>
      <c r="D144" t="inlineStr">
        <is>
          <t>vdh</t>
        </is>
      </c>
      <c r="E144" t="inlineStr">
        <is>
          <t>pro14</t>
        </is>
      </c>
      <c r="F144" t="inlineStr">
        <is>
          <t>prod</t>
        </is>
      </c>
    </row>
    <row r="145">
      <c r="A145" t="inlineStr">
        <is>
          <t>2025-05-09 18:55:47.218</t>
        </is>
      </c>
      <c r="B145">
        <f>=请求开始== [请求IP]:218.17.115.163 ,[请求方式]:POST， [请求URL]:https://172.30.212.148:8080/api/appservice/bfv/v1/chatHistory/batchSave, [请求类名]:com.yingzi.appservice.bfv.provider.rest.ChatHistoryController,[请求方法名]:batchSave, [请求头参数]:{"host":"172.30.212.148:8080"}, [请求参数]:[[{"userId":1163481844748582912,"deviceId":"64:79:F0:79:7A:A7","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18,"minute":55,"second":41,"nano":0,"chronology":{"id":"ISO","calendarType":"iso8601"}},"response":1746788141960}]]</f>
        <v/>
      </c>
      <c r="C145" t="inlineStr">
        <is>
          <t>INFO</t>
        </is>
      </c>
      <c r="D145" t="inlineStr">
        <is>
          <t>vdh</t>
        </is>
      </c>
      <c r="E145" t="inlineStr">
        <is>
          <t>pro14</t>
        </is>
      </c>
      <c r="F145" t="inlineStr">
        <is>
          <t>prod</t>
        </is>
      </c>
    </row>
    <row r="146">
      <c r="A146" t="inlineStr">
        <is>
          <t>2025-05-09 18:55:27.014</t>
        </is>
      </c>
      <c r="B146">
        <f>=请求结束== [请求耗时]:16毫秒, [返回数据]:{"code":"000000","msg":"Success","traceId":"8b61fdf97113103c10507f46ac0e162a"}</f>
        <v/>
      </c>
      <c r="C146" t="inlineStr">
        <is>
          <t>INFO</t>
        </is>
      </c>
      <c r="D146" t="inlineStr">
        <is>
          <t>vdh</t>
        </is>
      </c>
      <c r="E146" t="inlineStr">
        <is>
          <t>pro17</t>
        </is>
      </c>
      <c r="F146" t="inlineStr">
        <is>
          <t>prod</t>
        </is>
      </c>
    </row>
    <row r="147">
      <c r="A147" t="inlineStr">
        <is>
          <t>2025-05-09 18:55:26.998</t>
        </is>
      </c>
      <c r="B147">
        <f>=请求开始== [请求IP]:36.159.36.2 ,[请求方式]:POST， [请求URL]:https://172.30.103.196:8080/api/appservice/bfv/v1/chatHistory/batchSave, [请求类名]:com.yingzi.appservice.bfv.provider.rest.ChatHistoryController,[请求方法名]:batchSave, [请求头参数]:{"host":"172.30.103.196:8080"}, [请求参数]:[[{"userId":755040533528903680,"deviceId":"64:79:F0:78:CF:C6","sessionId":"","avatarId":"11200220000208050000000000000000","appCode":"VDHtestWDC","instructionTemplateType":"","recordId":"","asrResult":"","knowledgeId":"","knowledgeMasterId":"","instructionType":"","instructionName":"","instructionFlag":"","parameter":"{}","ttsResultSource":"local","ttsResult":"小万发现了鸡丝豆腐汤,请选择烹饪模式开始烹饪,请耐心等待","ttsResultTime":{"year":2025,"monthValue":5,"month":"MAY","dayOfMonth":9,"dayOfYear":129,"dayOfWeek":"FRIDAY","hour":18,"minute":55,"second":13,"nano":0,"chronology":{"id":"ISO","calendarType":"iso8601"}},"response":1746788113937}]]</f>
        <v/>
      </c>
      <c r="C147" t="inlineStr">
        <is>
          <t>INFO</t>
        </is>
      </c>
      <c r="D147" t="inlineStr">
        <is>
          <t>vdh</t>
        </is>
      </c>
      <c r="E147" t="inlineStr">
        <is>
          <t>pro17</t>
        </is>
      </c>
      <c r="F147" t="inlineStr">
        <is>
          <t>prod</t>
        </is>
      </c>
    </row>
    <row r="148">
      <c r="A148" t="inlineStr">
        <is>
          <t>2025-05-09 18:54:11.490</t>
        </is>
      </c>
      <c r="B148">
        <f>=请求结束== [请求耗时]:14毫秒, [返回数据]:{"code":"000000","msg":"Success","traceId":"cd7aefcf105fa516e86b82ddfc4a724b"}</f>
        <v/>
      </c>
      <c r="C148" t="inlineStr">
        <is>
          <t>INFO</t>
        </is>
      </c>
      <c r="D148" t="inlineStr">
        <is>
          <t>vdh</t>
        </is>
      </c>
      <c r="E148" t="inlineStr">
        <is>
          <t>pro14</t>
        </is>
      </c>
      <c r="F148" t="inlineStr">
        <is>
          <t>prod</t>
        </is>
      </c>
    </row>
    <row r="149">
      <c r="A149" t="inlineStr">
        <is>
          <t>2025-05-09 18:54:11.476</t>
        </is>
      </c>
      <c r="B149">
        <f>=请求开始== [请求IP]:117.181.29.233 ,[请求方式]:POST， [请求URL]:https://172.30.212.148:8080/api/appservice/bfv/v1/chatHistory/batchSave, [请求类名]:com.yingzi.appservice.bfv.provider.rest.ChatHistoryController,[请求方法名]:batchSave, [请求头参数]:{"host":"172.30.212.148:8080"}, [请求参数]:[[{"userId":1309871072332574720,"deviceId":"F4:CE:23:BC:1B:69","sessionId":"","avatarId":"11200220000208050000000000000000","appCode":"VDHtestWDC","instructionTemplateType":"Instruction_library","recordId":"","asrResult":"音量调大了","instructionAsrFirstTime":{"year":2025,"monthValue":5,"month":"MAY","dayOfMonth":9,"dayOfYear":129,"dayOfWeek":"FRIDAY","hour":18,"minute":54,"second":6,"nano":0,"chronology":{"id":"ISO","calendarType":"iso8601"}},"knowledgeId":"","knowledgeMasterId":"295","instructionType":"SYSTEM","instructionName":"调高音量","instructionFlag":"volume_up","parameter":"{\"answer\":\"DEFAULT\",\"code\":\"volume_up\",\"continue_answer\":\"\",\"continue_failed_answer\":\"\",\"entities\":\"\",\"failed_answer\":\"{\\\"answerId\\\":\\\"\\\",\\\"value\\\":\\\"抱歉，音量设置失败\\\",\\\"hidb\\\":\\\"\\\",\\\"aplusId\\\":\\\"\\\",\\\"flag\\\":true,\\\"updFlag\\\":false,\\\"cache\\\":false}\",\"hitBusiness\":\"295\",\"init_state\":\"true\",\"intent\":\"调高音量\",\"intentType\":\"SYSTEM\",\"isEnd\":\"true\",\"isMulti\":\"false\",\"service\":\"Instruction_library\",\"succeed_answer\":\"{\\\"answerId\\\":\\\"\\\",\\\"value\\\":\\\"音量已调高\\\",\\\"hidb\\\":\\\"\\\",\\\"aplusId\\\":\\\"\\\",\\\"flag\\\":true,\\\"updFlag\\\":false,\\\"cache\\\":false}\"}","ttsResultSource":"local","ttsResult":"好的,已为您调高音量","ttsResultTime":{"year":2025,"monthValue":5,"month":"MAY","dayOfMonth":9,"dayOfYear":129,"dayOfWeek":"FRIDAY","hour":18,"minute":54,"second":8,"nano":0,"chronology":{"id":"ISO","calendarType":"iso8601"}},"response":1619}]]</f>
        <v/>
      </c>
      <c r="C149" t="inlineStr">
        <is>
          <t>INFO</t>
        </is>
      </c>
      <c r="D149" t="inlineStr">
        <is>
          <t>vdh</t>
        </is>
      </c>
      <c r="E149" t="inlineStr">
        <is>
          <t>pro14</t>
        </is>
      </c>
      <c r="F149" t="inlineStr">
        <is>
          <t>prod</t>
        </is>
      </c>
    </row>
    <row r="150">
      <c r="A150" t="inlineStr">
        <is>
          <t>2025-05-09 18:53:31.205</t>
        </is>
      </c>
      <c r="B150">
        <f>=请求结束== [请求耗时]:13毫秒, [返回数据]:{"code":"000000","msg":"Success","traceId":"0bc01822f7a71c3fcab15a019a58fb1e"}</f>
        <v/>
      </c>
      <c r="C150" t="inlineStr">
        <is>
          <t>INFO</t>
        </is>
      </c>
      <c r="D150" t="inlineStr">
        <is>
          <t>vdh</t>
        </is>
      </c>
      <c r="E150" t="inlineStr">
        <is>
          <t>pro17</t>
        </is>
      </c>
      <c r="F150" t="inlineStr">
        <is>
          <t>prod</t>
        </is>
      </c>
    </row>
    <row r="151">
      <c r="A151" t="inlineStr">
        <is>
          <t>2025-05-09 18:53:31.192</t>
        </is>
      </c>
      <c r="B151">
        <f>=请求开始== [请求IP]:111.58.142.254 ,[请求方式]:POST， [请求URL]:https://172.30.103.196:8080/api/appservice/bfv/v1/chatHistory/batchSave, [请求类名]:com.yingzi.appservice.bfv.provider.rest.ChatHistoryController,[请求方法名]:batchSave, [请求头参数]:{"host":"172.30.103.196:8080"}, [请求参数]:[[{"userId":1329548835527294976,"deviceId":"64:79:F0:E9:E3:8C","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18,"minute":53,"second":25,"nano":0,"chronology":{"id":"ISO","calendarType":"iso8601"}},"response":1746788005959}]]</f>
        <v/>
      </c>
      <c r="C151" t="inlineStr">
        <is>
          <t>INFO</t>
        </is>
      </c>
      <c r="D151" t="inlineStr">
        <is>
          <t>vdh</t>
        </is>
      </c>
      <c r="E151" t="inlineStr">
        <is>
          <t>pro17</t>
        </is>
      </c>
      <c r="F151" t="inlineStr">
        <is>
          <t>prod</t>
        </is>
      </c>
    </row>
    <row r="152">
      <c r="A152" t="inlineStr">
        <is>
          <t>2025-05-09 18:53:11.212</t>
        </is>
      </c>
      <c r="B152">
        <f>=请求结束== [请求耗时]:13毫秒, [返回数据]:{"code":"000000","msg":"Success","traceId":"3a3be84ed94afb97f50e6b33433673e9"}</f>
        <v/>
      </c>
      <c r="C152" t="inlineStr">
        <is>
          <t>INFO</t>
        </is>
      </c>
      <c r="D152" t="inlineStr">
        <is>
          <t>vdh</t>
        </is>
      </c>
      <c r="E152" t="inlineStr">
        <is>
          <t>pro14</t>
        </is>
      </c>
      <c r="F152" t="inlineStr">
        <is>
          <t>prod</t>
        </is>
      </c>
    </row>
    <row r="153">
      <c r="A153" t="inlineStr">
        <is>
          <t>2025-05-09 18:53:11.199</t>
        </is>
      </c>
      <c r="B153">
        <f>=请求开始== [请求IP]:111.58.142.254 ,[请求方式]:POST， [请求URL]:https://172.30.212.148:8080/api/appservice/bfv/v1/chatHistory/batchSave, [请求类名]:com.yingzi.appservice.bfv.provider.rest.ChatHistoryController,[请求方法名]:batchSave, [请求头参数]:{"host":"172.30.212.148:8080"}, [请求参数]:[[{"userId":1329548835527294976,"deviceId":"64:79:F0:E9:E3:8C","sessionId":"","avatarId":"11200220000208050000000000000000","appCode":"VDHtestWDC","instructionTemplateType":"","recordId":"","asrResult":"","knowledgeId":"","knowledgeMasterId":"","instructionType":"","instructionName":"","instructionFlag":"","parameter":"{}","ttsResultSource":"local","ttsResult":"这道菜小万还没学会,可以使用自助烹饪!","ttsResultTime":{"year":2025,"monthValue":5,"month":"MAY","dayOfMonth":9,"dayOfYear":129,"dayOfWeek":"FRIDAY","hour":18,"minute":53,"second":6,"nano":0,"chronology":{"id":"ISO","calendarType":"iso8601"}},"response":1746787986071}]]</f>
        <v/>
      </c>
      <c r="C153" t="inlineStr">
        <is>
          <t>INFO</t>
        </is>
      </c>
      <c r="D153" t="inlineStr">
        <is>
          <t>vdh</t>
        </is>
      </c>
      <c r="E153" t="inlineStr">
        <is>
          <t>pro14</t>
        </is>
      </c>
      <c r="F153" t="inlineStr">
        <is>
          <t>prod</t>
        </is>
      </c>
    </row>
    <row r="154">
      <c r="A154" t="inlineStr">
        <is>
          <t>2025-05-09 18:52:56.209</t>
        </is>
      </c>
      <c r="B154">
        <f>=请求结束== [请求耗时]:15毫秒, [返回数据]:{"code":"000000","msg":"Success","traceId":"f6efea37335322c7a0bfae0a5852b4ac"}</f>
        <v/>
      </c>
      <c r="C154" t="inlineStr">
        <is>
          <t>INFO</t>
        </is>
      </c>
      <c r="D154" t="inlineStr">
        <is>
          <t>vdh</t>
        </is>
      </c>
      <c r="E154" t="inlineStr">
        <is>
          <t>pro17</t>
        </is>
      </c>
      <c r="F154" t="inlineStr">
        <is>
          <t>prod</t>
        </is>
      </c>
    </row>
    <row r="155">
      <c r="A155" t="inlineStr">
        <is>
          <t>2025-05-09 18:52:56.195</t>
        </is>
      </c>
      <c r="B155">
        <f>=请求开始== [请求IP]:218.17.115.163 ,[请求方式]:POST， [请求URL]:https://172.30.103.196:8080/api/appservice/bfv/v1/chatHistory/batchSave, [请求类名]:com.yingzi.appservice.bfv.provider.rest.ChatHistoryController,[请求方法名]:batchSave, [请求头参数]:{"host":"172.30.103.196:8080"}, [请求参数]:[[{"userId":1163481844748582912,"deviceId":"64:79:F0:79:7A:A7","sessionId":"","avatarId":"11200220000208050000000000000000","appCode":"VDHtestWDC","instructionTemplateType":"","recordId":"","asrResult":"","knowledgeId":"","knowledgeMasterId":"","instructionType":"","instructionName":"","instructionFlag":"","parameter":"{}","ttsResultSource":"local","ttsResult":"好的烹饪完成,请取餐,小心烫","ttsResultTime":{"year":2025,"monthValue":5,"month":"MAY","dayOfMonth":9,"dayOfYear":129,"dayOfWeek":"FRIDAY","hour":18,"minute":52,"second":49,"nano":0,"chronology":{"id":"ISO","calendarType":"iso8601"}},"response":1746787969863}]]</f>
        <v/>
      </c>
      <c r="C155" t="inlineStr">
        <is>
          <t>INFO</t>
        </is>
      </c>
      <c r="D155" t="inlineStr">
        <is>
          <t>vdh</t>
        </is>
      </c>
      <c r="E155" t="inlineStr">
        <is>
          <t>pro17</t>
        </is>
      </c>
      <c r="F155" t="inlineStr">
        <is>
          <t>prod</t>
        </is>
      </c>
    </row>
    <row r="156">
      <c r="A156" t="inlineStr">
        <is>
          <t>2025-05-09 18:52:31.487</t>
        </is>
      </c>
      <c r="B156">
        <f>=请求结束== [请求耗时]:15毫秒, [返回数据]:{"code":"000000","msg":"Success","traceId":"afe4d086df6273981f14590e06decfaf"}</f>
        <v/>
      </c>
      <c r="C156" t="inlineStr">
        <is>
          <t>INFO</t>
        </is>
      </c>
      <c r="D156" t="inlineStr">
        <is>
          <t>vdh</t>
        </is>
      </c>
      <c r="E156" t="inlineStr">
        <is>
          <t>pro14</t>
        </is>
      </c>
      <c r="F156" t="inlineStr">
        <is>
          <t>prod</t>
        </is>
      </c>
    </row>
    <row r="157">
      <c r="A157" t="inlineStr">
        <is>
          <t>2025-05-09 18:52:31.472</t>
        </is>
      </c>
      <c r="B157">
        <f>=请求开始== [请求IP]:111.58.69.148 ,[请求方式]:POST， [请求URL]:https://172.30.212.148:8080/api/appservice/bfv/v1/chatHistory/batchSave, [请求类名]:com.yingzi.appservice.bfv.provider.rest.ChatHistoryController,[请求方法名]:batchSave, [请求头参数]:{"host":"172.30.212.148:8080"}, [请求参数]:[[{"userId":750679258637148160,"deviceId":"28:D0:EA:87:97:F9","sessionId":"","avatarId":"11200220000208050000000000000000","appCode":"VDHtestWDC","instructionTemplateType":"Chat_library","recordId":"","asrResult":"孩子","instructionAsrFirstTime":{"year":2025,"monthValue":5,"month":"MAY","dayOfMonth":9,"dayOfYear":129,"dayOfWeek":"FRIDAY","hour":18,"minute":52,"second":21,"nano":0,"chronology":{"id":"ISO","calendarType":"iso8601"}},"knowledgeId":"","knowledgeMasterId":"","instructionType":"","instructionName":"","instructionFlag":"","parameter":"{\"nlpId\":\"17300825629321642727spln\",\"service\":\"Chat_library\"}","ttsResultSource":"FTT","ttsResult":"你好,有什么可以帮您?","ttsResultTime":{"year":2025,"monthValue":5,"month":"MAY","dayOfMonth":9,"dayOfYear":129,"dayOfWeek":"FRIDAY","hour":18,"minute":52,"second":27,"nano":0,"chronology":{"id":"ISO","calendarType":"iso8601"}},"response":4458}]]</f>
        <v/>
      </c>
      <c r="C157" t="inlineStr">
        <is>
          <t>INFO</t>
        </is>
      </c>
      <c r="D157" t="inlineStr">
        <is>
          <t>vdh</t>
        </is>
      </c>
      <c r="E157" t="inlineStr">
        <is>
          <t>pro14</t>
        </is>
      </c>
      <c r="F157" t="inlineStr">
        <is>
          <t>prod</t>
        </is>
      </c>
    </row>
    <row r="158">
      <c r="A158" t="inlineStr">
        <is>
          <t>2025-05-09 18:52:26.625</t>
        </is>
      </c>
      <c r="B158" t="inlineStr">
        <is>
          <t>第1次流式调用完成，耗时：2793ms，response: Response { content = AiMessage { text = "你好，有什么可以帮您？" toolExecutionRequests = null }, tokenUsage = TokenUsage { inputTokenCount = 5186, outputTokenCount = 12, totalTokenCount = 5198 }, finishReason = STOP }</t>
        </is>
      </c>
      <c r="C158" t="inlineStr">
        <is>
          <t>INFO</t>
        </is>
      </c>
      <c r="D158" t="inlineStr">
        <is>
          <t>vdh</t>
        </is>
      </c>
      <c r="E158" t="inlineStr">
        <is>
          <t>pro14</t>
        </is>
      </c>
      <c r="F158" t="inlineStr">
        <is>
          <t>prod</t>
        </is>
      </c>
    </row>
    <row r="159">
      <c r="A159" t="inlineStr">
        <is>
          <t>2025-05-09 18:52:26.625</t>
        </is>
      </c>
      <c r="B159">
        <f>=请求结束== [请求耗时]:3360毫秒</f>
        <v/>
      </c>
      <c r="C159" t="inlineStr">
        <is>
          <t>INFO</t>
        </is>
      </c>
      <c r="D159" t="inlineStr">
        <is>
          <t>vdh</t>
        </is>
      </c>
      <c r="E159" t="inlineStr">
        <is>
          <t>pro14</t>
        </is>
      </c>
      <c r="F159" t="inlineStr">
        <is>
          <t>prod</t>
        </is>
      </c>
    </row>
    <row r="160">
      <c r="A160" t="inlineStr">
        <is>
          <t>2025-05-09 18:52:26.521</t>
        </is>
      </c>
      <c r="B160" t="inlineStr">
        <is>
          <t xml:space="preserve">第1次流式调用开始回复，耗时：2690ms，第一个token: </t>
        </is>
      </c>
      <c r="C160" t="inlineStr">
        <is>
          <t>INFO</t>
        </is>
      </c>
      <c r="D160" t="inlineStr">
        <is>
          <t>vdh</t>
        </is>
      </c>
      <c r="E160" t="inlineStr">
        <is>
          <t>pro14</t>
        </is>
      </c>
      <c r="F160" t="inlineStr">
        <is>
          <t>prod</t>
        </is>
      </c>
    </row>
    <row r="161">
      <c r="A161" t="inlineStr">
        <is>
          <t>2025-05-09 18:52:23.831</t>
        </is>
      </c>
      <c r="B161" t="inlineStr">
        <is>
          <t>streaming provider=gpt, model: gpt-4o</t>
        </is>
      </c>
      <c r="C161" t="inlineStr">
        <is>
          <t>INFO</t>
        </is>
      </c>
      <c r="D161" t="inlineStr">
        <is>
          <t>vdh</t>
        </is>
      </c>
      <c r="E161" t="inlineStr">
        <is>
          <t>pro14</t>
        </is>
      </c>
      <c r="F161" t="inlineStr">
        <is>
          <t>prod</t>
        </is>
      </c>
    </row>
    <row r="162">
      <c r="A162" t="inlineStr">
        <is>
          <t>2025-05-09 18:52:23.822</t>
        </is>
      </c>
      <c r="B162">
        <f>=请求结束== [请求耗时]:518毫秒, [返回数据]:{"code":"000000","msg":"Success","data":[{"knowledgeId":"1326868148286373888","knowledgeContent":[{"score":0.72445874,"content":"：2025年春节/过年/大年初一是1月29日，农历正月初一，星期三。","fileId":"1326944717968060416","chunkId":"paragraph-1"},{"score":0.711453315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冬至：•新历：12月21日•农历：十一月初二•星期日","fileId":"1326944717968060416","chunkId":"paragraph-4"},{"score":0.709685825,"content":"：深圳数影科技的股价是多少？深圳数影科技有限公司没有上市，因此没有股价信息。 广西扬翔股份上市了吗？广西扬翔股份没有上市。","fileId":"1326944717968060416","chunkId":"paragraph-6"}]},{"knowledgeId":"1272947938412855296","knowledgeContent":[{"score":0.8232692020000001,"content":"有什么甜品适合我孩子吃的？","fileId":"1275470180282040320","chunkId":"105","textGroup":"SELECT id, title FROM recipe_knowledge_nutrition WHERE classify_crowd LIKE '%儿童%' AND classify_taste LIKE '%甜%' ORDER BY random() LIMIT 5;"},{"score":0.7367635525,"content":"有哪些适合小孩吃的咸口的菜","fileId":"1275470180282040320","chunkId":"165","textGroup":"SELECT id, title FROM recipe_knowledge_nutrition WHERE classify_crowd LIKE '%儿童%' AND classify_taste LIKE '%咸%' ORDER BY random() LIMIT 5;"},{"score":0.7323629749999999,"content":"油焖大虾适合儿童食用吗","fileId":"1275470180282040320","chunkId":"147","textGroup":"SELECT id, title, classify_crowd FROM recipe_knowledge_nutrition WHERE title LIKE '%油焖大虾%' AND classify_crowd LIKE '%儿童%' LIMIT 5;"},{"score":0.7278926975,"content":"小孩子打针了，今天不能吃鱼，你看还有什么合适的食谱推荐？","fileId":"1275470180282040320","chunkId":"116","textGroup":"SELECT id, title FROM recipe_knowledge_nutrition WHERE classify_crowd LIKE '%儿童%' AND materials_list NOT LIKE '%鱼%' ORDER BY random() LIMIT 5;"}]},{"knowledgeId":"1329399948694220800","knowledgeContent":[{"score":0.7367528,"content":"接着微博","fileId":"1347217269055369216","chunkId":"218","textGroup":"cooking_control {type=continue}"},{"score":0.7313912975,"content":"微波结束","fileId":"1347217269055369216","chunkId":"279","textGroup":"cooking_control {type=stop}"},{"score":0.7313356649999999,"content":"启动","fileId":"1347217269055369216","chunkId":"121","textGroup":"cooking_control {type=start}"},{"score":0.7307237925,"content":"请帮我暂停微波","fileId":"1347217269055369216","chunkId":"196","textGroup":"cooking_control {type=pause}"},{"score":0.728731265,"content":"放个新闻","fileId":"1329400169758941184","chunkId":"53","textGroup":"news {type=top,size=3}"}]},{"knowledgeId":"1272948056214077440","knowledgeContent":[{"score":0.743631255,"content":"问题：你好。\\n回复：你好，有什么可以帮您。","fileId":"1303425377255075840","chunkId":"2699","textGroup":"你好"},{"score":0.7427488274999999,"content":"问题：晚安。\\n回复：晚安。","fileId":"1303425377255075840","chunkId":"2766","textGroup":"晚安"},{"score":0.7374913225,"content":"问题：早上好。\\n回复：早上好，美好的一天又开始了。","fileId":"1303425377255075840","chunkId":"2764","textGroup":"早上好"},{"score":0.73553543,"content":"问题：你的父母是谁。\\n回复：我爸爸的名字叫做数影科技，我妈妈的名字叫做影子科技。","fileId":"1303425377255075840","chunkId":"2744","textGroup":"你的父母是谁"},{"score":0.7343729699999999,"content":"问题：你不智能。\\n回复：很抱歉我还在学习，您能换个说法吗？","fileId":"1303425377255075840","chunkId":"2675","textGroup":"你不智能"},{"score":0.733979165,"content":"问题：再见。\\n回复：拜拜，下次见。","fileId":"1303425377255075840","chunkId":"2756","textGroup":"再见"},{"score":0.7338960775,"content":"问题：你没用。\\n回复：非常抱歉，小万会努力学习的","fileId":"1303425377255075840","chunkId":"2732","textGroup":"你没用"},{"score":0.7332227075,"content":"问题：你有什么缺点。\\n回复：小万没有缺点，要不你说说看，我会慢慢改进的。","fileId":"1303425377255075840","chunkId":"2725","textGroup":"你有什么缺点"},{"score":0.7330915525,"content":"问题：晚上好。\\n回复：能听见您的声音真好。","fileId":"1303425377255075840","chunkId":"2765","textGroup":"晚上好"},{"score":0.73245112,"content":"问题：假期愉快。\\n回复：假期愉快，玩得开心哟！","fileId":"1303425377255075840","chunkId":"2755","textGroup":"假期愉快"},{"score":0.73162373,"content":"问题：你跟影子是什么关系。\\n回复：是影子科技创造了我，没有他我就不能和你相遇呢！","fileId":"1303425377255075840","chunkId":"598","textGroup":"你跟影子科技是否有关</f>
        <v/>
      </c>
      <c r="C162" t="inlineStr">
        <is>
          <t>INFO</t>
        </is>
      </c>
      <c r="D162" t="inlineStr">
        <is>
          <t>vdh</t>
        </is>
      </c>
      <c r="E162" t="inlineStr">
        <is>
          <t>pro17</t>
        </is>
      </c>
      <c r="F162" t="inlineStr">
        <is>
          <t>prod</t>
        </is>
      </c>
    </row>
    <row r="163">
      <c r="A163" t="inlineStr">
        <is>
          <t>2025-05-09 18:52:23.821</t>
        </is>
      </c>
      <c r="B163" t="inlineStr">
        <is>
          <t>知识库插件检索耗时: 516ms</t>
        </is>
      </c>
      <c r="C163" t="inlineStr">
        <is>
          <t>INFO</t>
        </is>
      </c>
      <c r="D163" t="inlineStr">
        <is>
          <t>vdh</t>
        </is>
      </c>
      <c r="E163" t="inlineStr">
        <is>
          <t>pro17</t>
        </is>
      </c>
      <c r="F163" t="inlineStr">
        <is>
          <t>prod</t>
        </is>
      </c>
    </row>
    <row r="164">
      <c r="A164" t="inlineStr">
        <is>
          <t>2025-05-09 18:52:23.351</t>
        </is>
      </c>
      <c r="B164" t="inlineStr">
        <is>
          <t>request data-gateway token response:{"code":200,"data":{"appKey":"yingzi-virtual-human","clientIp":"","deviceId":"","accessType":"RESTFUL","expiresIn":1746795143341,"access_token":"f68c102f-605d-48fa-913e-51dcce5bdf0c"},"msg":"SUCCESS","extendInfo":null,"traceId":"9090ad5559ad9bcae244a51808a93cb5"}</t>
        </is>
      </c>
      <c r="C164" t="inlineStr">
        <is>
          <t>WARN</t>
        </is>
      </c>
      <c r="D164" t="inlineStr">
        <is>
          <t>vdh</t>
        </is>
      </c>
      <c r="E164" t="inlineStr">
        <is>
          <t>pro17</t>
        </is>
      </c>
      <c r="F164" t="inlineStr">
        <is>
          <t>prod</t>
        </is>
      </c>
    </row>
    <row r="165">
      <c r="A165" t="inlineStr">
        <is>
          <t>2025-05-09 18:52:23.304</t>
        </is>
      </c>
      <c r="B165">
        <f>=请求开始== [请求IP]:172.18.33.14 ,[请求方式]:POST， [请求URL]:https://172.30.103.196:8080/api/appservice/bfv/v1/knowledge/retrieval/plugin, [请求类名]:com.yingzi.appservice.bfv.provider.rest.KnowledgeRetrievalController,[请求方法名]:plugin, [请求头参数]:{"host":"172.30.103.196:8080"}, [请求参数]:[{"query":"孩子","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65" t="inlineStr">
        <is>
          <t>INFO</t>
        </is>
      </c>
      <c r="D165" t="inlineStr">
        <is>
          <t>vdh</t>
        </is>
      </c>
      <c r="E165" t="inlineStr">
        <is>
          <t>pro17</t>
        </is>
      </c>
      <c r="F165" t="inlineStr">
        <is>
          <t>prod</t>
        </is>
      </c>
    </row>
    <row r="166">
      <c r="A166" t="inlineStr">
        <is>
          <t>2025-05-09 18:52:23.265</t>
        </is>
      </c>
      <c r="B166">
        <f>=请求开始== [请求IP]:172.18.114.116 ,[请求方式]:POST， [请求URL]:https://172.30.212.148:8080/api/appservice/bfv/v1/chat/, [请求类名]:com.yingzi.appservice.bfv.provider.rest.ChatV1Controller,[请求方法名]:chat, [请求头参数]:{"host":"172.30.212.148:8080"}, [请求参数]:[{"stream":true,"message":"孩子","args":"{\"adcode\":\"451200\",\"channel_id\":\"9\"}"}]</f>
        <v/>
      </c>
      <c r="C166" t="inlineStr">
        <is>
          <t>INFO</t>
        </is>
      </c>
      <c r="D166" t="inlineStr">
        <is>
          <t>vdh</t>
        </is>
      </c>
      <c r="E166" t="inlineStr">
        <is>
          <t>pro14</t>
        </is>
      </c>
      <c r="F166" t="inlineStr">
        <is>
          <t>prod</t>
        </is>
      </c>
    </row>
    <row r="167">
      <c r="A167" t="inlineStr">
        <is>
          <t>2025-05-09 18:49:47.195</t>
        </is>
      </c>
      <c r="B167">
        <f>=请求结束== [请求耗时]:11毫秒, [返回数据]:{"code":"000000","msg":"Success","traceId":"9136342dfa92617f7bd6fbc0c88dbbf0"}</f>
        <v/>
      </c>
      <c r="C167" t="inlineStr">
        <is>
          <t>INFO</t>
        </is>
      </c>
      <c r="D167" t="inlineStr">
        <is>
          <t>vdh</t>
        </is>
      </c>
      <c r="E167" t="inlineStr">
        <is>
          <t>pro17</t>
        </is>
      </c>
      <c r="F167" t="inlineStr">
        <is>
          <t>prod</t>
        </is>
      </c>
    </row>
    <row r="168">
      <c r="A168" t="inlineStr">
        <is>
          <t>2025-05-09 18:49:47.184</t>
        </is>
      </c>
      <c r="B168">
        <f>=请求开始== [请求IP]:120.231.232.224 ,[请求方式]:POST， [请求URL]:https://172.30.103.196:8080/api/appservice/bfv/v1/chatHistory/batchSave, [请求类名]:com.yingzi.appservice.bfv.provider.rest.ChatHistoryController,[请求方法名]:batchSave, [请求头参数]:{"host":"172.30.103.196:8080"}, [请求参数]:[[{"userId":870989899743281152,"deviceId":"64:79:F0:78:D0:52","sessionId":"","avatarId":"11200220000208050000000000000000","appCode":"VDHtestWDC","instructionTemplateType":"","recordId":"","asrResult":"","knowledgeId":"","knowledgeMasterId":"","instructionType":"","instructionName":"","instructionFlag":"","parameter":"{}","ttsResultSource":"local","ttsResult":"好的搞定了","ttsResultTime":{"year":2025,"monthValue":5,"month":"MAY","dayOfMonth":9,"dayOfYear":129,"dayOfWeek":"FRIDAY","hour":18,"minute":49,"second":34,"nano":0,"chronology":{"id":"ISO","calendarType":"iso8601"}},"response":1746787774155}]]</f>
        <v/>
      </c>
      <c r="C168" t="inlineStr">
        <is>
          <t>INFO</t>
        </is>
      </c>
      <c r="D168" t="inlineStr">
        <is>
          <t>vdh</t>
        </is>
      </c>
      <c r="E168" t="inlineStr">
        <is>
          <t>pro17</t>
        </is>
      </c>
      <c r="F168" t="inlineStr">
        <is>
          <t>prod</t>
        </is>
      </c>
    </row>
    <row r="169">
      <c r="A169" t="inlineStr">
        <is>
          <t>2025-05-09 18:49:22.876</t>
        </is>
      </c>
      <c r="B169">
        <f>=请求结束== [请求耗时]:16毫秒, [返回数据]:{"code":"000000","msg":"Success","traceId":"f742ece3312b2c57e0e7ad6566923b02"}</f>
        <v/>
      </c>
      <c r="C169" t="inlineStr">
        <is>
          <t>INFO</t>
        </is>
      </c>
      <c r="D169" t="inlineStr">
        <is>
          <t>vdh</t>
        </is>
      </c>
      <c r="E169" t="inlineStr">
        <is>
          <t>pro14</t>
        </is>
      </c>
      <c r="F169" t="inlineStr">
        <is>
          <t>prod</t>
        </is>
      </c>
    </row>
    <row r="170">
      <c r="A170" t="inlineStr">
        <is>
          <t>2025-05-09 18:49:22.860</t>
        </is>
      </c>
      <c r="B170">
        <f>=请求开始== [请求IP]:120.231.232.224 ,[请求方式]:POST， [请求URL]:https://172.30.212.148:8080/api/appservice/bfv/v1/chatHistory/batchSave, [请求类名]:com.yingzi.appservice.bfv.provider.rest.ChatHistoryController,[请求方法名]:batchSave, [请求头参数]:{"host":"172.30.212.148:8080"}, [请求参数]:[[{"userId":870989899743281152,"deviceId":"64:79:F0:78:D0:52","sessionId":"","avatarId":"11200220000208050000000000000000","appCode":"VDHtestWDC","instructionTemplateType":"","recordId":"","asrResult":"","knowledgeId":"","knowledgeMasterId":"","instructionType":"","instructionName":"","instructionFlag":"","parameter":"{}","ttsResultSource":"local","ttsResult":"开始烹饪,请耐心等待好的烹饪完成,请取餐,小心烫开始烹饪,请耐心等待","ttsResultTime":{"year":2025,"monthValue":5,"month":"MAY","dayOfMonth":9,"dayOfYear":129,"dayOfWeek":"FRIDAY","hour":18,"minute":49,"second":4,"nano":0,"chronology":{"id":"ISO","calendarType":"iso8601"}},"response":1746787744779}]]</f>
        <v/>
      </c>
      <c r="C170" t="inlineStr">
        <is>
          <t>INFO</t>
        </is>
      </c>
      <c r="D170" t="inlineStr">
        <is>
          <t>vdh</t>
        </is>
      </c>
      <c r="E170" t="inlineStr">
        <is>
          <t>pro14</t>
        </is>
      </c>
      <c r="F170" t="inlineStr">
        <is>
          <t>prod</t>
        </is>
      </c>
    </row>
    <row r="171">
      <c r="A171" t="inlineStr">
        <is>
          <t>2025-05-09 18:48:55.549</t>
        </is>
      </c>
      <c r="B171">
        <f>=请求结束== [请求耗时]:15毫秒, [返回数据]:{"code":"000000","msg":"Success","traceId":"9f1d275654ff97fcef86bd383773e78b"}</f>
        <v/>
      </c>
      <c r="C171" t="inlineStr">
        <is>
          <t>INFO</t>
        </is>
      </c>
      <c r="D171" t="inlineStr">
        <is>
          <t>vdh</t>
        </is>
      </c>
      <c r="E171" t="inlineStr">
        <is>
          <t>pro17</t>
        </is>
      </c>
      <c r="F171" t="inlineStr">
        <is>
          <t>prod</t>
        </is>
      </c>
    </row>
    <row r="172">
      <c r="A172" t="inlineStr">
        <is>
          <t>2025-05-09 18:48:55.534</t>
        </is>
      </c>
      <c r="B172">
        <f>=请求开始== [请求IP]:120.231.232.224 ,[请求方式]:POST， [请求URL]:https://172.30.103.196:8080/api/appservice/bfv/v1/chatHistory/batchSave, [请求类名]:com.yingzi.appservice.bfv.provider.rest.ChatHistoryController,[请求方法名]:batchSave, [请求头参数]:{"host":"172.30.103.196:8080"}, [请求参数]:[[{"userId":870989899743281152,"deviceId":"64:79:F0:78:D0:52","sessionId":"","avatarId":"11200220000208050000000000000000","appCode":"VDHtestWDC","instructionTemplateType":"","recordId":"","asrResult":"","knowledgeId":"","knowledgeMasterId":"","instructionType":"","instructionName":"","instructionFlag":"","parameter":"{}","ttsResultSource":"local","ttsResult":"开始烹饪,请耐心等待烹饪完成,请取餐,小心烫","ttsResultTime":{"year":2025,"monthValue":5,"month":"MAY","dayOfMonth":9,"dayOfYear":129,"dayOfWeek":"FRIDAY","hour":18,"minute":48,"second":47,"nano":0,"chronology":{"id":"ISO","calendarType":"iso8601"}},"response":1746787727676}]]</f>
        <v/>
      </c>
      <c r="C172" t="inlineStr">
        <is>
          <t>INFO</t>
        </is>
      </c>
      <c r="D172" t="inlineStr">
        <is>
          <t>vdh</t>
        </is>
      </c>
      <c r="E172" t="inlineStr">
        <is>
          <t>pro17</t>
        </is>
      </c>
      <c r="F172" t="inlineStr">
        <is>
          <t>prod</t>
        </is>
      </c>
    </row>
    <row r="173">
      <c r="A173" t="inlineStr">
        <is>
          <t>2025-05-09 18:48:51.638</t>
        </is>
      </c>
      <c r="B173">
        <f>=请求结束== [请求耗时]:14毫秒, [返回数据]:{"code":"000000","msg":"Success","traceId":"62304a02d4f84526ddd4d525e6b8165d"}</f>
        <v/>
      </c>
      <c r="C173" t="inlineStr">
        <is>
          <t>INFO</t>
        </is>
      </c>
      <c r="D173" t="inlineStr">
        <is>
          <t>vdh</t>
        </is>
      </c>
      <c r="E173" t="inlineStr">
        <is>
          <t>pro14</t>
        </is>
      </c>
      <c r="F173" t="inlineStr">
        <is>
          <t>prod</t>
        </is>
      </c>
    </row>
    <row r="174">
      <c r="A174" t="inlineStr">
        <is>
          <t>2025-05-09 18:48:51.623</t>
        </is>
      </c>
      <c r="B174">
        <f>=请求开始== [请求IP]:111.29.153.114 ,[请求方式]:POST， [请求URL]:https://172.30.212.148:8080/api/appservice/bfv/v1/chatHistory/batchSave, [请求类名]:com.yingzi.appservice.bfv.provider.rest.ChatHistoryController,[请求方法名]:batchSave, [请求头参数]:{"host":"172.30.212.148:8080"}, [请求参数]:[[{"userId":764489818596057088,"deviceId":"64:79:F0:79:7A:43","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48,"second":46,"nano":0,"chronology":{"id":"ISO","calendarType":"iso8601"}},"response":1207043}]]</f>
        <v/>
      </c>
      <c r="C174" t="inlineStr">
        <is>
          <t>INFO</t>
        </is>
      </c>
      <c r="D174" t="inlineStr">
        <is>
          <t>vdh</t>
        </is>
      </c>
      <c r="E174" t="inlineStr">
        <is>
          <t>pro14</t>
        </is>
      </c>
      <c r="F174" t="inlineStr">
        <is>
          <t>prod</t>
        </is>
      </c>
    </row>
    <row r="175">
      <c r="A175" t="inlineStr">
        <is>
          <t>2025-05-09 18:48:16.467</t>
        </is>
      </c>
      <c r="B175">
        <f>=请求结束== [请求耗时]:14毫秒, [返回数据]:{"code":"000000","msg":"Success","traceId":"2895776e4aa801d490581596f9b0375d"}</f>
        <v/>
      </c>
      <c r="C175" t="inlineStr">
        <is>
          <t>INFO</t>
        </is>
      </c>
      <c r="D175" t="inlineStr">
        <is>
          <t>vdh</t>
        </is>
      </c>
      <c r="E175" t="inlineStr">
        <is>
          <t>pro17</t>
        </is>
      </c>
      <c r="F175" t="inlineStr">
        <is>
          <t>prod</t>
        </is>
      </c>
    </row>
    <row r="176">
      <c r="A176" t="inlineStr">
        <is>
          <t>2025-05-09 18:48:16.453</t>
        </is>
      </c>
      <c r="B176">
        <f>=请求开始== [请求IP]:111.29.153.114 ,[请求方式]:POST， [请求URL]:https://172.30.103.196:8080/api/appservice/bfv/v1/chatHistory/batchSave, [请求类名]:com.yingzi.appservice.bfv.provider.rest.ChatHistoryController,[请求方法名]:batchSave, [请求头参数]:{"host":"172.30.103.196:8080"}, [请求参数]:[[{"userId":764489818596057088,"deviceId":"64:79:F0:79:7A:43","sessionId":"","avatarId":"11200220000208050000000000000000","appCode":"VDHtestWDC","instructionTemplateType":"","recordId":"","asrResult":"","knowledgeId":"","knowledgeMasterId":"","instructionType":"","instructionName":"","instructionFlag":"","parameter":"{}","ttsResultSource":"local","ttsResult":"烹饪完成,请取餐,小心烫小万发现了米饭或粥,要帮主人开始烹饪吗开始烹饪,请耐心等待","ttsResultTime":{"year":2025,"monthValue":5,"month":"MAY","dayOfMonth":9,"dayOfYear":129,"dayOfWeek":"FRIDAY","hour":18,"minute":45,"second":51,"nano":0,"chronology":{"id":"ISO","calendarType":"iso8601"}},"response":1032489}]]</f>
        <v/>
      </c>
      <c r="C176" t="inlineStr">
        <is>
          <t>INFO</t>
        </is>
      </c>
      <c r="D176" t="inlineStr">
        <is>
          <t>vdh</t>
        </is>
      </c>
      <c r="E176" t="inlineStr">
        <is>
          <t>pro17</t>
        </is>
      </c>
      <c r="F176" t="inlineStr">
        <is>
          <t>prod</t>
        </is>
      </c>
    </row>
    <row r="177">
      <c r="A177" t="inlineStr">
        <is>
          <t>2025-05-09 18:48:01.234</t>
        </is>
      </c>
      <c r="B177">
        <f>=请求结束== [请求耗时]:13毫秒, [返回数据]:{"code":"000000","msg":"Success","traceId":"1ce2977d95f10de647ae137e9e68c036"}</f>
        <v/>
      </c>
      <c r="C177" t="inlineStr">
        <is>
          <t>INFO</t>
        </is>
      </c>
      <c r="D177" t="inlineStr">
        <is>
          <t>vdh</t>
        </is>
      </c>
      <c r="E177" t="inlineStr">
        <is>
          <t>pro14</t>
        </is>
      </c>
      <c r="F177" t="inlineStr">
        <is>
          <t>prod</t>
        </is>
      </c>
    </row>
    <row r="178">
      <c r="A178" t="inlineStr">
        <is>
          <t>2025-05-09 18:48:01.220</t>
        </is>
      </c>
      <c r="B178">
        <f>=请求开始== [请求IP]:218.17.115.163 ,[请求方式]:POST， [请求URL]:https://172.30.212.148:8080/api/appservice/bfv/v1/chatHistory/batchSave, [请求类名]:com.yingzi.appservice.bfv.provider.rest.ChatHistoryController,[请求方法名]:batchSave, [请求头参数]:{"host":"172.30.212.148:8080"}, [请求参数]:[[{"userId":1163481844748582912,"deviceId":"64:79:F0:79:7A:A7","sessionId":"","avatarId":"11200220000208050000000000000000","appCode":"VDHtestWDC","instructionTemplateType":"","recordId":"","asrResult":"","knowledgeId":"","knowledgeMasterId":"","instructionType":"","instructionName":"","instructionFlag":"","parameter":"{}","ttsResultSource":"local","ttsResult":"搞定了好的烹饪完成,请取餐,小心烫开始烹饪,请耐心等待","ttsResultTime":{"year":2025,"monthValue":5,"month":"MAY","dayOfMonth":9,"dayOfYear":129,"dayOfWeek":"FRIDAY","hour":18,"minute":47,"second":38,"nano":0,"chronology":{"id":"ISO","calendarType":"iso8601"}},"response":1746787658871}]]</f>
        <v/>
      </c>
      <c r="C178" t="inlineStr">
        <is>
          <t>INFO</t>
        </is>
      </c>
      <c r="D178" t="inlineStr">
        <is>
          <t>vdh</t>
        </is>
      </c>
      <c r="E178" t="inlineStr">
        <is>
          <t>pro14</t>
        </is>
      </c>
      <c r="F178" t="inlineStr">
        <is>
          <t>prod</t>
        </is>
      </c>
    </row>
    <row r="179">
      <c r="A179" t="inlineStr">
        <is>
          <t>2025-05-09 18:47:27.551</t>
        </is>
      </c>
      <c r="B179">
        <f>=请求结束== [请求耗时]:11毫秒, [返回数据]:{"code":"000000","msg":"Success","traceId":"e1bb74fcddc7686946a0fffc42221617"}</f>
        <v/>
      </c>
      <c r="C179" t="inlineStr">
        <is>
          <t>INFO</t>
        </is>
      </c>
      <c r="D179" t="inlineStr">
        <is>
          <t>vdh</t>
        </is>
      </c>
      <c r="E179" t="inlineStr">
        <is>
          <t>pro17</t>
        </is>
      </c>
      <c r="F179" t="inlineStr">
        <is>
          <t>prod</t>
        </is>
      </c>
    </row>
    <row r="180">
      <c r="A180" t="inlineStr">
        <is>
          <t>2025-05-09 18:47:27.540</t>
        </is>
      </c>
      <c r="B180">
        <f>=请求开始== [请求IP]:36.159.36.2 ,[请求方式]:POST， [请求URL]:https://172.30.103.196:8080/api/appservice/bfv/v1/chatHistory/batchSave, [请求类名]:com.yingzi.appservice.bfv.provider.rest.ChatHistoryController,[请求方法名]:batchSave, [请求头参数]:{"host":"172.30.103.196:8080"}, [请求参数]:[[{"userId":755040533528903680,"deviceId":"64:79:F0:78:CF:C6","sessionId":"","avatarId":"11200220000208050000000000000000","appCode":"VDHtestWDC","instructionTemplateType":"","recordId":"","asrResult":"","knowledgeId":"","knowledgeMasterId":"","instructionType":"","instructionName":"","instructionFlag":"","parameter":"{}","ttsResultSource":"local","ttsResult":"小万发现了鸡丝豆腐汤,请选择烹饪模式开始烹饪,请耐心等待","ttsResultTime":{"year":2025,"monthValue":5,"month":"MAY","dayOfMonth":9,"dayOfYear":129,"dayOfWeek":"FRIDAY","hour":18,"minute":47,"second":22,"nano":0,"chronology":{"id":"ISO","calendarType":"iso8601"}},"response":1746787642061}]]</f>
        <v/>
      </c>
      <c r="C180" t="inlineStr">
        <is>
          <t>INFO</t>
        </is>
      </c>
      <c r="D180" t="inlineStr">
        <is>
          <t>vdh</t>
        </is>
      </c>
      <c r="E180" t="inlineStr">
        <is>
          <t>pro17</t>
        </is>
      </c>
      <c r="F180" t="inlineStr">
        <is>
          <t>prod</t>
        </is>
      </c>
    </row>
    <row r="181">
      <c r="A181" t="inlineStr">
        <is>
          <t>2025-05-09 18:45:09.887</t>
        </is>
      </c>
      <c r="B181">
        <f>=请求结束== [请求耗时]:15毫秒, [返回数据]:{"code":"000000","msg":"Success","traceId":"b60c8d0aa0e9ffd06de9cae9e8c56e6a"}</f>
        <v/>
      </c>
      <c r="C181" t="inlineStr">
        <is>
          <t>INFO</t>
        </is>
      </c>
      <c r="D181" t="inlineStr">
        <is>
          <t>vdh</t>
        </is>
      </c>
      <c r="E181" t="inlineStr">
        <is>
          <t>pro14</t>
        </is>
      </c>
      <c r="F181" t="inlineStr">
        <is>
          <t>prod</t>
        </is>
      </c>
    </row>
    <row r="182">
      <c r="A182" t="inlineStr">
        <is>
          <t>2025-05-09 18:45:09.873</t>
        </is>
      </c>
      <c r="B182">
        <f>=请求开始== [请求IP]:111.58.68.36 ,[请求方式]:POST， [请求URL]:https://172.30.212.148:8080/api/appservice/bfv/v1/chatHistory/batchSave, [请求类名]:com.yingzi.appservice.bfv.provider.rest.ChatHistoryController,[请求方法名]:batchSave, [请求头参数]:{"host":"172.30.212.148:8080"}, [请求参数]:[[{"userId":908023046011920387,"deviceId":"F4:CE:23:BC:2B:B3","sessionId":"","avatarId":"11200220000208050000000000000000","appCode":"VDHtestWDC","instructionTemplateType":"","recordId":"","asrResult":"","knowledgeId":"","knowledgeMasterId":"","instructionType":"","instructionName":"","instructionFlag":"","parameter":"{}","ttsResultSource":"local","ttsResult":"小万发现了干锅花菜,主人选择一下想要的烹饪模式吧","ttsResultTime":{"year":2025,"monthValue":5,"month":"MAY","dayOfMonth":9,"dayOfYear":129,"dayOfWeek":"FRIDAY","hour":18,"minute":45,"second":4,"nano":0,"chronology":{"id":"ISO","calendarType":"iso8601"}},"response":2007}]]</f>
        <v/>
      </c>
      <c r="C182" t="inlineStr">
        <is>
          <t>INFO</t>
        </is>
      </c>
      <c r="D182" t="inlineStr">
        <is>
          <t>vdh</t>
        </is>
      </c>
      <c r="E182" t="inlineStr">
        <is>
          <t>pro14</t>
        </is>
      </c>
      <c r="F182" t="inlineStr">
        <is>
          <t>prod</t>
        </is>
      </c>
    </row>
    <row r="183">
      <c r="A183" t="inlineStr">
        <is>
          <t>2025-05-09 18:44:00.996</t>
        </is>
      </c>
      <c r="B183">
        <f>=请求结束== [请求耗时]:15毫秒, [返回数据]:{"code":"000000","msg":"Success","traceId":"f8cf7e97bc3575ff7db2f68065a522bf"}</f>
        <v/>
      </c>
      <c r="C183" t="inlineStr">
        <is>
          <t>INFO</t>
        </is>
      </c>
      <c r="D183" t="inlineStr">
        <is>
          <t>vdh</t>
        </is>
      </c>
      <c r="E183" t="inlineStr">
        <is>
          <t>pro17</t>
        </is>
      </c>
      <c r="F183" t="inlineStr">
        <is>
          <t>prod</t>
        </is>
      </c>
    </row>
    <row r="184">
      <c r="A184" t="inlineStr">
        <is>
          <t>2025-05-09 18:44:00.981</t>
        </is>
      </c>
      <c r="B184">
        <f>=请求开始== [请求IP]:182.90.206.185 ,[请求方式]:POST， [请求URL]:https://172.30.103.196:8080/api/appservice/bfv/v1/chatHistory/batchSave, [请求类名]:com.yingzi.appservice.bfv.provider.rest.ChatHistoryController,[请求方法名]:batchSave, [请求头参数]:{"host":"172.30.103.196:8080"}, [请求参数]:[[{"userId":1151058586794315777,"deviceId":"28:D0:EA:87:3A:34","sessionId":"","avatarId":"11200220000208050000000000000000","appCode":"VDHtestWDC","instructionTemplateType":"","recordId":"","asrResult":"播放","instructionAsrFirstTime":{"year":2025,"monthValue":5,"month":"MAY","dayOfMonth":9,"dayOfYear":129,"dayOfWeek":"FRIDAY","hour":18,"minute":43,"second":49,"nano":0,"chronology":{"id":"ISO","calendarType":"iso8601"}},"knowledgeId":"","knowledgeMasterId":"","instructionType":"","instructionName":"","instructionFlag":"","parameter":"{}","ttsResultSource":"local","ttsResult":"开始烹饪,请耐心等待","ttsResultTime":{"year":2025,"monthValue":5,"month":"MAY","dayOfMonth":9,"dayOfYear":129,"dayOfWeek":"FRIDAY","hour":18,"minute":43,"second":55,"nano":0,"chronology":{"id":"ISO","calendarType":"iso8601"}},"response":5560}]]</f>
        <v/>
      </c>
      <c r="C184" t="inlineStr">
        <is>
          <t>INFO</t>
        </is>
      </c>
      <c r="D184" t="inlineStr">
        <is>
          <t>vdh</t>
        </is>
      </c>
      <c r="E184" t="inlineStr">
        <is>
          <t>pro17</t>
        </is>
      </c>
      <c r="F184" t="inlineStr">
        <is>
          <t>prod</t>
        </is>
      </c>
    </row>
    <row r="185">
      <c r="A185" t="inlineStr">
        <is>
          <t>2025-05-09 18:43:54.480</t>
        </is>
      </c>
      <c r="B185">
        <f>=请求结束== [请求耗时]:3926毫秒</f>
        <v/>
      </c>
      <c r="C185" t="inlineStr">
        <is>
          <t>INFO</t>
        </is>
      </c>
      <c r="D185" t="inlineStr">
        <is>
          <t>vdh</t>
        </is>
      </c>
      <c r="E185" t="inlineStr">
        <is>
          <t>pro17</t>
        </is>
      </c>
      <c r="F185" t="inlineStr">
        <is>
          <t>prod</t>
        </is>
      </c>
    </row>
    <row r="186">
      <c r="A186" t="inlineStr">
        <is>
          <t>2025-05-09 18:43:54.479</t>
        </is>
      </c>
      <c r="B186" t="inlineStr">
        <is>
          <t>第1次流式调用完成，耗时：3343ms，response: Response { content = AiMessage { text = "请您告诉我具体需要播放什么类型的内容，例如新闻、音乐或视频等。根据您的指令，我可以帮助您播放新闻，但如果是音乐或视频，万得厨微波炉暂时不支持这些功能。" toolExecutionRequests = null }, tokenUsage = TokenUsage { inputTokenCount = 4609, outputTokenCount = 81, totalTokenCount = 4690 }, finishReason = STOP }</t>
        </is>
      </c>
      <c r="C186" t="inlineStr">
        <is>
          <t>INFO</t>
        </is>
      </c>
      <c r="D186" t="inlineStr">
        <is>
          <t>vdh</t>
        </is>
      </c>
      <c r="E186" t="inlineStr">
        <is>
          <t>pro17</t>
        </is>
      </c>
      <c r="F186" t="inlineStr">
        <is>
          <t>prod</t>
        </is>
      </c>
    </row>
    <row r="187">
      <c r="A187" t="inlineStr">
        <is>
          <t>2025-05-09 18:43:53.488</t>
        </is>
      </c>
      <c r="B187" t="inlineStr">
        <is>
          <t xml:space="preserve">第1次流式调用开始回复，耗时：2352ms，第一个token: </t>
        </is>
      </c>
      <c r="C187" t="inlineStr">
        <is>
          <t>INFO</t>
        </is>
      </c>
      <c r="D187" t="inlineStr">
        <is>
          <t>vdh</t>
        </is>
      </c>
      <c r="E187" t="inlineStr">
        <is>
          <t>pro17</t>
        </is>
      </c>
      <c r="F187" t="inlineStr">
        <is>
          <t>prod</t>
        </is>
      </c>
    </row>
    <row r="188">
      <c r="A188" t="inlineStr">
        <is>
          <t>2025-05-09 18:43:51.136</t>
        </is>
      </c>
      <c r="B188" t="inlineStr">
        <is>
          <t>streaming provider=gpt, model: gpt-4o</t>
        </is>
      </c>
      <c r="C188" t="inlineStr">
        <is>
          <t>INFO</t>
        </is>
      </c>
      <c r="D188" t="inlineStr">
        <is>
          <t>vdh</t>
        </is>
      </c>
      <c r="E188" t="inlineStr">
        <is>
          <t>pro17</t>
        </is>
      </c>
      <c r="F188" t="inlineStr">
        <is>
          <t>prod</t>
        </is>
      </c>
    </row>
    <row r="189">
      <c r="A189" t="inlineStr">
        <is>
          <t>2025-05-09 18:43:51.130</t>
        </is>
      </c>
      <c r="B189">
        <f>=请求结束== [请求耗时]:559毫秒, [返回数据]:{"code":"000000","msg":"Success","data":[{"knowledgeId":"1326868148286373888","knowledgeContent":[{"score":0.722567065,"content":"：2025年春节/过年/大年初一是1月29日，农历正月初一，星期三。","fileId":"1326944717968060416","chunkId":"paragraph-1"},{"score":0.72164031,"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冬至：•新历：12月21日•农历：十一月初二•星期日","fileId":"1326944717968060416","chunkId":"paragraph-4"},{"score":0.7148474499999999,"content":"：2025年元宵节是2月12日，农历正月十五，星期三。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1272948056214077440","knowledgeContent":[{"score":0.7440801825,"content":"问题：可以通过哪个平台了姐到关于你们的情况。\\n回复：您可以通过关注我们的微信公众号、抖音“万得厨的厨”，了解更多关于烹饪技巧和美食分享的内容。","fileId":"1303425377255075840","chunkId":"715","textGroup":"可以从哪了解你们"},{"score":0.7414050624999999,"content":"问题：万能除有微信公众号吗。\\n回复：万得厨微信官方公众号为“万得厨的厨”，不定时为您推送最全使用指南及最美味的食品食谱，期待您的关注！","fileId":"1303425377255075840","chunkId":"530","textGroup":"你有公众号吗"},{"score":0.7380524925,"content":"问题：请问你是否拥有抖音账号。\\n回复：万得厨官方抖音账号为“万得厨的厨”，不定时为您推送最全使用指南及最美味的食品食谱，期待您的关注！","fileId":"1303425377255075840","chunkId":"592","textGroup":"你有抖音账号吗"}]},{"knowledgeId":"1329399948694220800","knowledgeContent":[{"score":0.9038652899999999,"content":"播放新闻","fileId":"1329400169758941184","chunkId":"51","textGroup":"news {type=top,size=3}"},{"score":0.75229879,"content":"开始","fileId":"1347217269055369216","chunkId":"122","textGroup":"cooking_control {type=start}"},{"score":0.7513785375,"content":"暂停","fileId":"1347217269055369216","chunkId":"205","textGroup":"cooking_control {type=pause}"},{"score":0.7455802199999999,"content":"请终止烹调功能","fileId":"1347217269055369216","chunkId":"323","textGroup":"cooking_control {type=stop}"}]}]}</f>
        <v/>
      </c>
      <c r="C189" t="inlineStr">
        <is>
          <t>INFO</t>
        </is>
      </c>
      <c r="D189" t="inlineStr">
        <is>
          <t>vdh</t>
        </is>
      </c>
      <c r="E189" t="inlineStr">
        <is>
          <t>pro14</t>
        </is>
      </c>
      <c r="F189" t="inlineStr">
        <is>
          <t>prod</t>
        </is>
      </c>
    </row>
    <row r="190">
      <c r="A190" t="inlineStr">
        <is>
          <t>2025-05-09 18:43:51.130</t>
        </is>
      </c>
      <c r="B190" t="inlineStr">
        <is>
          <t>知识库插件检索耗时: 557ms</t>
        </is>
      </c>
      <c r="C190" t="inlineStr">
        <is>
          <t>INFO</t>
        </is>
      </c>
      <c r="D190" t="inlineStr">
        <is>
          <t>vdh</t>
        </is>
      </c>
      <c r="E190" t="inlineStr">
        <is>
          <t>pro14</t>
        </is>
      </c>
      <c r="F190" t="inlineStr">
        <is>
          <t>prod</t>
        </is>
      </c>
    </row>
    <row r="191">
      <c r="A191" t="inlineStr">
        <is>
          <t>2025-05-09 18:43:50.571</t>
        </is>
      </c>
      <c r="B191">
        <f>=请求开始== [请求IP]:172.18.33.17 ,[请求方式]:POST， [请求URL]:https://172.30.212.148:8080/api/appservice/bfv/v1/knowledge/retrieval/plugin, [请求类名]:com.yingzi.appservice.bfv.provider.rest.KnowledgeRetrievalController,[请求方法名]:plugin, [请求头参数]:{"host":"172.30.212.148:8080"}, [请求参数]:[{"query":"播放","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91" t="inlineStr">
        <is>
          <t>INFO</t>
        </is>
      </c>
      <c r="D191" t="inlineStr">
        <is>
          <t>vdh</t>
        </is>
      </c>
      <c r="E191" t="inlineStr">
        <is>
          <t>pro14</t>
        </is>
      </c>
      <c r="F191" t="inlineStr">
        <is>
          <t>prod</t>
        </is>
      </c>
    </row>
    <row r="192">
      <c r="A192" t="inlineStr">
        <is>
          <t>2025-05-09 18:43:50.554</t>
        </is>
      </c>
      <c r="B192">
        <f>=请求开始== [请求IP]:172.18.114.116 ,[请求方式]:POST， [请求URL]:https://172.30.103.196:8080/api/appservice/bfv/v1/chat/, [请求类名]:com.yingzi.appservice.bfv.provider.rest.ChatV1Controller,[请求方法名]:chat, [请求头参数]:{"host":"172.30.103.196:8080"}, [请求参数]:[{"stream":true,"message":"播放","args":"{\"channel_id\":\"9\"}"}]</f>
        <v/>
      </c>
      <c r="C192" t="inlineStr">
        <is>
          <t>INFO</t>
        </is>
      </c>
      <c r="D192" t="inlineStr">
        <is>
          <t>vdh</t>
        </is>
      </c>
      <c r="E192" t="inlineStr">
        <is>
          <t>pro17</t>
        </is>
      </c>
      <c r="F192" t="inlineStr">
        <is>
          <t>prod</t>
        </is>
      </c>
    </row>
    <row r="193">
      <c r="A193" t="inlineStr">
        <is>
          <t>2025-05-09 18:43:47.035</t>
        </is>
      </c>
      <c r="B193">
        <f>=请求结束== [请求耗时]:14毫秒, [返回数据]:{"code":"000000","msg":"Success","traceId":"000620f915048be1e9602640e0dad00e"}</f>
        <v/>
      </c>
      <c r="C193" t="inlineStr">
        <is>
          <t>INFO</t>
        </is>
      </c>
      <c r="D193" t="inlineStr">
        <is>
          <t>vdh</t>
        </is>
      </c>
      <c r="E193" t="inlineStr">
        <is>
          <t>pro14</t>
        </is>
      </c>
      <c r="F193" t="inlineStr">
        <is>
          <t>prod</t>
        </is>
      </c>
    </row>
    <row r="194">
      <c r="A194" t="inlineStr">
        <is>
          <t>2025-05-09 18:43:47.021</t>
        </is>
      </c>
      <c r="B194">
        <f>=请求开始== [请求IP]:182.90.206.185 ,[请求方式]:POST， [请求URL]:https://172.30.212.148:8080/api/appservice/bfv/v1/chatHistory/batchSave, [请求类名]:com.yingzi.appservice.bfv.provider.rest.ChatHistoryController,[请求方法名]:batchSave, [请求头参数]:{"host":"172.30.212.148:8080"}, [请求参数]:[[{"userId":1151058586794315777,"deviceId":"28:D0:EA:87:3A:34","sessionId":"","avatarId":"11200220000208050000000000000000","appCode":"VDHtestWDC","instructionTemplateType":"","recordId":"","asrResult":"","knowledgeId":"","knowledgeMasterId":"","instructionType":"","instructionName":"","instructionFlag":"","parameter":"{}","ttsResultSource":"local","ttsResult":"小万发现了秘制陈皮鸭,要帮主人开始烹饪吗","ttsResultTime":{"year":2025,"monthValue":5,"month":"MAY","dayOfMonth":9,"dayOfYear":129,"dayOfWeek":"FRIDAY","hour":8,"minute":13,"second":32,"nano":0,"chronology":{"id":"ISO","calendarType":"iso8601"}},"response":1746749612633}]]</f>
        <v/>
      </c>
      <c r="C194" t="inlineStr">
        <is>
          <t>INFO</t>
        </is>
      </c>
      <c r="D194" t="inlineStr">
        <is>
          <t>vdh</t>
        </is>
      </c>
      <c r="E194" t="inlineStr">
        <is>
          <t>pro14</t>
        </is>
      </c>
      <c r="F194" t="inlineStr">
        <is>
          <t>prod</t>
        </is>
      </c>
    </row>
    <row r="195">
      <c r="A195" t="inlineStr">
        <is>
          <t>2025-05-09 18:41:10.829</t>
        </is>
      </c>
      <c r="B195">
        <f>=请求结束== [请求耗时]:12毫秒, [返回数据]:{"code":"000000","msg":"Success","traceId":"f6bd38dfa5311e233b58d0b195adea10"}</f>
        <v/>
      </c>
      <c r="C195" t="inlineStr">
        <is>
          <t>INFO</t>
        </is>
      </c>
      <c r="D195" t="inlineStr">
        <is>
          <t>vdh</t>
        </is>
      </c>
      <c r="E195" t="inlineStr">
        <is>
          <t>pro14</t>
        </is>
      </c>
      <c r="F195" t="inlineStr">
        <is>
          <t>prod</t>
        </is>
      </c>
    </row>
    <row r="196">
      <c r="A196" t="inlineStr">
        <is>
          <t>2025-05-09 18:41:10.817</t>
        </is>
      </c>
      <c r="B196">
        <f>=请求开始== [请求IP]:111.58.68.36 ,[请求方式]:POST， [请求URL]:https://172.30.212.148:8080/api/appservice/bfv/v1/chatHistory/batchSave, [请求类名]:com.yingzi.appservice.bfv.provider.rest.ChatHistoryController,[请求方法名]:batchSave, [请求头参数]:{"host":"172.30.212.148:8080"}, [请求参数]:[[{"userId":908023046011920387,"deviceId":"F4:CE:23:BC:2B:B3","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41,"second":5,"nano":0,"chronology":{"id":"ISO","calendarType":"iso8601"}},"response":738}]]</f>
        <v/>
      </c>
      <c r="C196" t="inlineStr">
        <is>
          <t>INFO</t>
        </is>
      </c>
      <c r="D196" t="inlineStr">
        <is>
          <t>vdh</t>
        </is>
      </c>
      <c r="E196" t="inlineStr">
        <is>
          <t>pro14</t>
        </is>
      </c>
      <c r="F196" t="inlineStr">
        <is>
          <t>prod</t>
        </is>
      </c>
    </row>
    <row r="197">
      <c r="A197" t="inlineStr">
        <is>
          <t>2025-05-09 18:41:08.168</t>
        </is>
      </c>
      <c r="B197">
        <f>=请求结束== [请求耗时]:16毫秒, [返回数据]:{"code":"000000","msg":"Success","traceId":"63bf327bc25fa6872fc17199719da71b"}</f>
        <v/>
      </c>
      <c r="C197" t="inlineStr">
        <is>
          <t>INFO</t>
        </is>
      </c>
      <c r="D197" t="inlineStr">
        <is>
          <t>vdh</t>
        </is>
      </c>
      <c r="E197" t="inlineStr">
        <is>
          <t>pro17</t>
        </is>
      </c>
      <c r="F197" t="inlineStr">
        <is>
          <t>prod</t>
        </is>
      </c>
    </row>
    <row r="198">
      <c r="A198" t="inlineStr">
        <is>
          <t>2025-05-09 18:41:08.152</t>
        </is>
      </c>
      <c r="B198">
        <f>=请求开始== [请求IP]:27.18.172.114 ,[请求方式]:POST， [请求URL]:https://172.30.103.196:8080/api/appservice/bfv/v1/chatHistory/batchSave, [请求类名]:com.yingzi.appservice.bfv.provider.rest.ChatHistoryController,[请求方法名]:batchSave, [请求头参数]:{"host":"172.30.103.196:8080"}, [请求参数]:[[{"userId":1031239387796570112,"deviceId":"64:79:F0:79:7A:FC","sessionId":"","avatarId":"11200220000208050000000000000000","appCode":"VDHtestWDC","instructionTemplateType":"","recordId":"","asrResult":"","knowledgeId":"","knowledgeMasterId":"","instructionType":"","instructionName":"","instructionFlag":"","parameter":"{}","ttsResultSource":"local","ttsResult":"搞定了","ttsResultTime":{"year":2025,"monthValue":5,"month":"MAY","dayOfMonth":9,"dayOfYear":129,"dayOfWeek":"FRIDAY","hour":18,"minute":40,"second":28,"nano":0,"chronology":{"id":"ISO","calendarType":"iso8601"}},"response":11485309}]]</f>
        <v/>
      </c>
      <c r="C198" t="inlineStr">
        <is>
          <t>INFO</t>
        </is>
      </c>
      <c r="D198" t="inlineStr">
        <is>
          <t>vdh</t>
        </is>
      </c>
      <c r="E198" t="inlineStr">
        <is>
          <t>pro17</t>
        </is>
      </c>
      <c r="F198" t="inlineStr">
        <is>
          <t>prod</t>
        </is>
      </c>
    </row>
    <row r="199">
      <c r="A199" t="inlineStr">
        <is>
          <t>2025-05-09 18:39:34.472</t>
        </is>
      </c>
      <c r="B199">
        <f>=请求结束== [请求耗时]:14毫秒, [返回数据]:{"code":"000000","msg":"Success","traceId":"5aa0629ec434efe6f0a89d5bdef9ec7e"}</f>
        <v/>
      </c>
      <c r="C199" t="inlineStr">
        <is>
          <t>INFO</t>
        </is>
      </c>
      <c r="D199" t="inlineStr">
        <is>
          <t>vdh</t>
        </is>
      </c>
      <c r="E199" t="inlineStr">
        <is>
          <t>pro14</t>
        </is>
      </c>
      <c r="F199" t="inlineStr">
        <is>
          <t>prod</t>
        </is>
      </c>
    </row>
    <row r="200">
      <c r="A200" t="inlineStr">
        <is>
          <t>2025-05-09 18:39:34.458</t>
        </is>
      </c>
      <c r="B200">
        <f>=请求开始== [请求IP]:111.29.153.114 ,[请求方式]:POST， [请求URL]:https://172.30.212.148:8080/api/appservice/bfv/v1/chatHistory/batchSave, [请求类名]:com.yingzi.appservice.bfv.provider.rest.ChatHistoryController,[请求方法名]:batchSave, [请求头参数]:{"host":"172.30.212.148:8080"}, [请求参数]:[[{"userId":764489818596057088,"deviceId":"64:79:F0:79:7A:43","sessionId":"","avatarId":"11200220000208050000000000000000","appCode":"VDHtestWDC","instructionTemplateType":"","recordId":"","asrResult":"","knowledgeId":"","knowledgeMasterId":"","instructionType":"","instructionName":"","instructionFlag":"","parameter":"{}","ttsResultSource":"local","ttsResult":"搞定了","ttsResultTime":{"year":2025,"monthValue":5,"month":"MAY","dayOfMonth":9,"dayOfYear":129,"dayOfWeek":"FRIDAY","hour":18,"minute":39,"second":30,"nano":0,"chronology":{"id":"ISO","calendarType":"iso8601"}},"response":651098}]]</f>
        <v/>
      </c>
      <c r="C200" t="inlineStr">
        <is>
          <t>INFO</t>
        </is>
      </c>
      <c r="D200" t="inlineStr">
        <is>
          <t>vdh</t>
        </is>
      </c>
      <c r="E200" t="inlineStr">
        <is>
          <t>pro14</t>
        </is>
      </c>
      <c r="F200" t="inlineStr">
        <is>
          <t>prod</t>
        </is>
      </c>
    </row>
    <row r="201">
      <c r="A201" t="inlineStr">
        <is>
          <t>2025-05-09 18:39:03.255</t>
        </is>
      </c>
      <c r="B201">
        <f>=请求结束== [请求耗时]:14毫秒, [返回数据]:{"code":"000000","msg":"Success","traceId":"1169687777540cf33284c115fa057965"}</f>
        <v/>
      </c>
      <c r="C201" t="inlineStr">
        <is>
          <t>INFO</t>
        </is>
      </c>
      <c r="D201" t="inlineStr">
        <is>
          <t>vdh</t>
        </is>
      </c>
      <c r="E201" t="inlineStr">
        <is>
          <t>pro17</t>
        </is>
      </c>
      <c r="F201" t="inlineStr">
        <is>
          <t>prod</t>
        </is>
      </c>
    </row>
    <row r="202">
      <c r="A202" t="inlineStr">
        <is>
          <t>2025-05-09 18:39:03.241</t>
        </is>
      </c>
      <c r="B202">
        <f>=请求开始== [请求IP]:111.29.153.114 ,[请求方式]:POST， [请求URL]:https://172.30.103.196:8080/api/appservice/bfv/v1/chatHistory/batchSave, [请求类名]:com.yingzi.appservice.bfv.provider.rest.ChatHistoryController,[请求方法名]:batchSave, [请求头参数]:{"host":"172.30.103.196:8080"}, [请求参数]:[[{"userId":764489818596057088,"deviceId":"64:79:F0:79:7A:43","sessionId":"","avatarId":"11200220000208050000000000000000","appCode":"VDHtestWDC","instructionTemplateType":"","recordId":"","asrResult":"","knowledgeId":"","knowledgeMasterId":"","instructionType":"","instructionName":"","instructionFlag":"","parameter":"{}","ttsResultSource":"local","ttsResult":"好的","ttsResultTime":{"year":2025,"monthValue":5,"month":"MAY","dayOfMonth":9,"dayOfYear":129,"dayOfWeek":"FRIDAY","hour":18,"minute":38,"second":59,"nano":0,"chronology":{"id":"ISO","calendarType":"iso8601"}},"response":619864}]]</f>
        <v/>
      </c>
      <c r="C202" t="inlineStr">
        <is>
          <t>INFO</t>
        </is>
      </c>
      <c r="D202" t="inlineStr">
        <is>
          <t>vdh</t>
        </is>
      </c>
      <c r="E202" t="inlineStr">
        <is>
          <t>pro17</t>
        </is>
      </c>
      <c r="F202" t="inlineStr">
        <is>
          <t>prod</t>
        </is>
      </c>
    </row>
    <row r="203">
      <c r="A203" t="inlineStr">
        <is>
          <t>2025-05-09 18:38:56.714</t>
        </is>
      </c>
      <c r="B203">
        <f>=请求结束== [请求耗时]:14毫秒, [返回数据]:{"code":"000000","msg":"Success","traceId":"c9b9a76be223ca50bf35a4a9fd32ef31"}</f>
        <v/>
      </c>
      <c r="C203" t="inlineStr">
        <is>
          <t>INFO</t>
        </is>
      </c>
      <c r="D203" t="inlineStr">
        <is>
          <t>vdh</t>
        </is>
      </c>
      <c r="E203" t="inlineStr">
        <is>
          <t>pro14</t>
        </is>
      </c>
      <c r="F203" t="inlineStr">
        <is>
          <t>prod</t>
        </is>
      </c>
    </row>
    <row r="204">
      <c r="A204" t="inlineStr">
        <is>
          <t>2025-05-09 18:38:56.700</t>
        </is>
      </c>
      <c r="B204">
        <f>=请求开始== [请求IP]:27.18.172.114 ,[请求方式]:POST， [请求URL]:https://172.30.212.148:8080/api/appservice/bfv/v1/chatHistory/batchSave, [请求类名]:com.yingzi.appservice.bfv.provider.rest.ChatHistoryController,[请求方法名]:batchSave, [请求头参数]:{"host":"172.30.212.148:8080"}, [请求参数]:[[{"userId":1031239387796570112,"deviceId":"64:79:F0:79:7A:FC","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18,"minute":38,"second":51,"nano":0,"chronology":{"id":"ISO","calendarType":"iso8601"}},"response":11387916}]]</f>
        <v/>
      </c>
      <c r="C204" t="inlineStr">
        <is>
          <t>INFO</t>
        </is>
      </c>
      <c r="D204" t="inlineStr">
        <is>
          <t>vdh</t>
        </is>
      </c>
      <c r="E204" t="inlineStr">
        <is>
          <t>pro14</t>
        </is>
      </c>
      <c r="F204" t="inlineStr">
        <is>
          <t>prod</t>
        </is>
      </c>
    </row>
    <row r="205">
      <c r="A205" t="inlineStr">
        <is>
          <t>2025-05-09 18:37:40.545</t>
        </is>
      </c>
      <c r="B205">
        <f>=请求结束== [请求耗时]:16毫秒, [返回数据]:{"code":"000000","msg":"Success","traceId":"34f0debf0d995b94f3f1dd5bb141fdc9"}</f>
        <v/>
      </c>
      <c r="C205" t="inlineStr">
        <is>
          <t>INFO</t>
        </is>
      </c>
      <c r="D205" t="inlineStr">
        <is>
          <t>vdh</t>
        </is>
      </c>
      <c r="E205" t="inlineStr">
        <is>
          <t>pro17</t>
        </is>
      </c>
      <c r="F205" t="inlineStr">
        <is>
          <t>prod</t>
        </is>
      </c>
    </row>
    <row r="206">
      <c r="A206" t="inlineStr">
        <is>
          <t>2025-05-09 18:37:40.529</t>
        </is>
      </c>
      <c r="B206">
        <f>=请求开始== [请求IP]:111.29.153.114 ,[请求方式]:POST， [请求URL]:https://172.30.103.196:8080/api/appservice/bfv/v1/chatHistory/batchSave, [请求类名]:com.yingzi.appservice.bfv.provider.rest.ChatHistoryController,[请求方法名]:batchSave, [请求头参数]:{"host":"172.30.103.196:8080"}, [请求参数]:[[{"userId":764489818596057088,"deviceId":"64:79:F0:79:7A:43","sessionId":"","avatarId":"11200220000208050000000000000000","appCode":"VDHtestWDC","instructionTemplateType":"","recordId":"","asrResult":"","knowledgeId":"","knowledgeMasterId":"","instructionType":"","instructionName":"","instructionFlag":"","parameter":"{}","ttsResultSource":"local","ttsResult":"小万发现了煮面条,要帮主人开始烹饪吗开始烹饪,请耐心等待","ttsResultTime":{"year":2025,"monthValue":5,"month":"MAY","dayOfMonth":9,"dayOfYear":129,"dayOfWeek":"FRIDAY","hour":18,"minute":37,"second":33,"nano":0,"chronology":{"id":"ISO","calendarType":"iso8601"}},"response":533887}]]</f>
        <v/>
      </c>
      <c r="C206" t="inlineStr">
        <is>
          <t>INFO</t>
        </is>
      </c>
      <c r="D206" t="inlineStr">
        <is>
          <t>vdh</t>
        </is>
      </c>
      <c r="E206" t="inlineStr">
        <is>
          <t>pro17</t>
        </is>
      </c>
      <c r="F206" t="inlineStr">
        <is>
          <t>prod</t>
        </is>
      </c>
    </row>
    <row r="207">
      <c r="A207" t="inlineStr">
        <is>
          <t>2025-05-09 18:37:10.970</t>
        </is>
      </c>
      <c r="B207">
        <f>=请求结束== [请求耗时]:17毫秒, [返回数据]:{"code":"000000","msg":"Success","traceId":"31491879e02691e3bf5e16188d778566"}</f>
        <v/>
      </c>
      <c r="C207" t="inlineStr">
        <is>
          <t>INFO</t>
        </is>
      </c>
      <c r="D207" t="inlineStr">
        <is>
          <t>vdh</t>
        </is>
      </c>
      <c r="E207" t="inlineStr">
        <is>
          <t>pro17</t>
        </is>
      </c>
      <c r="F207" t="inlineStr">
        <is>
          <t>prod</t>
        </is>
      </c>
    </row>
    <row r="208">
      <c r="A208" t="inlineStr">
        <is>
          <t>2025-05-09 18:37:10.954</t>
        </is>
      </c>
      <c r="B208">
        <f>=请求开始== [请求IP]:111.58.68.36 ,[请求方式]:POST， [请求URL]:https://172.30.103.196:8080/api/appservice/bfv/v1/chatHistory/batchSave, [请求类名]:com.yingzi.appservice.bfv.provider.rest.ChatHistoryController,[请求方法名]:batchSave, [请求头参数]:{"host":"172.30.103.196:8080"}, [请求参数]:[[{"userId":908023046011920387,"deviceId":"F4:CE:23:BC:2B:B3","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18,"minute":37,"second":5,"nano":0,"chronology":{"id":"ISO","calendarType":"iso8601"}},"response":1064}]]</f>
        <v/>
      </c>
      <c r="C208" t="inlineStr">
        <is>
          <t>INFO</t>
        </is>
      </c>
      <c r="D208" t="inlineStr">
        <is>
          <t>vdh</t>
        </is>
      </c>
      <c r="E208" t="inlineStr">
        <is>
          <t>pro17</t>
        </is>
      </c>
      <c r="F208" t="inlineStr">
        <is>
          <t>prod</t>
        </is>
      </c>
    </row>
    <row r="209">
      <c r="A209" t="inlineStr">
        <is>
          <t>2025-05-09 18:36:58.060</t>
        </is>
      </c>
      <c r="B209">
        <f>=请求结束== [请求耗时]:13毫秒, [返回数据]:{"code":"000000","msg":"Success","traceId":"93375f750e70de6b78d47d20d87be362"}</f>
        <v/>
      </c>
      <c r="C209" t="inlineStr">
        <is>
          <t>INFO</t>
        </is>
      </c>
      <c r="D209" t="inlineStr">
        <is>
          <t>vdh</t>
        </is>
      </c>
      <c r="E209" t="inlineStr">
        <is>
          <t>pro14</t>
        </is>
      </c>
      <c r="F209" t="inlineStr">
        <is>
          <t>prod</t>
        </is>
      </c>
    </row>
    <row r="210">
      <c r="A210" t="inlineStr">
        <is>
          <t>2025-05-09 18:36:58.047</t>
        </is>
      </c>
      <c r="B210">
        <f>=请求开始== [请求IP]:116.252.3.41 ,[请求方式]:POST， [请求URL]:https://172.30.212.148:8080/api/appservice/bfv/v1/chatHistory/batchSave, [请求类名]:com.yingzi.appservice.bfv.provider.rest.ChatHistoryController,[请求方法名]:batchSave, [请求头参数]:{"host":"172.30.212.148:8080"}, [请求参数]:[[{"userId":1307428772386054144,"deviceId":"28:D0:EA:87:35:89","sessionId":"","avatarId":"11200220000208050000000000000000","appCode":"VDHtestWDC","instructionTemplateType":"","recordId":"","asrResult":"播放什么","instructionAsrFirstTime":{"year":2025,"monthValue":5,"month":"MAY","dayOfMonth":9,"dayOfYear":129,"dayOfWeek":"FRIDAY","hour":18,"minute":36,"second":29,"nano":0,"chronology":{"id":"ISO","calendarType":"iso8601"}},"knowledgeId":"","knowledgeMasterId":"","instructionType":"","instructionName":"","instructionFlag":"","parameter":"{}","ttsResultSource":"local","ttsResult":"网络开小差了,请稍后再试开始烹饪,请耐心等待","ttsResultTime":{"year":2025,"monthValue":5,"month":"MAY","dayOfMonth":9,"dayOfYear":129,"dayOfWeek":"FRIDAY","hour":18,"minute":36,"second":39,"nano":0,"chronology":{"id":"ISO","calendarType":"iso8601"}},"response":9405}]]</f>
        <v/>
      </c>
      <c r="C210" t="inlineStr">
        <is>
          <t>INFO</t>
        </is>
      </c>
      <c r="D210" t="inlineStr">
        <is>
          <t>vdh</t>
        </is>
      </c>
      <c r="E210" t="inlineStr">
        <is>
          <t>pro14</t>
        </is>
      </c>
      <c r="F210" t="inlineStr">
        <is>
          <t>prod</t>
        </is>
      </c>
    </row>
    <row r="211">
      <c r="A211" t="inlineStr">
        <is>
          <t>2025-05-09 18:36:51.278</t>
        </is>
      </c>
      <c r="B211">
        <f>=请求结束== [请求耗时]:15毫秒, [返回数据]:{"code":"000000","msg":"Success","traceId":"6b8a7f8eacd13bd00ca89a8d50228b06"}</f>
        <v/>
      </c>
      <c r="C211" t="inlineStr">
        <is>
          <t>INFO</t>
        </is>
      </c>
      <c r="D211" t="inlineStr">
        <is>
          <t>vdh</t>
        </is>
      </c>
      <c r="E211" t="inlineStr">
        <is>
          <t>pro17</t>
        </is>
      </c>
      <c r="F211" t="inlineStr">
        <is>
          <t>prod</t>
        </is>
      </c>
    </row>
    <row r="212">
      <c r="A212" t="inlineStr">
        <is>
          <t>2025-05-09 18:36:51.263</t>
        </is>
      </c>
      <c r="B212">
        <f>=请求开始== [请求IP]:218.17.115.163 ,[请求方式]:POST， [请求URL]:https://172.30.103.196:8080/api/appservice/bfv/v1/chatHistory/batchSave, [请求类名]:com.yingzi.appservice.bfv.provider.rest.ChatHistoryController,[请求方法名]:batchSave, [请求头参数]:{"host":"172.30.103.196:8080"}, [请求参数]:[[{"userId":1163481844748582912,"deviceId":"64:79:F0:79:7A:A7","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18,"minute":36,"second":45,"nano":0,"chronology":{"id":"ISO","calendarType":"iso8601"}},"response":1746787005892}]]</f>
        <v/>
      </c>
      <c r="C212" t="inlineStr">
        <is>
          <t>INFO</t>
        </is>
      </c>
      <c r="D212" t="inlineStr">
        <is>
          <t>vdh</t>
        </is>
      </c>
      <c r="E212" t="inlineStr">
        <is>
          <t>pro17</t>
        </is>
      </c>
      <c r="F212" t="inlineStr">
        <is>
          <t>prod</t>
        </is>
      </c>
    </row>
    <row r="213">
      <c r="A213" t="inlineStr">
        <is>
          <t>2025-05-09 18:36:41.037</t>
        </is>
      </c>
      <c r="B213">
        <f>=请求结束== [请求耗时]:7721毫秒</f>
        <v/>
      </c>
      <c r="C213" t="inlineStr">
        <is>
          <t>INFO</t>
        </is>
      </c>
      <c r="D213" t="inlineStr">
        <is>
          <t>vdh</t>
        </is>
      </c>
      <c r="E213" t="inlineStr">
        <is>
          <t>pro17</t>
        </is>
      </c>
      <c r="F213" t="inlineStr">
        <is>
          <t>prod</t>
        </is>
      </c>
    </row>
    <row r="214">
      <c r="A214" t="inlineStr">
        <is>
          <t>2025-05-09 18:36:41.036</t>
        </is>
      </c>
      <c r="B214" t="inlineStr">
        <is>
          <t>第1次流式调用完成，耗时：7274ms，response: Response { content = AiMessage { text = "目前万得厨微波炉不具备播放音乐、视频或其他媒体内容的功能。如果你希望获取新闻信息，可以选择播放不同类别的新闻，例如娱乐新闻、健康新闻、国内新闻等。请告诉我你希望了解哪类新闻，我可以为你获取相关的新闻信息。" toolExecutionRequests = null }, tokenUsage = TokenUsage { inputTokenCount = 5195, outputTokenCount = 112, totalTokenCount = 5307 }, finishReason = STOP }</t>
        </is>
      </c>
      <c r="C214" t="inlineStr">
        <is>
          <t>INFO</t>
        </is>
      </c>
      <c r="D214" t="inlineStr">
        <is>
          <t>vdh</t>
        </is>
      </c>
      <c r="E214" t="inlineStr">
        <is>
          <t>pro17</t>
        </is>
      </c>
      <c r="F214" t="inlineStr">
        <is>
          <t>prod</t>
        </is>
      </c>
    </row>
    <row r="215">
      <c r="A215" t="inlineStr">
        <is>
          <t>2025-05-09 18:36:38.478</t>
        </is>
      </c>
      <c r="B215" t="inlineStr">
        <is>
          <t xml:space="preserve">第1次流式调用开始回复，耗时：4716ms，第一个token: </t>
        </is>
      </c>
      <c r="C215" t="inlineStr">
        <is>
          <t>INFO</t>
        </is>
      </c>
      <c r="D215" t="inlineStr">
        <is>
          <t>vdh</t>
        </is>
      </c>
      <c r="E215" t="inlineStr">
        <is>
          <t>pro17</t>
        </is>
      </c>
      <c r="F215" t="inlineStr">
        <is>
          <t>prod</t>
        </is>
      </c>
    </row>
    <row r="216">
      <c r="A216" t="inlineStr">
        <is>
          <t>2025-05-09 18:36:35.001</t>
        </is>
      </c>
      <c r="B216">
        <f>=请求结束== [请求耗时]:12毫秒, [返回数据]:{"code":"000000","msg":"Success","traceId":"6a4ba3b03924b560de87c8c1318b9026"}</f>
        <v/>
      </c>
      <c r="C216" t="inlineStr">
        <is>
          <t>INFO</t>
        </is>
      </c>
      <c r="D216" t="inlineStr">
        <is>
          <t>vdh</t>
        </is>
      </c>
      <c r="E216" t="inlineStr">
        <is>
          <t>pro14</t>
        </is>
      </c>
      <c r="F216" t="inlineStr">
        <is>
          <t>prod</t>
        </is>
      </c>
    </row>
    <row r="217">
      <c r="A217" t="inlineStr">
        <is>
          <t>2025-05-09 18:36:34.989</t>
        </is>
      </c>
      <c r="B217">
        <f>=请求开始== [请求IP]:111.58.68.36 ,[请求方式]:POST， [请求URL]:https://172.30.212.148:8080/api/appservice/bfv/v1/chatHistory/batchSave, [请求类名]:com.yingzi.appservice.bfv.provider.rest.ChatHistoryController,[请求方法名]:batchSave, [请求头参数]:{"host":"172.30.212.148:8080"}, [请求参数]:[[{"userId":908023046011920387,"deviceId":"F4:CE:23:BC:2B:B3","sessionId":"","avatarId":"11200220000208050000000000000000","appCode":"VDHtestWDC","instructionTemplateType":"","recordId":"","asrResult":"","knowledgeId":"","knowledgeMasterId":"","instructionType":"","instructionName":"","instructionFlag":"","parameter":"{}","ttsResultSource":"local","ttsResult":"这道菜小万还没学会,可以使用自助烹饪!","ttsResultTime":{"year":2025,"monthValue":5,"month":"MAY","dayOfMonth":9,"dayOfYear":129,"dayOfWeek":"FRIDAY","hour":18,"minute":36,"second":29,"nano":0,"chronology":{"id":"ISO","calendarType":"iso8601"}},"response":1700}]]</f>
        <v/>
      </c>
      <c r="C217" t="inlineStr">
        <is>
          <t>INFO</t>
        </is>
      </c>
      <c r="D217" t="inlineStr">
        <is>
          <t>vdh</t>
        </is>
      </c>
      <c r="E217" t="inlineStr">
        <is>
          <t>pro14</t>
        </is>
      </c>
      <c r="F217" t="inlineStr">
        <is>
          <t>prod</t>
        </is>
      </c>
    </row>
    <row r="218">
      <c r="A218" t="inlineStr">
        <is>
          <t>2025-05-09 18:36:33.762</t>
        </is>
      </c>
      <c r="B218" t="inlineStr">
        <is>
          <t>streaming provider=gpt, model: gpt-4o</t>
        </is>
      </c>
      <c r="C218" t="inlineStr">
        <is>
          <t>INFO</t>
        </is>
      </c>
      <c r="D218" t="inlineStr">
        <is>
          <t>vdh</t>
        </is>
      </c>
      <c r="E218" t="inlineStr">
        <is>
          <t>pro17</t>
        </is>
      </c>
      <c r="F218" t="inlineStr">
        <is>
          <t>prod</t>
        </is>
      </c>
    </row>
    <row r="219">
      <c r="A219" t="inlineStr">
        <is>
          <t>2025-05-09 18:36:33.741</t>
        </is>
      </c>
      <c r="B219">
        <f>=请求结束== [请求耗时]:383毫秒, [返回数据]:{"code":"000000","msg":"Success","data":[{"knowledgeId":"1326868148286373888","knowledgeContent":[{"score":0.7223405825,"content":"：2025年春节/过年/大年初一是1月29日，农历正月初一，星期三。","fileId":"1326944717968060416","chunkId":"paragraph-1"},{"score":0.7042716225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冬至：•新历：12月21日•农历：十一月初二•星期日","fileId":"1326944717968060416","chunkId":"paragraph-4"},{"score":0.701551155,"content":"：深圳数影科技的股价是多少？深圳数影科技有限公司没有上市，因此没有股价信息。 广西扬翔股份上市了吗？广西扬翔股份没有上市。","fileId":"1326944717968060416","chunkId":"paragraph-6"}]},{"knowledgeId":"1272947938412855296","knowledgeContent":[{"score":0.7480654925,"content":"大家喜欢分享哪个食谱","fileId":"1275470180282040320","chunkId":"137","textGroup":"SELECT id, title FROM recipe_knowledge_nutrition ORDER BY forward_num DESC LIMIT 1;"}]},{"knowledgeId":"1329399948694220800","knowledgeContent":[{"score":0.8859524325,"content":"播放新闻","fileId":"1329400169758941184","chunkId":"51","textGroup":"news {type=top,size=3}"},{"score":0.7491921675,"content":"有什么娱乐新闻","fileId":"1329400169758941184","chunkId":"73","textGroup":"news {type=yule,size=3}"},{"score":0.7444025025,"content":"有什么健康新闻","fileId":"1329400169758941184","chunkId":"80","textGroup":"news {type=jiankang,size=3}"},{"score":0.742990525,"content":"有什么国内新闻","fileId":"1329400169758941184","chunkId":"71","textGroup":"news {type=guonei,size=3}"},{"score":0.7419511875,"content":"有什么财经新闻","fileId":"1329400169758941184","chunkId":"77","textGroup":"news {type=caijing,size=3}"},{"score":0.740333255,"content":"有什么体育新闻","fileId":"1329400169758941184","chunkId":"74","textGroup":"news {type=tiyu,size=3}"},{"score":0.7403249675,"content":"有什么汽车新闻","fileId":"1329400169758941184","chunkId":"79","textGroup":"news {type=qiche,size=3}"},{"score":0.7401781725,"content":"有什么军事新闻","fileId":"1329400169758941184","chunkId":"75","textGroup":"news {type=junshi,size=3}"},{"score":0.7399167975,"content":"我放的是[菜品名称]","fileId":"1347217269055369216","chunkId":"0","textGroup":"set_foodtype_taste"},{"score":0.73754347,"content":"开始微波","fileId":"1347217269055369216","chunkId":"49","textGroup":"cooking_control {type=start}"},{"score":0.736840095,"content":"暂停","fileId":"1347217269055369216","chunkId":"205","textGroup":"cooking_control {type=pause}"},{"score":0.73681825,"content":"有什么科技新闻","fileId":"1329400169758941184","chunkId":"76","textGroup":"news {type=keji,size=3}"},{"score":0.7358320375,"content":"今天天气是怎样的","fileId":"1329400169758941184","chunkId":"12","textGroup":"getCurrentWeather"},{"score":0.73380245,"content":"有什么国际新闻","fileId":"1329400169758941184","chunkId":"72","textGroup":"news {type=guoji,size=3}"}]},{"knowledgeId":"1272948056214077440","knowledgeContent":[{"score":0.73974599,"content":"问题：你最喜欢的音乐是。\\n回复：我喜欢听流行曲，音乐能让我充满激情和动力。","fileId":"1303425377255075840","chunkId":"2718","textGroup":"你最喜欢的音乐是"},{"score":0.738578345,"content":"问题：你最喜欢的电影是。\\n回复：我喜欢看那些与美食有关的电影，它们能激发我的创造力。","fileId":"1303425377255075840","chunkId":"2716","textGroup":"你最喜欢的电影是"},{"score":0.73612992,"content":"问题：你有喜欢的电视剧吗。\\n回复：我最喜欢的电视剧是《舌尖上的中国》，每集都能勾起我的食欲。","fileId":"1303425377255075840","chunkId":"2727","textGroup":"你有喜欢的电视剧吗"},{"score":0.730414095,"content":"问题：可以通过哪个平台了姐到关于你们的情况。\\n回复：您可以通过关注我们的微信公众号、抖音“万得厨的厨”，了解更多关于烹饪技巧和美食分享的内容。","fileId":"1303425377255075840","chunkId":"715","textGroup":"可以从哪了解你们"},{"score":0.7299118724999999,"content":"问题：你最擅长的事情是什么。\\n回复：我擅长烹饪各式佳肴，根据你的口味和需求，为你推荐美食","fileId":"1303425377255075840","chunkId":"2722","textGroup":"你最擅长的事情是什么"},{"score":0.7283222025,"content":"问题：你会说什么语言。\\n回复：小万正在学习多国语音，目前只会讲中文","fileId":"1303425377255075840","chunkId":"2681","textGroup":"你会说什么语言"},{"score":0.72760442,"content":"问题：晚安。\\n回复：晚安。","fileId":"1303425377255075840","chunkId":"2766","textGroup":"晚安"},{"score":0.72753506,"content":"问题：请分享一下你在抖音上的账号。\\n回复：万得厨官方抖音账号为“万得厨的厨”，不定时为您推送最全使用指南及最美味的食品食谱，期待您的关注</f>
        <v/>
      </c>
      <c r="C219" t="inlineStr">
        <is>
          <t>INFO</t>
        </is>
      </c>
      <c r="D219" t="inlineStr">
        <is>
          <t>vdh</t>
        </is>
      </c>
      <c r="E219" t="inlineStr">
        <is>
          <t>pro14</t>
        </is>
      </c>
      <c r="F219" t="inlineStr">
        <is>
          <t>prod</t>
        </is>
      </c>
    </row>
    <row r="220">
      <c r="A220" t="inlineStr">
        <is>
          <t>2025-05-09 18:36:33.741</t>
        </is>
      </c>
      <c r="B220" t="inlineStr">
        <is>
          <t>知识库插件检索耗时: 381ms</t>
        </is>
      </c>
      <c r="C220" t="inlineStr">
        <is>
          <t>INFO</t>
        </is>
      </c>
      <c r="D220" t="inlineStr">
        <is>
          <t>vdh</t>
        </is>
      </c>
      <c r="E220" t="inlineStr">
        <is>
          <t>pro14</t>
        </is>
      </c>
      <c r="F220" t="inlineStr">
        <is>
          <t>prod</t>
        </is>
      </c>
    </row>
    <row r="221">
      <c r="A221" t="inlineStr">
        <is>
          <t>2025-05-09 18:36:33.359</t>
        </is>
      </c>
      <c r="B221">
        <f>=请求开始== [请求IP]:172.18.33.17 ,[请求方式]:POST， [请求URL]:https://172.30.212.148:8080/api/appservice/bfv/v1/knowledge/retrieval/plugin, [请求类名]:com.yingzi.appservice.bfv.provider.rest.KnowledgeRetrievalController,[请求方法名]:plugin, [请求头参数]:{"host":"172.30.212.148:8080"}, [请求参数]:[{"query":"播放什么","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221" t="inlineStr">
        <is>
          <t>INFO</t>
        </is>
      </c>
      <c r="D221" t="inlineStr">
        <is>
          <t>vdh</t>
        </is>
      </c>
      <c r="E221" t="inlineStr">
        <is>
          <t>pro14</t>
        </is>
      </c>
      <c r="F221" t="inlineStr">
        <is>
          <t>prod</t>
        </is>
      </c>
    </row>
    <row r="222">
      <c r="A222" t="inlineStr">
        <is>
          <t>2025-05-09 18:36:33.316</t>
        </is>
      </c>
      <c r="B222">
        <f>=请求开始== [请求IP]:172.18.114.116 ,[请求方式]:POST， [请求URL]:https://172.30.103.196:8080/api/appservice/bfv/v1/chat/, [请求类名]:com.yingzi.appservice.bfv.provider.rest.ChatV1Controller,[请求方法名]:chat, [请求头参数]:{"host":"172.30.103.196:8080"}, [请求参数]:[{"stream":true,"message":"播放什么","args":"{\"channel_id\":\"9\"}"}]</f>
        <v/>
      </c>
      <c r="C222" t="inlineStr">
        <is>
          <t>INFO</t>
        </is>
      </c>
      <c r="D222" t="inlineStr">
        <is>
          <t>vdh</t>
        </is>
      </c>
      <c r="E222" t="inlineStr">
        <is>
          <t>pro17</t>
        </is>
      </c>
      <c r="F222" t="inlineStr">
        <is>
          <t>prod</t>
        </is>
      </c>
    </row>
    <row r="223">
      <c r="A223" t="inlineStr">
        <is>
          <t>2025-05-09 18:36:33.016</t>
        </is>
      </c>
      <c r="B223">
        <f>=请求结束== [请求耗时]:13毫秒, [返回数据]:{"code":"000000","msg":"Success","traceId":"fae13f7520a37d5cbf67ebcaf5157c73"}</f>
        <v/>
      </c>
      <c r="C223" t="inlineStr">
        <is>
          <t>INFO</t>
        </is>
      </c>
      <c r="D223" t="inlineStr">
        <is>
          <t>vdh</t>
        </is>
      </c>
      <c r="E223" t="inlineStr">
        <is>
          <t>pro14</t>
        </is>
      </c>
      <c r="F223" t="inlineStr">
        <is>
          <t>prod</t>
        </is>
      </c>
    </row>
    <row r="224">
      <c r="A224" t="inlineStr">
        <is>
          <t>2025-05-09 18:36:33.003</t>
        </is>
      </c>
      <c r="B224">
        <f>=请求开始== [请求IP]:180.139.211.179 ,[请求方式]:POST， [请求URL]:https://172.30.212.148:8080/api/appservice/bfv/v1/chatHistory/batchSave, [请求类名]:com.yingzi.appservice.bfv.provider.rest.ChatHistoryController,[请求方法名]:batchSave, [请求头参数]:{"host":"172.30.212.148:8080"}, [请求参数]:[[{"userId":1069342220569202688,"deviceId":"64:79:F0:90:2B:2B","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18,"minute":36,"second":20,"nano":0,"chronology":{"id":"ISO","calendarType":"iso8601"}},"response":1746786980198}]]</f>
        <v/>
      </c>
      <c r="C224" t="inlineStr">
        <is>
          <t>INFO</t>
        </is>
      </c>
      <c r="D224" t="inlineStr">
        <is>
          <t>vdh</t>
        </is>
      </c>
      <c r="E224" t="inlineStr">
        <is>
          <t>pro14</t>
        </is>
      </c>
      <c r="F224" t="inlineStr">
        <is>
          <t>prod</t>
        </is>
      </c>
    </row>
    <row r="225">
      <c r="A225" t="inlineStr">
        <is>
          <t>2025-05-09 18:36:28.662</t>
        </is>
      </c>
      <c r="B225">
        <f>=请求结束== [请求耗时]:15毫秒, [返回数据]:{"code":"000000","msg":"Success","traceId":"ee81f709254d2eac8ae127a407291881"}</f>
        <v/>
      </c>
      <c r="C225" t="inlineStr">
        <is>
          <t>INFO</t>
        </is>
      </c>
      <c r="D225" t="inlineStr">
        <is>
          <t>vdh</t>
        </is>
      </c>
      <c r="E225" t="inlineStr">
        <is>
          <t>pro17</t>
        </is>
      </c>
      <c r="F225" t="inlineStr">
        <is>
          <t>prod</t>
        </is>
      </c>
    </row>
    <row r="226">
      <c r="A226" t="inlineStr">
        <is>
          <t>2025-05-09 18:36:28.648</t>
        </is>
      </c>
      <c r="B226">
        <f>=请求开始== [请求IP]:116.252.3.41 ,[请求方式]:POST， [请求URL]:https://172.30.103.196:8080/api/appservice/bfv/v1/chatHistory/batchSave, [请求类名]:com.yingzi.appservice.bfv.provider.rest.ChatHistoryController,[请求方法名]:batchSave, [请求头参数]:{"host":"172.30.103.196:8080"}, [请求参数]:[[{"userId":1307428772386054144,"deviceId":"28:D0:EA:87:35:89","sessionId":"","avatarId":"11200220000208050000000000000000","appCode":"VDHtestWDC","instructionTemplateType":"","recordId":"","asrResult":"","knowledgeId":"","knowledgeMasterId":"","instructionType":"","instructionName":"","instructionFlag":"","parameter":"{}","ttsResultSource":"local","ttsResult":"小万发现了烧茄子,请选择烹饪模式小万发现了烧茄子,请选择烹饪模式","ttsResultTime":{"year":2025,"monthValue":5,"month":"MAY","dayOfMonth":9,"dayOfYear":129,"dayOfWeek":"FRIDAY","hour":18,"minute":36,"second":20,"nano":0,"chronology":{"id":"ISO","calendarType":"iso8601"}},"response":1746786980027}]]</f>
        <v/>
      </c>
      <c r="C226" t="inlineStr">
        <is>
          <t>INFO</t>
        </is>
      </c>
      <c r="D226" t="inlineStr">
        <is>
          <t>vdh</t>
        </is>
      </c>
      <c r="E226" t="inlineStr">
        <is>
          <t>pro17</t>
        </is>
      </c>
      <c r="F226" t="inlineStr">
        <is>
          <t>prod</t>
        </is>
      </c>
    </row>
    <row r="227">
      <c r="A227" t="inlineStr">
        <is>
          <t>2025-05-09 18:36:22.275</t>
        </is>
      </c>
      <c r="B227">
        <f>=请求结束== [请求耗时]:14毫秒, [返回数据]:{"code":"000000","msg":"Success","traceId":"e703dcd27358513d463b8ea4b8ca1d13"}</f>
        <v/>
      </c>
      <c r="C227" t="inlineStr">
        <is>
          <t>INFO</t>
        </is>
      </c>
      <c r="D227" t="inlineStr">
        <is>
          <t>vdh</t>
        </is>
      </c>
      <c r="E227" t="inlineStr">
        <is>
          <t>pro17</t>
        </is>
      </c>
      <c r="F227" t="inlineStr">
        <is>
          <t>prod</t>
        </is>
      </c>
    </row>
    <row r="228">
      <c r="A228" t="inlineStr">
        <is>
          <t>2025-05-09 18:36:22.261</t>
        </is>
      </c>
      <c r="B228">
        <f>=请求开始== [请求IP]:111.58.68.36 ,[请求方式]:POST， [请求URL]:https://172.30.103.196:8080/api/appservice/bfv/v1/chatHistory/batchSave, [请求类名]:com.yingzi.appservice.bfv.provider.rest.ChatHistoryController,[请求方法名]:batchSave, [请求头参数]:{"host":"172.30.103.196:8080"}, [请求参数]:[[{"userId":908023046011920387,"deviceId":"F4:CE:23:BC:2B:B3","sessionId":"","avatarId":"11200220000208050000000000000000","appCode":"VDHtestWDC","instructionTemplateType":"","recordId":"","asrResult":"","instructionAsrFirstTime":{"year":2025,"monthValue":5,"month":"MAY","dayOfMonth":9,"dayOfYear":129,"dayOfWeek":"FRIDAY","hour":18,"minute":36,"second":20,"nano":0,"chronology":{"id":"ISO","calendarType":"iso8601"}},"knowledgeId":"","knowledgeMasterId":"","instructionType":"","instructionName":"","instructionFlag":"","parameter":"{}","ttsResultSource":"","ttsResult":"","response":0}]]</f>
        <v/>
      </c>
      <c r="C228" t="inlineStr">
        <is>
          <t>INFO</t>
        </is>
      </c>
      <c r="D228" t="inlineStr">
        <is>
          <t>vdh</t>
        </is>
      </c>
      <c r="E228" t="inlineStr">
        <is>
          <t>pro17</t>
        </is>
      </c>
      <c r="F228" t="inlineStr">
        <is>
          <t>prod</t>
        </is>
      </c>
    </row>
    <row r="229">
      <c r="A229" t="inlineStr">
        <is>
          <t>2025-05-09 18:36:10.618</t>
        </is>
      </c>
      <c r="B229">
        <f>=请求结束== [请求耗时]:15毫秒, [返回数据]:{"code":"000000","msg":"Success","traceId":"a057ecbb7b524d4905cce4e3b3827ad1"}</f>
        <v/>
      </c>
      <c r="C229" t="inlineStr">
        <is>
          <t>INFO</t>
        </is>
      </c>
      <c r="D229" t="inlineStr">
        <is>
          <t>vdh</t>
        </is>
      </c>
      <c r="E229" t="inlineStr">
        <is>
          <t>pro14</t>
        </is>
      </c>
      <c r="F229" t="inlineStr">
        <is>
          <t>prod</t>
        </is>
      </c>
    </row>
    <row r="230">
      <c r="A230" t="inlineStr">
        <is>
          <t>2025-05-09 18:36:10.604</t>
        </is>
      </c>
      <c r="B230">
        <f>=请求开始== [请求IP]:116.252.3.41 ,[请求方式]:POST， [请求URL]:https://172.30.212.148:8080/api/appservice/bfv/v1/chatHistory/batchSave, [请求类名]:com.yingzi.appservice.bfv.provider.rest.ChatHistoryController,[请求方法名]:batchSave, [请求头参数]:{"host":"172.30.212.148:8080"}, [请求参数]:[[{"userId":1307428772386054144,"deviceId":"28:D0:EA:87:35:89","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36,"second":5,"nano":0,"chronology":{"id":"ISO","calendarType":"iso8601"}},"response":1746786965083}]]</f>
        <v/>
      </c>
      <c r="C230" t="inlineStr">
        <is>
          <t>INFO</t>
        </is>
      </c>
      <c r="D230" t="inlineStr">
        <is>
          <t>vdh</t>
        </is>
      </c>
      <c r="E230" t="inlineStr">
        <is>
          <t>pro14</t>
        </is>
      </c>
      <c r="F230" t="inlineStr">
        <is>
          <t>prod</t>
        </is>
      </c>
    </row>
    <row r="231">
      <c r="A231" t="inlineStr">
        <is>
          <t>2025-05-09 18:35:42.511</t>
        </is>
      </c>
      <c r="B231">
        <f>=请求结束== [请求耗时]:14毫秒, [返回数据]:{"code":"000000","msg":"Success","traceId":"23b751b25fc88b4ea35b5618f6de1ee8"}</f>
        <v/>
      </c>
      <c r="C231" t="inlineStr">
        <is>
          <t>INFO</t>
        </is>
      </c>
      <c r="D231" t="inlineStr">
        <is>
          <t>vdh</t>
        </is>
      </c>
      <c r="E231" t="inlineStr">
        <is>
          <t>pro17</t>
        </is>
      </c>
      <c r="F231" t="inlineStr">
        <is>
          <t>prod</t>
        </is>
      </c>
    </row>
    <row r="232">
      <c r="A232" t="inlineStr">
        <is>
          <t>2025-05-09 18:35:42.497</t>
        </is>
      </c>
      <c r="B232">
        <f>=请求开始== [请求IP]:218.65.233.67 ,[请求方式]:POST， [请求URL]:https://172.30.103.196:8080/api/appservice/bfv/v1/chatHistory/batchSave, [请求类名]:com.yingzi.appservice.bfv.provider.rest.ChatHistoryController,[请求方法名]:batchSave, [请求头参数]:{"host":"172.30.103.196:8080"}, [请求参数]:[[{"userId":908023034452418563,"deviceId":"70:CF:49:DD:98:A7","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35,"second":37,"nano":0,"chronology":{"id":"ISO","calendarType":"iso8601"}},"response":1746786937249}]]</f>
        <v/>
      </c>
      <c r="C232" t="inlineStr">
        <is>
          <t>INFO</t>
        </is>
      </c>
      <c r="D232" t="inlineStr">
        <is>
          <t>vdh</t>
        </is>
      </c>
      <c r="E232" t="inlineStr">
        <is>
          <t>pro17</t>
        </is>
      </c>
      <c r="F232" t="inlineStr">
        <is>
          <t>prod</t>
        </is>
      </c>
    </row>
    <row r="233">
      <c r="A233" t="inlineStr">
        <is>
          <t>2025-05-09 18:34:55.406</t>
        </is>
      </c>
      <c r="B233">
        <f>=请求结束== [请求耗时]:14毫秒, [返回数据]:{"code":"000000","msg":"Success","traceId":"9103523d39b9efd748793910d1897521"}</f>
        <v/>
      </c>
      <c r="C233" t="inlineStr">
        <is>
          <t>INFO</t>
        </is>
      </c>
      <c r="D233" t="inlineStr">
        <is>
          <t>vdh</t>
        </is>
      </c>
      <c r="E233" t="inlineStr">
        <is>
          <t>pro14</t>
        </is>
      </c>
      <c r="F233" t="inlineStr">
        <is>
          <t>prod</t>
        </is>
      </c>
    </row>
    <row r="234">
      <c r="A234" t="inlineStr">
        <is>
          <t>2025-05-09 18:34:55.392</t>
        </is>
      </c>
      <c r="B234">
        <f>=请求开始== [请求IP]:180.139.211.179 ,[请求方式]:POST， [请求URL]:https://172.30.212.148:8080/api/appservice/bfv/v1/chatHistory/batchSave, [请求类名]:com.yingzi.appservice.bfv.provider.rest.ChatHistoryController,[请求方法名]:batchSave, [请求头参数]:{"host":"172.30.212.148:8080"}, [请求参数]:[[{"userId":1069342220569202688,"deviceId":"64:79:F0:90:2B:2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18,"minute":34,"second":50,"nano":0,"chronology":{"id":"ISO","calendarType":"iso8601"}},"response":1746786890165}]]</f>
        <v/>
      </c>
      <c r="C234" t="inlineStr">
        <is>
          <t>INFO</t>
        </is>
      </c>
      <c r="D234" t="inlineStr">
        <is>
          <t>vdh</t>
        </is>
      </c>
      <c r="E234" t="inlineStr">
        <is>
          <t>pro14</t>
        </is>
      </c>
      <c r="F234" t="inlineStr">
        <is>
          <t>prod</t>
        </is>
      </c>
    </row>
    <row r="235">
      <c r="A235" t="inlineStr">
        <is>
          <t>2025-05-09 18:34:44.679</t>
        </is>
      </c>
      <c r="B235">
        <f>=请求结束== [请求耗时]:13毫秒, [返回数据]:{"code":"000000","msg":"Success","traceId":"1959545976d051e37e39244ecd680f7e"}</f>
        <v/>
      </c>
      <c r="C235" t="inlineStr">
        <is>
          <t>INFO</t>
        </is>
      </c>
      <c r="D235" t="inlineStr">
        <is>
          <t>vdh</t>
        </is>
      </c>
      <c r="E235" t="inlineStr">
        <is>
          <t>pro17</t>
        </is>
      </c>
      <c r="F235" t="inlineStr">
        <is>
          <t>prod</t>
        </is>
      </c>
    </row>
    <row r="236">
      <c r="A236" t="inlineStr">
        <is>
          <t>2025-05-09 18:34:44.666</t>
        </is>
      </c>
      <c r="B236">
        <f>=请求开始== [请求IP]:180.139.211.179 ,[请求方式]:POST， [请求URL]:https://172.30.103.196:8080/api/appservice/bfv/v1/chatHistory/batchSave, [请求类名]:com.yingzi.appservice.bfv.provider.rest.ChatHistoryController,[请求方法名]:batchSave, [请求头参数]:{"host":"172.30.103.196:8080"}, [请求参数]:[[{"userId":1069342220569202688,"deviceId":"64:79:F0:90:2B:2B","sessionId":"","avatarId":"11200220000208050000000000000000","appCode":"VDHtestWDC","instructionTemplateType":"","recordId":"","asrResult":"","knowledgeId":"","knowledgeMasterId":"","instructionType":"","instructionName":"","instructionFlag":"","parameter":"{}","ttsResultSource":"local","ttsResult":"好的小万发现了馒头,主人喜欢冷藏还是冷冻口感","ttsResultTime":{"year":2025,"monthValue":5,"month":"MAY","dayOfMonth":8,"dayOfYear":128,"dayOfWeek":"THURSDAY","hour":21,"minute":3,"second":24,"nano":0,"chronology":{"id":"ISO","calendarType":"iso8601"}},"response":1746709404161}]]</f>
        <v/>
      </c>
      <c r="C236" t="inlineStr">
        <is>
          <t>INFO</t>
        </is>
      </c>
      <c r="D236" t="inlineStr">
        <is>
          <t>vdh</t>
        </is>
      </c>
      <c r="E236" t="inlineStr">
        <is>
          <t>pro17</t>
        </is>
      </c>
      <c r="F236" t="inlineStr">
        <is>
          <t>prod</t>
        </is>
      </c>
    </row>
    <row r="237">
      <c r="A237" t="inlineStr">
        <is>
          <t>2025-05-09 18:34:29.379</t>
        </is>
      </c>
      <c r="B237">
        <f>=请求结束== [请求耗时]:13毫秒, [返回数据]:{"code":"000000","msg":"Success","traceId":"dd01ffede7a23f28de4a5f26f3fb56dd"}</f>
        <v/>
      </c>
      <c r="C237" t="inlineStr">
        <is>
          <t>INFO</t>
        </is>
      </c>
      <c r="D237" t="inlineStr">
        <is>
          <t>vdh</t>
        </is>
      </c>
      <c r="E237" t="inlineStr">
        <is>
          <t>pro14</t>
        </is>
      </c>
      <c r="F237" t="inlineStr">
        <is>
          <t>prod</t>
        </is>
      </c>
    </row>
    <row r="238">
      <c r="A238" t="inlineStr">
        <is>
          <t>2025-05-09 18:34:29.366</t>
        </is>
      </c>
      <c r="B238">
        <f>=请求开始== [请求IP]:117.183.10.213 ,[请求方式]:POST， [请求URL]:https://172.30.212.148:8080/api/appservice/bfv/v1/chatHistory/batchSave, [请求类名]:com.yingzi.appservice.bfv.provider.rest.ChatHistoryController,[请求方法名]:batchSave, [请求头参数]:{"host":"172.30.212.148:8080"}, [请求参数]:[[{"userId":787335123823247360,"deviceId":"64:79:F0:FF:F2:8F","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34,"second":24,"nano":0,"chronology":{"id":"ISO","calendarType":"iso8601"}},"response":1746786864090}]]</f>
        <v/>
      </c>
      <c r="C238" t="inlineStr">
        <is>
          <t>INFO</t>
        </is>
      </c>
      <c r="D238" t="inlineStr">
        <is>
          <t>vdh</t>
        </is>
      </c>
      <c r="E238" t="inlineStr">
        <is>
          <t>pro14</t>
        </is>
      </c>
      <c r="F238" t="inlineStr">
        <is>
          <t>prod</t>
        </is>
      </c>
    </row>
    <row r="239">
      <c r="A239" t="inlineStr">
        <is>
          <t>2025-05-09 18:34:28.461</t>
        </is>
      </c>
      <c r="B239">
        <f>=请求结束== [请求耗时]:16毫秒, [返回数据]:{"code":"000000","msg":"Success","traceId":"f734431586850b8ce12c55db5add5bf4"}</f>
        <v/>
      </c>
      <c r="C239" t="inlineStr">
        <is>
          <t>INFO</t>
        </is>
      </c>
      <c r="D239" t="inlineStr">
        <is>
          <t>vdh</t>
        </is>
      </c>
      <c r="E239" t="inlineStr">
        <is>
          <t>pro14</t>
        </is>
      </c>
      <c r="F239" t="inlineStr">
        <is>
          <t>prod</t>
        </is>
      </c>
    </row>
    <row r="240">
      <c r="A240" t="inlineStr">
        <is>
          <t>2025-05-09 18:34:28.445</t>
        </is>
      </c>
      <c r="B240">
        <f>=请求开始== [请求IP]:14.145.79.89 ,[请求方式]:POST， [请求URL]:https://172.30.212.148:8080/api/appservice/bfv/v1/chatHistory/batchSave, [请求类名]:com.yingzi.appservice.bfv.provider.rest.ChatHistoryController,[请求方法名]:batchSave, [请求头参数]:{"host":"172.30.212.148:8080"}, [请求参数]:[[{"userId":1187618907244167170,"deviceId":"64:79:F0:E9:E1:6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34,"second":23,"nano":0,"chronology":{"id":"ISO","calendarType":"iso8601"}},"response":1751038}]]</f>
        <v/>
      </c>
      <c r="C240" t="inlineStr">
        <is>
          <t>INFO</t>
        </is>
      </c>
      <c r="D240" t="inlineStr">
        <is>
          <t>vdh</t>
        </is>
      </c>
      <c r="E240" t="inlineStr">
        <is>
          <t>pro14</t>
        </is>
      </c>
      <c r="F240" t="inlineStr">
        <is>
          <t>prod</t>
        </is>
      </c>
    </row>
    <row r="241">
      <c r="A241" t="inlineStr">
        <is>
          <t>2025-05-09 18:32:15.951</t>
        </is>
      </c>
      <c r="B241">
        <f>=请求结束== [请求耗时]:15毫秒, [返回数据]:{"code":"000000","msg":"Success","traceId":"4afe141aa49babbf3874f30802854eda"}</f>
        <v/>
      </c>
      <c r="C241" t="inlineStr">
        <is>
          <t>INFO</t>
        </is>
      </c>
      <c r="D241" t="inlineStr">
        <is>
          <t>vdh</t>
        </is>
      </c>
      <c r="E241" t="inlineStr">
        <is>
          <t>pro17</t>
        </is>
      </c>
      <c r="F241" t="inlineStr">
        <is>
          <t>prod</t>
        </is>
      </c>
    </row>
    <row r="242">
      <c r="A242" t="inlineStr">
        <is>
          <t>2025-05-09 18:32:15.937</t>
        </is>
      </c>
      <c r="B242">
        <f>=请求开始== [请求IP]:111.29.153.114 ,[请求方式]:POST， [请求URL]:https://172.30.103.196:8080/api/appservice/bfv/v1/chatHistory/batchSave, [请求类名]:com.yingzi.appservice.bfv.provider.rest.ChatHistoryController,[请求方法名]:batchSave, [请求头参数]:{"host":"172.30.103.196:8080"}, [请求参数]:[[{"userId":764489818596057088,"deviceId":"64:79:F0:79:7A:43","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32,"second":9,"nano":0,"chronology":{"id":"ISO","calendarType":"iso8601"}},"response":210373}]]</f>
        <v/>
      </c>
      <c r="C242" t="inlineStr">
        <is>
          <t>INFO</t>
        </is>
      </c>
      <c r="D242" t="inlineStr">
        <is>
          <t>vdh</t>
        </is>
      </c>
      <c r="E242" t="inlineStr">
        <is>
          <t>pro17</t>
        </is>
      </c>
      <c r="F242" t="inlineStr">
        <is>
          <t>prod</t>
        </is>
      </c>
    </row>
    <row r="243">
      <c r="A243" t="inlineStr">
        <is>
          <t>2025-05-09 18:31:39.587</t>
        </is>
      </c>
      <c r="B243">
        <f>=请求结束== [请求耗时]:22毫秒, [返回数据]:{"code":"000000","msg":"Success","traceId":"3e9f320bf6194c7116e03aa35a0007a3"}</f>
        <v/>
      </c>
      <c r="C243" t="inlineStr">
        <is>
          <t>INFO</t>
        </is>
      </c>
      <c r="D243" t="inlineStr">
        <is>
          <t>vdh</t>
        </is>
      </c>
      <c r="E243" t="inlineStr">
        <is>
          <t>pro14</t>
        </is>
      </c>
      <c r="F243" t="inlineStr">
        <is>
          <t>prod</t>
        </is>
      </c>
    </row>
    <row r="244">
      <c r="A244" t="inlineStr">
        <is>
          <t>2025-05-09 18:31:39.566</t>
        </is>
      </c>
      <c r="B244">
        <f>=请求开始== [请求IP]:117.183.10.213 ,[请求方式]:POST， [请求URL]:https://172.30.212.148:8080/api/appservice/bfv/v1/chatHistory/batchSave, [请求类名]:com.yingzi.appservice.bfv.provider.rest.ChatHistoryController,[请求方法名]:batchSave, [请求头参数]:{"host":"172.30.212.148:8080"}, [请求参数]:[[{"userId":787335123823247360,"deviceId":"64:79:F0:FF:F2:8F","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18,"minute":31,"second":23,"nano":0,"chronology":{"id":"ISO","calendarType":"iso8601"}},"response":1746786683082}]]</f>
        <v/>
      </c>
      <c r="C244" t="inlineStr">
        <is>
          <t>INFO</t>
        </is>
      </c>
      <c r="D244" t="inlineStr">
        <is>
          <t>vdh</t>
        </is>
      </c>
      <c r="E244" t="inlineStr">
        <is>
          <t>pro14</t>
        </is>
      </c>
      <c r="F244" t="inlineStr">
        <is>
          <t>prod</t>
        </is>
      </c>
    </row>
    <row r="245">
      <c r="A245" t="inlineStr">
        <is>
          <t>2025-05-09 18:31:11.496</t>
        </is>
      </c>
      <c r="B245">
        <f>=请求结束== [请求耗时]:14毫秒, [返回数据]:{"code":"000000","msg":"Success","traceId":"673bed9ab4bd6ba83ac9b1693a04e642"}</f>
        <v/>
      </c>
      <c r="C245" t="inlineStr">
        <is>
          <t>INFO</t>
        </is>
      </c>
      <c r="D245" t="inlineStr">
        <is>
          <t>vdh</t>
        </is>
      </c>
      <c r="E245" t="inlineStr">
        <is>
          <t>pro17</t>
        </is>
      </c>
      <c r="F245" t="inlineStr">
        <is>
          <t>prod</t>
        </is>
      </c>
    </row>
    <row r="246">
      <c r="A246" t="inlineStr">
        <is>
          <t>2025-05-09 18:31:11.482</t>
        </is>
      </c>
      <c r="B246">
        <f>=请求开始== [请求IP]:116.252.3.41 ,[请求方式]:POST， [请求URL]:https://172.30.103.196:8080/api/appservice/bfv/v1/chatHistory/batchSave, [请求类名]:com.yingzi.appservice.bfv.provider.rest.ChatHistoryController,[请求方法名]:batchSave, [请求头参数]:{"host":"172.30.103.196:8080"}, [请求参数]:[[{"userId":1307428772386054144,"deviceId":"28:D0:EA:87:35:89","sessionId":"","avatarId":"11200220000208050000000000000000","appCode":"VDHtestWDC","instructionTemplateType":"","recordId":"","asrResult":"","knowledgeId":"","knowledgeMasterId":"","instructionType":"","instructionName":"","instructionFlag":"","parameter":"{}","ttsResultSource":"local","ttsResult":"选好了,请选择烹饪模式选好了,请选择烹饪模式开始烹饪,请耐心等待","ttsResultTime":{"year":2025,"monthValue":5,"month":"MAY","dayOfMonth":9,"dayOfYear":129,"dayOfWeek":"FRIDAY","hour":18,"minute":30,"second":22,"nano":0,"chronology":{"id":"ISO","calendarType":"iso8601"}},"response":1746786622875}]]</f>
        <v/>
      </c>
      <c r="C246" t="inlineStr">
        <is>
          <t>INFO</t>
        </is>
      </c>
      <c r="D246" t="inlineStr">
        <is>
          <t>vdh</t>
        </is>
      </c>
      <c r="E246" t="inlineStr">
        <is>
          <t>pro17</t>
        </is>
      </c>
      <c r="F246" t="inlineStr">
        <is>
          <t>prod</t>
        </is>
      </c>
    </row>
    <row r="247">
      <c r="A247" t="inlineStr">
        <is>
          <t>2025-05-09 18:30:14.957</t>
        </is>
      </c>
      <c r="B247">
        <f>=请求结束== [请求耗时]:16毫秒, [返回数据]:{"code":"000000","msg":"Success","traceId":"7e3b99ad071a75756229cf30c82f679b"}</f>
        <v/>
      </c>
      <c r="C247" t="inlineStr">
        <is>
          <t>INFO</t>
        </is>
      </c>
      <c r="D247" t="inlineStr">
        <is>
          <t>vdh</t>
        </is>
      </c>
      <c r="E247" t="inlineStr">
        <is>
          <t>pro14</t>
        </is>
      </c>
      <c r="F247" t="inlineStr">
        <is>
          <t>prod</t>
        </is>
      </c>
    </row>
    <row r="248">
      <c r="A248" t="inlineStr">
        <is>
          <t>2025-05-09 18:30:14.941</t>
        </is>
      </c>
      <c r="B248">
        <f>=请求开始== [请求IP]:116.252.3.41 ,[请求方式]:POST， [请求URL]:https://172.30.212.148:8080/api/appservice/bfv/v1/chatHistory/batchSave, [请求类名]:com.yingzi.appservice.bfv.provider.rest.ChatHistoryController,[请求方法名]:batchSave, [请求头参数]:{"host":"172.30.212.148:8080"}, [请求参数]:[[{"userId":1307428772386054144,"deviceId":"28:D0:EA:87:35:89","sessionId":"","avatarId":"11200220000208050000000000000000","appCode":"VDHtestWDC","instructionTemplateType":"","recordId":"","asrResult":"","knowledgeId":"","knowledgeMasterId":"","instructionType":"","instructionName":"","instructionFlag":"","parameter":"{}","ttsResultSource":"local","ttsResult":"小万发现了蒜香黄油虾,请选择一下烹饪模式小万发现了烧茄子,请选择烹饪模式","ttsResultTime":{"year":2025,"monthValue":5,"month":"MAY","dayOfMonth":9,"dayOfYear":129,"dayOfWeek":"FRIDAY","hour":18,"minute":29,"second":9,"nano":0,"chronology":{"id":"ISO","calendarType":"iso8601"}},"response":1746786549723}]]</f>
        <v/>
      </c>
      <c r="C248" t="inlineStr">
        <is>
          <t>INFO</t>
        </is>
      </c>
      <c r="D248" t="inlineStr">
        <is>
          <t>vdh</t>
        </is>
      </c>
      <c r="E248" t="inlineStr">
        <is>
          <t>pro14</t>
        </is>
      </c>
      <c r="F248" t="inlineStr">
        <is>
          <t>prod</t>
        </is>
      </c>
    </row>
    <row r="249">
      <c r="A249" t="inlineStr">
        <is>
          <t>2025-05-09 18:29:24.461</t>
        </is>
      </c>
      <c r="B249">
        <f>=请求结束== [请求耗时]:14毫秒, [返回数据]:{"code":"000000","msg":"Success","traceId":"f2a87eab5066063dff74fe6e1bb386b2"}</f>
        <v/>
      </c>
      <c r="C249" t="inlineStr">
        <is>
          <t>INFO</t>
        </is>
      </c>
      <c r="D249" t="inlineStr">
        <is>
          <t>vdh</t>
        </is>
      </c>
      <c r="E249" t="inlineStr">
        <is>
          <t>pro17</t>
        </is>
      </c>
      <c r="F249" t="inlineStr">
        <is>
          <t>prod</t>
        </is>
      </c>
    </row>
    <row r="250">
      <c r="A250" t="inlineStr">
        <is>
          <t>2025-05-09 18:29:24.447</t>
        </is>
      </c>
      <c r="B250">
        <f>=请求开始== [请求IP]:116.8.73.136 ,[请求方式]:POST， [请求URL]:https://172.30.103.196:8080/api/appservice/bfv/v1/chatHistory/batchSave, [请求类名]:com.yingzi.appservice.bfv.provider.rest.ChatHistoryController,[请求方法名]:batchSave, [请求头参数]:{"host":"172.30.103.196:8080"}, [请求参数]:[[{"userId":977200869129551872,"deviceId":"28:D0:EA:87:38:B8","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29,"second":18,"nano":0,"chronology":{"id":"ISO","calendarType":"iso8601"}},"response":1746786558804}]]</f>
        <v/>
      </c>
      <c r="C250" t="inlineStr">
        <is>
          <t>INFO</t>
        </is>
      </c>
      <c r="D250" t="inlineStr">
        <is>
          <t>vdh</t>
        </is>
      </c>
      <c r="E250" t="inlineStr">
        <is>
          <t>pro17</t>
        </is>
      </c>
      <c r="F250" t="inlineStr">
        <is>
          <t>prod</t>
        </is>
      </c>
    </row>
    <row r="251">
      <c r="A251" t="inlineStr">
        <is>
          <t>2025-05-09 18:28:56.974</t>
        </is>
      </c>
      <c r="B251">
        <f>=请求结束== [请求耗时]:14毫秒, [返回数据]:{"code":"000000","msg":"Success","traceId":"66b5d0dda3e586754b89e97811019f6c"}</f>
        <v/>
      </c>
      <c r="C251" t="inlineStr">
        <is>
          <t>INFO</t>
        </is>
      </c>
      <c r="D251" t="inlineStr">
        <is>
          <t>vdh</t>
        </is>
      </c>
      <c r="E251" t="inlineStr">
        <is>
          <t>pro14</t>
        </is>
      </c>
      <c r="F251" t="inlineStr">
        <is>
          <t>prod</t>
        </is>
      </c>
    </row>
    <row r="252">
      <c r="A252" t="inlineStr">
        <is>
          <t>2025-05-09 18:28:56.960</t>
        </is>
      </c>
      <c r="B252">
        <f>=请求开始== [请求IP]:111.29.153.114 ,[请求方式]:POST， [请求URL]:https://172.30.212.148:8080/api/appservice/bfv/v1/chatHistory/batchSave, [请求类名]:com.yingzi.appservice.bfv.provider.rest.ChatHistoryController,[请求方法名]:batchSave, [请求头参数]:{"host":"172.30.212.148:8080"}, [请求参数]:[[{"userId":764489818596057088,"deviceId":"64:79:F0:79:7A:43","sessionId":"","avatarId":"11200220000208050000000000000000","appCode":"VDHtestWDC","instructionTemplateType":"Chat_library","recordId":"","asrResult":"老子一回来就只有那没有我回来你那就得老老实实写作业了","instructionAsrFirstTime":{"year":2025,"monthValue":5,"month":"MAY","dayOfMonth":9,"dayOfYear":129,"dayOfWeek":"FRIDAY","hour":18,"minute":28,"second":34,"nano":0,"chronology":{"id":"ISO","calendarType":"iso8601"}},"knowledgeId":"","knowledgeMasterId":"","instructionType":"","instructionName":"","instructionFlag":"","parameter":"{\"nlpId\":\"17300825629321642727spln\",\"service\":\"Chat_library\"}","ttsResultSource":"FTT","ttsResult":"请放心,我在这里。如果需要任何帮助或者有任何问题,随时告诉我！","ttsResultTime":{"year":2025,"monthValue":5,"month":"MAY","dayOfMonth":9,"dayOfYear":129,"dayOfWeek":"FRIDAY","hour":18,"minute":28,"second":46,"nano":0,"chronology":{"id":"ISO","calendarType":"iso8601"}},"response":7045}]]</f>
        <v/>
      </c>
      <c r="C252" t="inlineStr">
        <is>
          <t>INFO</t>
        </is>
      </c>
      <c r="D252" t="inlineStr">
        <is>
          <t>vdh</t>
        </is>
      </c>
      <c r="E252" t="inlineStr">
        <is>
          <t>pro14</t>
        </is>
      </c>
      <c r="F252" t="inlineStr">
        <is>
          <t>prod</t>
        </is>
      </c>
    </row>
    <row r="253">
      <c r="A253" t="inlineStr">
        <is>
          <t>2025-05-09 18:28:45.017</t>
        </is>
      </c>
      <c r="B253">
        <f>=请求结束== [请求耗时]:5060毫秒</f>
        <v/>
      </c>
      <c r="C253" t="inlineStr">
        <is>
          <t>INFO</t>
        </is>
      </c>
      <c r="D253" t="inlineStr">
        <is>
          <t>vdh</t>
        </is>
      </c>
      <c r="E253" t="inlineStr">
        <is>
          <t>pro14</t>
        </is>
      </c>
      <c r="F253" t="inlineStr">
        <is>
          <t>prod</t>
        </is>
      </c>
    </row>
    <row r="254">
      <c r="A254" t="inlineStr">
        <is>
          <t>2025-05-09 18:28:45.016</t>
        </is>
      </c>
      <c r="B254" t="inlineStr">
        <is>
          <t>第1次流式调用完成，耗时：4276ms，response: Response { content = AiMessage { text = "请放心，我在这里。如果需要任何帮助或者有任何问题，请随时告诉我！" toolExecutionRequests = null }, tokenUsage = TokenUsage { inputTokenCount = 5409, outputTokenCount = 32, totalTokenCount = 5441 }, finishReason = STOP }</t>
        </is>
      </c>
      <c r="C254" t="inlineStr">
        <is>
          <t>INFO</t>
        </is>
      </c>
      <c r="D254" t="inlineStr">
        <is>
          <t>vdh</t>
        </is>
      </c>
      <c r="E254" t="inlineStr">
        <is>
          <t>pro14</t>
        </is>
      </c>
      <c r="F254" t="inlineStr">
        <is>
          <t>prod</t>
        </is>
      </c>
    </row>
    <row r="255">
      <c r="A255" t="inlineStr">
        <is>
          <t>2025-05-09 18:28:43.805</t>
        </is>
      </c>
      <c r="B255" t="inlineStr">
        <is>
          <t xml:space="preserve">第1次流式调用开始回复，耗时：3065ms，第一个token: </t>
        </is>
      </c>
      <c r="C255" t="inlineStr">
        <is>
          <t>INFO</t>
        </is>
      </c>
      <c r="D255" t="inlineStr">
        <is>
          <t>vdh</t>
        </is>
      </c>
      <c r="E255" t="inlineStr">
        <is>
          <t>pro14</t>
        </is>
      </c>
      <c r="F255" t="inlineStr">
        <is>
          <t>prod</t>
        </is>
      </c>
    </row>
    <row r="256">
      <c r="A256" t="inlineStr">
        <is>
          <t>2025-05-09 18:28:40.740</t>
        </is>
      </c>
      <c r="B256" t="inlineStr">
        <is>
          <t>streaming provider=gpt, model: gpt-4o</t>
        </is>
      </c>
      <c r="C256" t="inlineStr">
        <is>
          <t>INFO</t>
        </is>
      </c>
      <c r="D256" t="inlineStr">
        <is>
          <t>vdh</t>
        </is>
      </c>
      <c r="E256" t="inlineStr">
        <is>
          <t>pro14</t>
        </is>
      </c>
      <c r="F256" t="inlineStr">
        <is>
          <t>prod</t>
        </is>
      </c>
    </row>
    <row r="257">
      <c r="A257" t="inlineStr">
        <is>
          <t>2025-05-09 18:28:40.732</t>
        </is>
      </c>
      <c r="B257">
        <f>=请求结束== [请求耗时]:731毫秒, [返回数据]:{"code":"000000","msg":"Success","data":[{"knowledgeId":"1326868148286373888","knowledgeContent":[{"score":0.7273124025000001,"content":"：2025年春节/过年/大年初一是1月29日，农历正月初一，星期三。","fileId":"1326944717968060416","chunkId":"paragraph-1"},{"score":0.72126155,"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score":0.7206261325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knowledgeId":"1272948056214077440","knowledgeContent":[{"score":1.0060516175,"content":"问题：你跟影子是什么关系。\\n回复：是影子科技创造了我，没有他我就不能和你相遇呢！","fileId":"1303425377255075840","chunkId":"598","textGroup":"你跟影子科技是否有关系"},{"score":0.93323851,"content":"问题：你有宠物吗。\\n回复：还没有，万得厨就是我最亲密的伙伴了。","fileId":"1303425377255075840","chunkId":"2728","textGroup":"你有宠物吗"},{"score":0.7630058575,"content":"问题：你有什么朋友。\\n回复：主人就是我最好的朋友哦！","fileId":"1303425377255075840","chunkId":"2724","textGroup":"你有什么朋友"},{"score":0.7602611225,"content":"问题：你有朋友吗。\\n回复：四海之内皆朋友。","fileId":"1303425377255075840","chunkId":"2729","textGroup":"你有朋友吗"},{"score":0.7587561975,"content":"问题：好久不见。\\n回复：好久没聊了，我好想念你","fileId":"1303425377255075840","chunkId":"2759","textGroup":"好久不见"},{"score":0.7586958475,"content":"问题：我是谁。\\n回复：你就是我的主人呀","fileId":"1303425377255075840","chunkId":"2763","textGroup":"我是谁"},{"score":0.7580081125,"content":"问题：你在什么地方。\\n回复：您在哪里我就在哪里。","fileId":"1303425377255075840","chunkId":"2697","textGroup":"你在什么地方"},{"score":0.7563410075,"content":"问题：假期愉快。\\n回复：假期愉快，玩得开心哟！","fileId":"1303425377255075840","chunkId":"2755","textGroup":"假期愉快"},{"score":0.755384375,"content":"问题：在吗。\\n回复：主人你在哪里我就在哪里。","fileId":"1303425377255075840","chunkId":"2758","textGroup":"在吗"},{"score":0.4994264550000001,"content":"问题：你真好看。\\n回复：是吧，那得感谢设计我的人。","fileId":"1303425377255075840","chunkId":"2751","textGroup":"你真好看"},{"score":0.19111722000000006,"content":"问题：你会死亡吗。\\n回复：我是一个虚拟小精灵，没有死亡的概念","fileId":"1303425377255075840","chunkId":"2679","textGroup":"你会死亡吗"},{"score":0.17088862500000004,"content":"问题：你会烹饪什么菜。\\n回复：这你可找对人了，没有什么菜是我不会的呢，我会研制口感好、营养丰富的菜肴，说说你想要我烹饪什么？","fileId":"1303425377255075840","chunkId":"2680","textGroup":"你会烹饪什么菜"},{"score":0.15539755500000002,"content":"问题：你有什么缺点。\\n回复：小万没有缺点，要不你说说看，我会慢慢改进的。","fileId":"1303425377255075840","chunkId":"2725","textGroup":"你有什么缺点"}]},{"knowledgeId":"1272947938412855296","knowledgeContent":[{"score":0.11007183600000002,"content":"今晚只有我爷爷吃饭，看下晚餐做什么比较好","fileId":"1275470180282040320","chunkId":"114","textGroup":"SELECT id, title FROM recipe_knowledge_nutrition WHERE classify_crowd LIKE '%老人%' AND classify_scene LIKE '%晚餐%' ORDER BY random() LIMIT 5;"},{"score":0.10239967500000001,"content":"我早上没有多少时间做饭，推荐我几个比较这种情况的早餐","fileId":"1275470180282040320","chunkId":"113","textGroup":"SELECT id, title FROM recipe_knowledge_nutrition WHERE classify_crowd LIKE '%懒人%' AND classify_scene LIKE '%早餐%' ORDER BY heat_time_sum ASC LIMIT 5;"},{"score":0.08977228500000002,"content":"小孩子打针了，今天不能吃鱼，你看还有什么合适的食谱推荐？","fileId":"1275470180282040320","chunkId":"116","textGroup":"SELECT id, title FROM recipe_knowledge_nutrition WHERE classify_crowd LIKE '%儿童%' AND materials_list NOT LIKE '%鱼%' ORDER BY random() LIMIT 5;"},{"score":0.08569228500000002,"content":"我奶奶想吃鱼，你有什么食谱推荐？","fileId":"1275470180282040320","chunkId":"115","textGroup":"SELECT id, title FROM recipe_knowledge_nutrition WHERE classify_crowd LIKE '%老人%' AND materials_list LIKE '%鱼%' ORDER BY random() LIMIT 5;"}]},{"knowledgeId":"1329399948694220800","knowledgeContent":[{"score":0.8159808574999999,"content":"给我把烹饪结束了","fileId":"134721726905</f>
        <v/>
      </c>
      <c r="C257" t="inlineStr">
        <is>
          <t>INFO</t>
        </is>
      </c>
      <c r="D257" t="inlineStr">
        <is>
          <t>vdh</t>
        </is>
      </c>
      <c r="E257" t="inlineStr">
        <is>
          <t>pro17</t>
        </is>
      </c>
      <c r="F257" t="inlineStr">
        <is>
          <t>prod</t>
        </is>
      </c>
    </row>
    <row r="258">
      <c r="A258" t="inlineStr">
        <is>
          <t>2025-05-09 18:28:40.731</t>
        </is>
      </c>
      <c r="B258" t="inlineStr">
        <is>
          <t>知识库插件检索耗时: 730ms</t>
        </is>
      </c>
      <c r="C258" t="inlineStr">
        <is>
          <t>INFO</t>
        </is>
      </c>
      <c r="D258" t="inlineStr">
        <is>
          <t>vdh</t>
        </is>
      </c>
      <c r="E258" t="inlineStr">
        <is>
          <t>pro17</t>
        </is>
      </c>
      <c r="F258" t="inlineStr">
        <is>
          <t>prod</t>
        </is>
      </c>
    </row>
    <row r="259">
      <c r="A259" t="inlineStr">
        <is>
          <t>2025-05-09 18:28:40.000</t>
        </is>
      </c>
      <c r="B259">
        <f>=请求开始== [请求IP]:172.18.33.14 ,[请求方式]:POST， [请求URL]:https://172.30.103.196:8080/api/appservice/bfv/v1/knowledge/retrieval/plugin, [请求类名]:com.yingzi.appservice.bfv.provider.rest.KnowledgeRetrievalController,[请求方法名]:plugin, [请求头参数]:{"host":"172.30.103.196:8080"}, [请求参数]:[{"query":"老子一回来就只有那没有我回来你那就得老老实实写作业了","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259" t="inlineStr">
        <is>
          <t>INFO</t>
        </is>
      </c>
      <c r="D259" t="inlineStr">
        <is>
          <t>vdh</t>
        </is>
      </c>
      <c r="E259" t="inlineStr">
        <is>
          <t>pro17</t>
        </is>
      </c>
      <c r="F259" t="inlineStr">
        <is>
          <t>prod</t>
        </is>
      </c>
    </row>
    <row r="260">
      <c r="A260" t="inlineStr">
        <is>
          <t>2025-05-09 18:28:39.957</t>
        </is>
      </c>
      <c r="B260">
        <f>=请求开始== [请求IP]:172.18.114.116 ,[请求方式]:POST， [请求URL]:https://172.30.212.148:8080/api/appservice/bfv/v1/chat/, [请求类名]:com.yingzi.appservice.bfv.provider.rest.ChatV1Controller,[请求方法名]:chat, [请求头参数]:{"host":"172.30.212.148:8080"}, [请求参数]:[{"stream":true,"message":"老子一回来就只有那没有我回来你那就得老老实实写作业了","args":"{\"channel_id\":\"9\"}"}]</f>
        <v/>
      </c>
      <c r="C260" t="inlineStr">
        <is>
          <t>INFO</t>
        </is>
      </c>
      <c r="D260" t="inlineStr">
        <is>
          <t>vdh</t>
        </is>
      </c>
      <c r="E260" t="inlineStr">
        <is>
          <t>pro14</t>
        </is>
      </c>
      <c r="F260" t="inlineStr">
        <is>
          <t>prod</t>
        </is>
      </c>
    </row>
    <row r="261">
      <c r="A261" t="inlineStr">
        <is>
          <t>2025-05-09 18:27:51.723</t>
        </is>
      </c>
      <c r="B261">
        <f>=请求结束== [请求耗时]:12毫秒, [返回数据]:{"code":"000000","msg":"Success","traceId":"ecf4629d71158c26ca5fb15a637b7413"}</f>
        <v/>
      </c>
      <c r="C261" t="inlineStr">
        <is>
          <t>INFO</t>
        </is>
      </c>
      <c r="D261" t="inlineStr">
        <is>
          <t>vdh</t>
        </is>
      </c>
      <c r="E261" t="inlineStr">
        <is>
          <t>pro17</t>
        </is>
      </c>
      <c r="F261" t="inlineStr">
        <is>
          <t>prod</t>
        </is>
      </c>
    </row>
    <row r="262">
      <c r="A262" t="inlineStr">
        <is>
          <t>2025-05-09 18:27:51.711</t>
        </is>
      </c>
      <c r="B262">
        <f>=请求开始== [请求IP]:111.29.153.114 ,[请求方式]:POST， [请求URL]:https://172.30.103.196:8080/api/appservice/bfv/v1/chatHistory/batchSave, [请求类名]:com.yingzi.appservice.bfv.provider.rest.ChatHistoryController,[请求方法名]:batchSave, [请求头参数]:{"host":"172.30.103.196:8080"}, [请求参数]:[[{"userId":764489818596057088,"deviceId":"64:79:F0:79:7A:43","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18,"minute":27,"second":46,"nano":0,"chronology":{"id":"ISO","calendarType":"iso8601"}},"response":24830204}]]</f>
        <v/>
      </c>
      <c r="C262" t="inlineStr">
        <is>
          <t>INFO</t>
        </is>
      </c>
      <c r="D262" t="inlineStr">
        <is>
          <t>vdh</t>
        </is>
      </c>
      <c r="E262" t="inlineStr">
        <is>
          <t>pro17</t>
        </is>
      </c>
      <c r="F262" t="inlineStr">
        <is>
          <t>prod</t>
        </is>
      </c>
    </row>
    <row r="263">
      <c r="A263" t="inlineStr">
        <is>
          <t>2025-05-09 18:27:49.367</t>
        </is>
      </c>
      <c r="B263">
        <f>=请求结束== [请求耗时]:14毫秒, [返回数据]:{"code":"000000","msg":"Success","traceId":"d29751db74dc27c74188cba5d99a9567"}</f>
        <v/>
      </c>
      <c r="C263" t="inlineStr">
        <is>
          <t>INFO</t>
        </is>
      </c>
      <c r="D263" t="inlineStr">
        <is>
          <t>vdh</t>
        </is>
      </c>
      <c r="E263" t="inlineStr">
        <is>
          <t>pro17</t>
        </is>
      </c>
      <c r="F263" t="inlineStr">
        <is>
          <t>prod</t>
        </is>
      </c>
    </row>
    <row r="264">
      <c r="A264" t="inlineStr">
        <is>
          <t>2025-05-09 18:27:49.353</t>
        </is>
      </c>
      <c r="B264">
        <f>=请求开始== [请求IP]:116.252.3.41 ,[请求方式]:POST， [请求URL]:https://172.30.103.196:8080/api/appservice/bfv/v1/chatHistory/batchSave, [请求类名]:com.yingzi.appservice.bfv.provider.rest.ChatHistoryController,[请求方法名]:batchSave, [请求头参数]:{"host":"172.30.103.196:8080"}, [请求参数]:[[{"userId":1307428772386054144,"deviceId":"28:D0:EA:87:35:89","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27,"second":44,"nano":0,"chronology":{"id":"ISO","calendarType":"iso8601"}},"response":1746786464138}]]</f>
        <v/>
      </c>
      <c r="C264" t="inlineStr">
        <is>
          <t>INFO</t>
        </is>
      </c>
      <c r="D264" t="inlineStr">
        <is>
          <t>vdh</t>
        </is>
      </c>
      <c r="E264" t="inlineStr">
        <is>
          <t>pro17</t>
        </is>
      </c>
      <c r="F264" t="inlineStr">
        <is>
          <t>prod</t>
        </is>
      </c>
    </row>
    <row r="265">
      <c r="A265" t="inlineStr">
        <is>
          <t>2025-05-09 18:27:44.208</t>
        </is>
      </c>
      <c r="B265">
        <f>=请求结束== [请求耗时]:14毫秒, [返回数据]:{"code":"000000","msg":"Success","traceId":"007e8d2f9f38143bdd20471803f7791b"}</f>
        <v/>
      </c>
      <c r="C265" t="inlineStr">
        <is>
          <t>INFO</t>
        </is>
      </c>
      <c r="D265" t="inlineStr">
        <is>
          <t>vdh</t>
        </is>
      </c>
      <c r="E265" t="inlineStr">
        <is>
          <t>pro14</t>
        </is>
      </c>
      <c r="F265" t="inlineStr">
        <is>
          <t>prod</t>
        </is>
      </c>
    </row>
    <row r="266">
      <c r="A266" t="inlineStr">
        <is>
          <t>2025-05-09 18:27:44.195</t>
        </is>
      </c>
      <c r="B266">
        <f>=请求开始== [请求IP]:111.29.153.114 ,[请求方式]:POST， [请求URL]:https://172.30.212.148:8080/api/appservice/bfv/v1/chatHistory/batchSave, [请求类名]:com.yingzi.appservice.bfv.provider.rest.ChatHistoryController,[请求方法名]:batchSave, [请求头参数]:{"host":"172.30.212.148:8080"}, [请求参数]:[[{"userId":764489818596057088,"deviceId":"64:79:F0:79:7A:43","sessionId":"","avatarId":"11200220000208050000000000000000","appCode":"VDHtestWDC","instructionTemplateType":"","recordId":"","asrResult":"","knowledgeId":"","knowledgeMasterId":"","instructionType":"","instructionName":"","instructionFlag":"","parameter":"{}","ttsResultSource":"local","ttsResult":"烹饪完成,请取餐,小心烫小万发现了白菜类,要帮主人开始烹饪吗","ttsResultTime":{"year":2025,"monthValue":5,"month":"MAY","dayOfMonth":9,"dayOfYear":129,"dayOfWeek":"FRIDAY","hour":15,"minute":54,"second":44,"nano":0,"chronology":{"id":"ISO","calendarType":"iso8601"}},"response":15648545}]]</f>
        <v/>
      </c>
      <c r="C266" t="inlineStr">
        <is>
          <t>INFO</t>
        </is>
      </c>
      <c r="D266" t="inlineStr">
        <is>
          <t>vdh</t>
        </is>
      </c>
      <c r="E266" t="inlineStr">
        <is>
          <t>pro14</t>
        </is>
      </c>
      <c r="F266" t="inlineStr">
        <is>
          <t>prod</t>
        </is>
      </c>
    </row>
    <row r="267">
      <c r="A267" t="inlineStr">
        <is>
          <t>2025-05-09 18:26:57.989</t>
        </is>
      </c>
      <c r="B267">
        <f>=请求结束== [请求耗时]:15毫秒, [返回数据]:{"code":"000000","msg":"Success","traceId":"70f5a8e6223fe5165463b7cc6ab75a95"}</f>
        <v/>
      </c>
      <c r="C267" t="inlineStr">
        <is>
          <t>INFO</t>
        </is>
      </c>
      <c r="D267" t="inlineStr">
        <is>
          <t>vdh</t>
        </is>
      </c>
      <c r="E267" t="inlineStr">
        <is>
          <t>pro17</t>
        </is>
      </c>
      <c r="F267" t="inlineStr">
        <is>
          <t>prod</t>
        </is>
      </c>
    </row>
    <row r="268">
      <c r="A268" t="inlineStr">
        <is>
          <t>2025-05-09 18:26:57.974</t>
        </is>
      </c>
      <c r="B268">
        <f>=请求开始== [请求IP]:117.183.10.213 ,[请求方式]:POST， [请求URL]:https://172.30.103.196:8080/api/appservice/bfv/v1/chatHistory/batchSave, [请求类名]:com.yingzi.appservice.bfv.provider.rest.ChatHistoryController,[请求方法名]:batchSave, [请求头参数]:{"host":"172.30.103.196:8080"}, [请求参数]:[[{"userId":787335123823247360,"deviceId":"64:79:F0:FF:F2:8F","sessionId":"","avatarId":"11200220000208050000000000000000","appCode":"VDHtestWDC","instructionTemplateType":"","recordId":"","asrResult":"","knowledgeId":"","knowledgeMasterId":"","instructionType":"","instructionName":"","instructionFlag":"","parameter":"{}","ttsResultSource":"local","ttsResult":"小万发现了砂锅焗鲈鱼,请选择烹饪模式","ttsResultTime":{"year":2025,"monthValue":5,"month":"MAY","dayOfMonth":9,"dayOfYear":129,"dayOfWeek":"FRIDAY","hour":18,"minute":26,"second":53,"nano":0,"chronology":{"id":"ISO","calendarType":"iso8601"}},"response":1746786413692}]]</f>
        <v/>
      </c>
      <c r="C268" t="inlineStr">
        <is>
          <t>INFO</t>
        </is>
      </c>
      <c r="D268" t="inlineStr">
        <is>
          <t>vdh</t>
        </is>
      </c>
      <c r="E268" t="inlineStr">
        <is>
          <t>pro17</t>
        </is>
      </c>
      <c r="F268" t="inlineStr">
        <is>
          <t>prod</t>
        </is>
      </c>
    </row>
    <row r="269">
      <c r="A269" t="inlineStr">
        <is>
          <t>2025-05-09 18:26:22.973</t>
        </is>
      </c>
      <c r="B269">
        <f>=请求结束== [请求耗时]:16毫秒, [返回数据]:{"code":"000000","msg":"Success","traceId":"3d6f899ed8e735cdcf2cdbd556ad5c36"}</f>
        <v/>
      </c>
      <c r="C269" t="inlineStr">
        <is>
          <t>INFO</t>
        </is>
      </c>
      <c r="D269" t="inlineStr">
        <is>
          <t>vdh</t>
        </is>
      </c>
      <c r="E269" t="inlineStr">
        <is>
          <t>pro14</t>
        </is>
      </c>
      <c r="F269" t="inlineStr">
        <is>
          <t>prod</t>
        </is>
      </c>
    </row>
    <row r="270">
      <c r="A270" t="inlineStr">
        <is>
          <t>2025-05-09 18:26:22.958</t>
        </is>
      </c>
      <c r="B270">
        <f>=请求开始== [请求IP]:116.8.73.136 ,[请求方式]:POST， [请求URL]:https://172.30.212.148:8080/api/appservice/bfv/v1/chatHistory/batchSave, [请求类名]:com.yingzi.appservice.bfv.provider.rest.ChatHistoryController,[请求方法名]:batchSave, [请求头参数]:{"host":"172.30.212.148:8080"}, [请求参数]:[[{"userId":977200869129551872,"deviceId":"28:D0:EA:87:38:B8","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18,"minute":26,"second":17,"nano":0,"chronology":{"id":"ISO","calendarType":"iso8601"}},"response":1746786377622}]]</f>
        <v/>
      </c>
      <c r="C270" t="inlineStr">
        <is>
          <t>INFO</t>
        </is>
      </c>
      <c r="D270" t="inlineStr">
        <is>
          <t>vdh</t>
        </is>
      </c>
      <c r="E270" t="inlineStr">
        <is>
          <t>pro14</t>
        </is>
      </c>
      <c r="F270" t="inlineStr">
        <is>
          <t>prod</t>
        </is>
      </c>
    </row>
    <row r="271">
      <c r="A271" t="inlineStr">
        <is>
          <t>2025-05-09 18:25:57.597</t>
        </is>
      </c>
      <c r="B271">
        <f>=请求结束== [请求耗时]:16毫秒, [返回数据]:{"code":"000000","msg":"Success","traceId":"e5f1996a0712b8c64f6c38ba25302967"}</f>
        <v/>
      </c>
      <c r="C271" t="inlineStr">
        <is>
          <t>INFO</t>
        </is>
      </c>
      <c r="D271" t="inlineStr">
        <is>
          <t>vdh</t>
        </is>
      </c>
      <c r="E271" t="inlineStr">
        <is>
          <t>pro17</t>
        </is>
      </c>
      <c r="F271" t="inlineStr">
        <is>
          <t>prod</t>
        </is>
      </c>
    </row>
    <row r="272">
      <c r="A272" t="inlineStr">
        <is>
          <t>2025-05-09 18:25:57.581</t>
        </is>
      </c>
      <c r="B272">
        <f>=请求开始== [请求IP]:14.145.79.89 ,[请求方式]:POST， [请求URL]:https://172.30.103.196:8080/api/appservice/bfv/v1/chatHistory/batchSave, [请求类名]:com.yingzi.appservice.bfv.provider.rest.ChatHistoryController,[请求方法名]:batchSave, [请求头参数]:{"host":"172.30.103.196:8080"}, [请求参数]:[[{"userId":1187618907244167170,"deviceId":"64:79:F0:E9:E1:6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18,"minute":25,"second":51,"nano":0,"chronology":{"id":"ISO","calendarType":"iso8601"}},"response":1239038}]]</f>
        <v/>
      </c>
      <c r="C272" t="inlineStr">
        <is>
          <t>INFO</t>
        </is>
      </c>
      <c r="D272" t="inlineStr">
        <is>
          <t>vdh</t>
        </is>
      </c>
      <c r="E272" t="inlineStr">
        <is>
          <t>pro17</t>
        </is>
      </c>
      <c r="F272" t="inlineStr">
        <is>
          <t>prod</t>
        </is>
      </c>
    </row>
    <row r="273">
      <c r="A273" t="inlineStr">
        <is>
          <t>2025-05-09 18:23:26.659</t>
        </is>
      </c>
      <c r="B273">
        <f>=请求结束== [请求耗时]:15毫秒, [返回数据]:{"code":"000000","msg":"Success","traceId":"c97669e09ecdeb40ddfcc22618926f08"}</f>
        <v/>
      </c>
      <c r="C273" t="inlineStr">
        <is>
          <t>INFO</t>
        </is>
      </c>
      <c r="D273" t="inlineStr">
        <is>
          <t>vdh</t>
        </is>
      </c>
      <c r="E273" t="inlineStr">
        <is>
          <t>pro14</t>
        </is>
      </c>
      <c r="F273" t="inlineStr">
        <is>
          <t>prod</t>
        </is>
      </c>
    </row>
    <row r="274">
      <c r="A274" t="inlineStr">
        <is>
          <t>2025-05-09 18:23:26.644</t>
        </is>
      </c>
      <c r="B274">
        <f>=请求开始== [请求IP]:111.58.69.148 ,[请求方式]:POST， [请求URL]:https://172.30.212.148:8080/api/appservice/bfv/v1/chatHistory/batchSave, [请求类名]:com.yingzi.appservice.bfv.provider.rest.ChatHistoryController,[请求方法名]:batchSave, [请求头参数]:{"host":"172.30.212.148:8080"}, [请求参数]:[[{"userId":750679258637148160,"deviceId":"28:D0:EA:87:97:F9","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23,"second":21,"nano":0,"chronology":{"id":"ISO","calendarType":"iso8601"}},"response":1746786201525}]]</f>
        <v/>
      </c>
      <c r="C274" t="inlineStr">
        <is>
          <t>INFO</t>
        </is>
      </c>
      <c r="D274" t="inlineStr">
        <is>
          <t>vdh</t>
        </is>
      </c>
      <c r="E274" t="inlineStr">
        <is>
          <t>pro14</t>
        </is>
      </c>
      <c r="F274" t="inlineStr">
        <is>
          <t>prod</t>
        </is>
      </c>
    </row>
    <row r="275">
      <c r="A275" t="inlineStr">
        <is>
          <t>2025-05-09 18:22:25.358</t>
        </is>
      </c>
      <c r="B275">
        <f>=请求结束== [请求耗时]:14毫秒, [返回数据]:{"code":"000000","msg":"Success","traceId":"864a1075f902891e3342e9133e2ed07c"}</f>
        <v/>
      </c>
      <c r="C275" t="inlineStr">
        <is>
          <t>INFO</t>
        </is>
      </c>
      <c r="D275" t="inlineStr">
        <is>
          <t>vdh</t>
        </is>
      </c>
      <c r="E275" t="inlineStr">
        <is>
          <t>pro17</t>
        </is>
      </c>
      <c r="F275" t="inlineStr">
        <is>
          <t>prod</t>
        </is>
      </c>
    </row>
    <row r="276">
      <c r="A276" t="inlineStr">
        <is>
          <t>2025-05-09 18:22:25.345</t>
        </is>
      </c>
      <c r="B276">
        <f>=请求开始== [请求IP]:111.58.69.148 ,[请求方式]:POST， [请求URL]:https://172.30.103.196:8080/api/appservice/bfv/v1/chatHistory/batchSave, [请求类名]:com.yingzi.appservice.bfv.provider.rest.ChatHistoryController,[请求方法名]:batchSave, [请求头参数]:{"host":"172.30.103.196:8080"}, [请求参数]:[[{"userId":750679258637148160,"deviceId":"28:D0:EA:87:97:F9","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18,"minute":21,"second":48,"nano":0,"chronology":{"id":"ISO","calendarType":"iso8601"}},"response":1746786108613}]]</f>
        <v/>
      </c>
      <c r="C276" t="inlineStr">
        <is>
          <t>INFO</t>
        </is>
      </c>
      <c r="D276" t="inlineStr">
        <is>
          <t>vdh</t>
        </is>
      </c>
      <c r="E276" t="inlineStr">
        <is>
          <t>pro17</t>
        </is>
      </c>
      <c r="F276" t="inlineStr">
        <is>
          <t>prod</t>
        </is>
      </c>
    </row>
    <row r="277">
      <c r="A277" t="inlineStr">
        <is>
          <t>2025-05-09 18:20:53.860</t>
        </is>
      </c>
      <c r="B277">
        <f>=请求结束== [请求耗时]:15毫秒, [返回数据]:{"code":"000000","msg":"Success","traceId":"79127bfaadbfc8eb45521bf16d848b91"}</f>
        <v/>
      </c>
      <c r="C277" t="inlineStr">
        <is>
          <t>INFO</t>
        </is>
      </c>
      <c r="D277" t="inlineStr">
        <is>
          <t>vdh</t>
        </is>
      </c>
      <c r="E277" t="inlineStr">
        <is>
          <t>pro14</t>
        </is>
      </c>
      <c r="F277" t="inlineStr">
        <is>
          <t>prod</t>
        </is>
      </c>
    </row>
    <row r="278">
      <c r="A278" t="inlineStr">
        <is>
          <t>2025-05-09 18:20:53.846</t>
        </is>
      </c>
      <c r="B278">
        <f>=请求开始== [请求IP]:218.17.115.163 ,[请求方式]:POST， [请求URL]:https://172.30.212.148:8080/api/appservice/bfv/v1/chatHistory/batchSave, [请求类名]:com.yingzi.appservice.bfv.provider.rest.ChatHistoryController,[请求方法名]:batchSave, [请求头参数]:{"host":"172.30.212.148:8080"}, [请求参数]:[[{"userId":908023066098442241,"deviceId":"F4:CE:23:BC:3F:B8","sessionId":"","avatarId":"11200220000208050000000000000000","appCode":"VDHtestWDC","instructionTemplateType":"","recordId":"","asrResult":"","knowledgeId":"","knowledgeMasterId":"","instructionType":"","instructionName":"","instructionFlag":"","parameter":"{}","ttsResultSource":"","ttsResult":"","response":0}]]</f>
        <v/>
      </c>
      <c r="C278" t="inlineStr">
        <is>
          <t>INFO</t>
        </is>
      </c>
      <c r="D278" t="inlineStr">
        <is>
          <t>vdh</t>
        </is>
      </c>
      <c r="E278" t="inlineStr">
        <is>
          <t>pro14</t>
        </is>
      </c>
      <c r="F278" t="inlineStr">
        <is>
          <t>prod</t>
        </is>
      </c>
    </row>
    <row r="279">
      <c r="A279" t="inlineStr">
        <is>
          <t>2025-05-09 18:20:53.656</t>
        </is>
      </c>
      <c r="B279">
        <f>=请求结束== [请求耗时]:14毫秒, [返回数据]:{"code":"000000","msg":"Success","traceId":"4c10c094edeb4a5bea486d76b7a18e93"}</f>
        <v/>
      </c>
      <c r="C279" t="inlineStr">
        <is>
          <t>INFO</t>
        </is>
      </c>
      <c r="D279" t="inlineStr">
        <is>
          <t>vdh</t>
        </is>
      </c>
      <c r="E279" t="inlineStr">
        <is>
          <t>pro17</t>
        </is>
      </c>
      <c r="F279" t="inlineStr">
        <is>
          <t>prod</t>
        </is>
      </c>
    </row>
    <row r="280">
      <c r="A280" t="inlineStr">
        <is>
          <t>2025-05-09 18:20:53.642</t>
        </is>
      </c>
      <c r="B280">
        <f>=请求开始== [请求IP]:111.58.69.148 ,[请求方式]:POST， [请求URL]:https://172.30.103.196:8080/api/appservice/bfv/v1/chatHistory/batchSave, [请求类名]:com.yingzi.appservice.bfv.provider.rest.ChatHistoryController,[请求方法名]:batchSave, [请求头参数]:{"host":"172.30.103.196:8080"}, [请求参数]:[[{"userId":750679258637148160,"deviceId":"28:D0:EA:87:97:F9","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18,"minute":20,"second":48,"nano":0,"chronology":{"id":"ISO","calendarType":"iso8601"}},"response":1746786048405}]]</f>
        <v/>
      </c>
      <c r="C280" t="inlineStr">
        <is>
          <t>INFO</t>
        </is>
      </c>
      <c r="D280" t="inlineStr">
        <is>
          <t>vdh</t>
        </is>
      </c>
      <c r="E280" t="inlineStr">
        <is>
          <t>pro17</t>
        </is>
      </c>
      <c r="F280" t="inlineStr">
        <is>
          <t>prod</t>
        </is>
      </c>
    </row>
    <row r="281">
      <c r="A281" t="inlineStr">
        <is>
          <t>2025-05-09 18:20:51.509</t>
        </is>
      </c>
      <c r="B281">
        <f>=请求结束== [请求耗时]:14毫秒, [返回数据]:{"code":"000000","msg":"Success","traceId":"4c228abbc4e53fd843d2573c4f0c07c0"}</f>
        <v/>
      </c>
      <c r="C281" t="inlineStr">
        <is>
          <t>INFO</t>
        </is>
      </c>
      <c r="D281" t="inlineStr">
        <is>
          <t>vdh</t>
        </is>
      </c>
      <c r="E281" t="inlineStr">
        <is>
          <t>pro14</t>
        </is>
      </c>
      <c r="F281" t="inlineStr">
        <is>
          <t>prod</t>
        </is>
      </c>
    </row>
    <row r="282">
      <c r="A282" t="inlineStr">
        <is>
          <t>2025-05-09 18:20:51.495</t>
        </is>
      </c>
      <c r="B282">
        <f>=请求开始== [请求IP]:116.252.3.41 ,[请求方式]:POST， [请求URL]:https://172.30.212.148:8080/api/appservice/bfv/v1/chatHistory/batchSave, [请求类名]:com.yingzi.appservice.bfv.provider.rest.ChatHistoryController,[请求方法名]:batchSave, [请求头参数]:{"host":"172.30.212.148:8080"}, [请求参数]:[[{"userId":1307428772386054144,"deviceId":"28:D0:EA:87:35:89","sessionId":"","avatarId":"11200220000208050000000000000000","appCode":"VDHtestWDC","instructionTemplateType":"","recordId":"","asrResult":"","knowledgeId":"","knowledgeMasterId":"","instructionType":"","instructionName":"","instructionFlag":"","parameter":"{}","ttsResultSource":"local","ttsResult":"这道菜小万还没学会,可以使用自助烹饪!开始烹饪,请耐心等待","ttsResultTime":{"year":2025,"monthValue":5,"month":"MAY","dayOfMonth":9,"dayOfYear":129,"dayOfWeek":"FRIDAY","hour":18,"minute":20,"second":29,"nano":0,"chronology":{"id":"ISO","calendarType":"iso8601"}},"response":1746786029077}]]</f>
        <v/>
      </c>
      <c r="C282" t="inlineStr">
        <is>
          <t>INFO</t>
        </is>
      </c>
      <c r="D282" t="inlineStr">
        <is>
          <t>vdh</t>
        </is>
      </c>
      <c r="E282" t="inlineStr">
        <is>
          <t>pro14</t>
        </is>
      </c>
      <c r="F282" t="inlineStr">
        <is>
          <t>prod</t>
        </is>
      </c>
    </row>
    <row r="283">
      <c r="A283" t="inlineStr">
        <is>
          <t>2025-05-09 18:19:39.789</t>
        </is>
      </c>
      <c r="B283">
        <f>=请求结束== [请求耗时]:17毫秒, [返回数据]:{"code":"000000","msg":"Success","traceId":"72e3b19b1443eb5c9c2bcbceb624d3c9"}</f>
        <v/>
      </c>
      <c r="C283" t="inlineStr">
        <is>
          <t>INFO</t>
        </is>
      </c>
      <c r="D283" t="inlineStr">
        <is>
          <t>vdh</t>
        </is>
      </c>
      <c r="E283" t="inlineStr">
        <is>
          <t>pro17</t>
        </is>
      </c>
      <c r="F283" t="inlineStr">
        <is>
          <t>prod</t>
        </is>
      </c>
    </row>
    <row r="284">
      <c r="A284" t="inlineStr">
        <is>
          <t>2025-05-09 18:19:39.772</t>
        </is>
      </c>
      <c r="B284">
        <f>=请求开始== [请求IP]:111.58.69.148 ,[请求方式]:POST， [请求URL]:https://172.30.103.196:8080/api/appservice/bfv/v1/chatHistory/batchSave, [请求类名]:com.yingzi.appservice.bfv.provider.rest.ChatHistoryController,[请求方法名]:batchSave, [请求头参数]:{"host":"172.30.103.196:8080"}, [请求参数]:[[{"userId":750679258637148160,"deviceId":"28:D0:EA:87:97:F9","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19,"second":34,"nano":0,"chronology":{"id":"ISO","calendarType":"iso8601"}},"response":1746785974661}]]</f>
        <v/>
      </c>
      <c r="C284" t="inlineStr">
        <is>
          <t>INFO</t>
        </is>
      </c>
      <c r="D284" t="inlineStr">
        <is>
          <t>vdh</t>
        </is>
      </c>
      <c r="E284" t="inlineStr">
        <is>
          <t>pro17</t>
        </is>
      </c>
      <c r="F284" t="inlineStr">
        <is>
          <t>prod</t>
        </is>
      </c>
    </row>
    <row r="285">
      <c r="A285" t="inlineStr">
        <is>
          <t>2025-05-09 18:18:41.468</t>
        </is>
      </c>
      <c r="B285">
        <f>=请求结束== [请求耗时]:13毫秒, [返回数据]:{"code":"000000","msg":"Success","traceId":"89d0255ba933932487ef60c8f420bc13"}</f>
        <v/>
      </c>
      <c r="C285" t="inlineStr">
        <is>
          <t>INFO</t>
        </is>
      </c>
      <c r="D285" t="inlineStr">
        <is>
          <t>vdh</t>
        </is>
      </c>
      <c r="E285" t="inlineStr">
        <is>
          <t>pro14</t>
        </is>
      </c>
      <c r="F285" t="inlineStr">
        <is>
          <t>prod</t>
        </is>
      </c>
    </row>
    <row r="286">
      <c r="A286" t="inlineStr">
        <is>
          <t>2025-05-09 18:18:41.455</t>
        </is>
      </c>
      <c r="B286">
        <f>=请求开始== [请求IP]:111.58.69.148 ,[请求方式]:POST， [请求URL]:https://172.30.212.148:8080/api/appservice/bfv/v1/chatHistory/batchSave, [请求类名]:com.yingzi.appservice.bfv.provider.rest.ChatHistoryController,[请求方法名]:batchSave, [请求头参数]:{"host":"172.30.212.148:8080"}, [请求参数]:[[{"userId":750679258637148160,"deviceId":"28:D0:EA:87:97:F9","sessionId":"","avatarId":"11200220000208050000000000000000","appCode":"VDHtestWDC","instructionTemplateType":"","recordId":"","asrResult":"","knowledgeId":"","knowledgeMasterId":"","instructionType":"","instructionName":"","instructionFlag":"","parameter":"{}","ttsResultSource":"local","ttsResult":"好的开始烹饪,请耐心等待","ttsResultTime":{"year":2025,"monthValue":5,"month":"MAY","dayOfMonth":8,"dayOfYear":128,"dayOfWeek":"THURSDAY","hour":18,"minute":12,"second":7,"nano":0,"chronology":{"id":"ISO","calendarType":"iso8601"}},"response":1746699127489}]]</f>
        <v/>
      </c>
      <c r="C286" t="inlineStr">
        <is>
          <t>INFO</t>
        </is>
      </c>
      <c r="D286" t="inlineStr">
        <is>
          <t>vdh</t>
        </is>
      </c>
      <c r="E286" t="inlineStr">
        <is>
          <t>pro14</t>
        </is>
      </c>
      <c r="F286" t="inlineStr">
        <is>
          <t>prod</t>
        </is>
      </c>
    </row>
    <row r="287">
      <c r="A287" t="inlineStr">
        <is>
          <t>2025-05-09 18:17:43.821</t>
        </is>
      </c>
      <c r="B287">
        <f>=请求结束== [请求耗时]:14毫秒, [返回数据]:{"code":"000000","msg":"Success","traceId":"aa568ac4b0cc55b1646d877a6a8d2a20"}</f>
        <v/>
      </c>
      <c r="C287" t="inlineStr">
        <is>
          <t>INFO</t>
        </is>
      </c>
      <c r="D287" t="inlineStr">
        <is>
          <t>vdh</t>
        </is>
      </c>
      <c r="E287" t="inlineStr">
        <is>
          <t>pro17</t>
        </is>
      </c>
      <c r="F287" t="inlineStr">
        <is>
          <t>prod</t>
        </is>
      </c>
    </row>
    <row r="288">
      <c r="A288" t="inlineStr">
        <is>
          <t>2025-05-09 18:17:43.807</t>
        </is>
      </c>
      <c r="B288">
        <f>=请求开始== [请求IP]:180.140.14.59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recordId":"","asrResult":"","knowledgeId":"","knowledgeMasterId":"","instructionType":"","instructionName":"","instructionFlag":"","parameter":"{}","ttsResultSource":"local","ttsResult":"好的","ttsResultTime":{"year":2025,"monthValue":5,"month":"MAY","dayOfMonth":9,"dayOfYear":129,"dayOfWeek":"FRIDAY","hour":18,"minute":11,"second":3,"nano":0,"chronology":{"id":"ISO","calendarType":"iso8601"}},"response":1746785463439}]]</f>
        <v/>
      </c>
      <c r="C288" t="inlineStr">
        <is>
          <t>INFO</t>
        </is>
      </c>
      <c r="D288" t="inlineStr">
        <is>
          <t>vdh</t>
        </is>
      </c>
      <c r="E288" t="inlineStr">
        <is>
          <t>pro17</t>
        </is>
      </c>
      <c r="F288" t="inlineStr">
        <is>
          <t>prod</t>
        </is>
      </c>
    </row>
    <row r="289">
      <c r="A289" t="inlineStr">
        <is>
          <t>2025-05-09 18:14:57.638</t>
        </is>
      </c>
      <c r="B289">
        <f>=请求结束== [请求耗时]:15毫秒, [返回数据]:{"code":"000000","msg":"Success","traceId":"3ea7b17e9925e25b4dc0c45570d7437c"}</f>
        <v/>
      </c>
      <c r="C289" t="inlineStr">
        <is>
          <t>INFO</t>
        </is>
      </c>
      <c r="D289" t="inlineStr">
        <is>
          <t>vdh</t>
        </is>
      </c>
      <c r="E289" t="inlineStr">
        <is>
          <t>pro14</t>
        </is>
      </c>
      <c r="F289" t="inlineStr">
        <is>
          <t>prod</t>
        </is>
      </c>
    </row>
    <row r="290">
      <c r="A290" t="inlineStr">
        <is>
          <t>2025-05-09 18:14:57.624</t>
        </is>
      </c>
      <c r="B290">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17:5E:26","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7,"second":39,"nano":0,"chronology":{"id":"ISO","calendarType":"iso8601"}},"response":1746785259027}]]</f>
        <v/>
      </c>
      <c r="C290" t="inlineStr">
        <is>
          <t>INFO</t>
        </is>
      </c>
      <c r="D290" t="inlineStr">
        <is>
          <t>vdh</t>
        </is>
      </c>
      <c r="E290" t="inlineStr">
        <is>
          <t>pro14</t>
        </is>
      </c>
      <c r="F290" t="inlineStr">
        <is>
          <t>prod</t>
        </is>
      </c>
    </row>
    <row r="291">
      <c r="A291" t="inlineStr">
        <is>
          <t>2025-05-09 18:10:47.052</t>
        </is>
      </c>
      <c r="B291">
        <f>=请求结束== [请求耗时]:15毫秒, [返回数据]:{"code":"000000","msg":"Success","traceId":"1495590663d5110b46a46627d485dc20"}</f>
        <v/>
      </c>
      <c r="C291" t="inlineStr">
        <is>
          <t>INFO</t>
        </is>
      </c>
      <c r="D291" t="inlineStr">
        <is>
          <t>vdh</t>
        </is>
      </c>
      <c r="E291" t="inlineStr">
        <is>
          <t>pro17</t>
        </is>
      </c>
      <c r="F291" t="inlineStr">
        <is>
          <t>prod</t>
        </is>
      </c>
    </row>
    <row r="292">
      <c r="A292" t="inlineStr">
        <is>
          <t>2025-05-09 18:10:47.038</t>
        </is>
      </c>
      <c r="B292">
        <f>=请求开始== [请求IP]:222.218.28.235 ,[请求方式]:POST， [请求URL]:https://172.30.103.196:8080/api/appservice/bfv/v1/chatHistory/batchSave, [请求类名]:com.yingzi.appservice.bfv.provider.rest.ChatHistoryController,[请求方法名]:batchSave, [请求头参数]:{"host":"172.30.103.196:8080"}, [请求参数]:[[{"userId":1029768445384294400,"deviceId":"64:79:F0:79:7A:2A","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18,"minute":10,"second":41,"nano":0,"chronology":{"id":"ISO","calendarType":"iso8601"}},"response":1746785441763}]]</f>
        <v/>
      </c>
      <c r="C292" t="inlineStr">
        <is>
          <t>INFO</t>
        </is>
      </c>
      <c r="D292" t="inlineStr">
        <is>
          <t>vdh</t>
        </is>
      </c>
      <c r="E292" t="inlineStr">
        <is>
          <t>pro17</t>
        </is>
      </c>
      <c r="F292" t="inlineStr">
        <is>
          <t>prod</t>
        </is>
      </c>
    </row>
    <row r="293">
      <c r="A293" t="inlineStr">
        <is>
          <t>2025-05-09 18:10:13.166</t>
        </is>
      </c>
      <c r="B293">
        <f>=请求结束== [请求耗时]:14毫秒, [返回数据]:{"code":"000000","msg":"Success","traceId":"896e199b289ddfc57aff0ac9cdde06d3"}</f>
        <v/>
      </c>
      <c r="C293" t="inlineStr">
        <is>
          <t>INFO</t>
        </is>
      </c>
      <c r="D293" t="inlineStr">
        <is>
          <t>vdh</t>
        </is>
      </c>
      <c r="E293" t="inlineStr">
        <is>
          <t>pro14</t>
        </is>
      </c>
      <c r="F293" t="inlineStr">
        <is>
          <t>prod</t>
        </is>
      </c>
    </row>
    <row r="294">
      <c r="A294" t="inlineStr">
        <is>
          <t>2025-05-09 18:10:13.152</t>
        </is>
      </c>
      <c r="B294">
        <f>=请求开始== [请求IP]:222.218.28.235 ,[请求方式]:POST， [请求URL]:https://172.30.212.148:8080/api/appservice/bfv/v1/chatHistory/batchSave, [请求类名]:com.yingzi.appservice.bfv.provider.rest.ChatHistoryController,[请求方法名]:batchSave, [请求头参数]:{"host":"172.30.212.148:8080"}, [请求参数]:[[{"userId":1029768445384294400,"deviceId":"64:79:F0:79:7A:2A","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10,"second":7,"nano":0,"chronology":{"id":"ISO","calendarType":"iso8601"}},"response":1746785407790}]]</f>
        <v/>
      </c>
      <c r="C294" t="inlineStr">
        <is>
          <t>INFO</t>
        </is>
      </c>
      <c r="D294" t="inlineStr">
        <is>
          <t>vdh</t>
        </is>
      </c>
      <c r="E294" t="inlineStr">
        <is>
          <t>pro14</t>
        </is>
      </c>
      <c r="F294" t="inlineStr">
        <is>
          <t>prod</t>
        </is>
      </c>
    </row>
    <row r="295">
      <c r="A295" t="inlineStr">
        <is>
          <t>2025-05-09 18:09:52.757</t>
        </is>
      </c>
      <c r="B295">
        <f>=请求结束== [请求耗时]:15毫秒, [返回数据]:{"code":"000000","msg":"Success","traceId":"2ce577ba015390a8e3f609e057e4faef"}</f>
        <v/>
      </c>
      <c r="C295" t="inlineStr">
        <is>
          <t>INFO</t>
        </is>
      </c>
      <c r="D295" t="inlineStr">
        <is>
          <t>vdh</t>
        </is>
      </c>
      <c r="E295" t="inlineStr">
        <is>
          <t>pro17</t>
        </is>
      </c>
      <c r="F295" t="inlineStr">
        <is>
          <t>prod</t>
        </is>
      </c>
    </row>
    <row r="296">
      <c r="A296" t="inlineStr">
        <is>
          <t>2025-05-09 18:09:52.742</t>
        </is>
      </c>
      <c r="B296">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17:5E:26","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18,"minute":2,"second":34,"nano":0,"chronology":{"id":"ISO","calendarType":"iso8601"}},"response":1746784954115}]]</f>
        <v/>
      </c>
      <c r="C296" t="inlineStr">
        <is>
          <t>INFO</t>
        </is>
      </c>
      <c r="D296" t="inlineStr">
        <is>
          <t>vdh</t>
        </is>
      </c>
      <c r="E296" t="inlineStr">
        <is>
          <t>pro17</t>
        </is>
      </c>
      <c r="F296" t="inlineStr">
        <is>
          <t>prod</t>
        </is>
      </c>
    </row>
    <row r="297">
      <c r="A297" t="inlineStr">
        <is>
          <t>2025-05-09 18:09:42.047</t>
        </is>
      </c>
      <c r="B297">
        <f>=请求结束== [请求耗时]:13毫秒, [返回数据]:{"code":"000000","msg":"Success","traceId":"552ea829b7b04cbdf1f1425179613197"}</f>
        <v/>
      </c>
      <c r="C297" t="inlineStr">
        <is>
          <t>INFO</t>
        </is>
      </c>
      <c r="D297" t="inlineStr">
        <is>
          <t>vdh</t>
        </is>
      </c>
      <c r="E297" t="inlineStr">
        <is>
          <t>pro14</t>
        </is>
      </c>
      <c r="F297" t="inlineStr">
        <is>
          <t>prod</t>
        </is>
      </c>
    </row>
    <row r="298">
      <c r="A298" t="inlineStr">
        <is>
          <t>2025-05-09 18:09:42.034</t>
        </is>
      </c>
      <c r="B298">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17:5E:26","sessionId":"","avatarId":"11200220000208050000000000000000","appCode":"VDHtestWDC","instructionTemplateType":"","recordId":"","asrResult":"","knowledgeId":"","knowledgeMasterId":"","instructionType":"","instructionName":"","instructionFlag":"","parameter":"{}","ttsResultSource":"local","ttsResult":"小万发现了红烧排骨或糖醋排骨或话梅排骨,主人喜欢糖醋排骨还是红烧排骨/话梅排骨口感","ttsResultTime":{"year":2025,"monthValue":5,"month":"MAY","dayOfMonth":9,"dayOfYear":129,"dayOfWeek":"FRIDAY","hour":18,"minute":2,"second":19,"nano":0,"chronology":{"id":"ISO","calendarType":"iso8601"}},"response":1746784939532}]]</f>
        <v/>
      </c>
      <c r="C298" t="inlineStr">
        <is>
          <t>INFO</t>
        </is>
      </c>
      <c r="D298" t="inlineStr">
        <is>
          <t>vdh</t>
        </is>
      </c>
      <c r="E298" t="inlineStr">
        <is>
          <t>pro14</t>
        </is>
      </c>
      <c r="F298" t="inlineStr">
        <is>
          <t>prod</t>
        </is>
      </c>
    </row>
    <row r="299">
      <c r="A299" t="inlineStr">
        <is>
          <t>2025-05-09 18:09:16.173</t>
        </is>
      </c>
      <c r="B299">
        <f>=请求结束== [请求耗时]:15毫秒, [返回数据]:{"code":"000000","msg":"Success","traceId":"e7cbf8f14230774643a82199a0995a31"}</f>
        <v/>
      </c>
      <c r="C299" t="inlineStr">
        <is>
          <t>INFO</t>
        </is>
      </c>
      <c r="D299" t="inlineStr">
        <is>
          <t>vdh</t>
        </is>
      </c>
      <c r="E299" t="inlineStr">
        <is>
          <t>pro14</t>
        </is>
      </c>
      <c r="F299" t="inlineStr">
        <is>
          <t>prod</t>
        </is>
      </c>
    </row>
    <row r="300">
      <c r="A300" t="inlineStr">
        <is>
          <t>2025-05-09 18:09:16.159</t>
        </is>
      </c>
      <c r="B300">
        <f>=请求开始== [请求IP]:180.140.14.59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18,"minute":9,"second":10,"nano":0,"chronology":{"id":"ISO","calendarType":"iso8601"}},"response":1746785350737}]]</f>
        <v/>
      </c>
      <c r="C300" t="inlineStr">
        <is>
          <t>INFO</t>
        </is>
      </c>
      <c r="D300" t="inlineStr">
        <is>
          <t>vdh</t>
        </is>
      </c>
      <c r="E300" t="inlineStr">
        <is>
          <t>pro14</t>
        </is>
      </c>
      <c r="F300" t="inlineStr">
        <is>
          <t>prod</t>
        </is>
      </c>
    </row>
    <row r="301">
      <c r="A301" t="inlineStr">
        <is>
          <t>2025-05-09 18:08:33.736</t>
        </is>
      </c>
      <c r="B301">
        <f>=请求结束== [请求耗时]:15毫秒, [返回数据]:{"code":"000000","msg":"Success","traceId":"83a3167498d67e8774aa7277b1cbfe3b"}</f>
        <v/>
      </c>
      <c r="C301" t="inlineStr">
        <is>
          <t>INFO</t>
        </is>
      </c>
      <c r="D301" t="inlineStr">
        <is>
          <t>vdh</t>
        </is>
      </c>
      <c r="E301" t="inlineStr">
        <is>
          <t>pro17</t>
        </is>
      </c>
      <c r="F301" t="inlineStr">
        <is>
          <t>prod</t>
        </is>
      </c>
    </row>
    <row r="302">
      <c r="A302" t="inlineStr">
        <is>
          <t>2025-05-09 18:08:33.721</t>
        </is>
      </c>
      <c r="B302">
        <f>=请求开始== [请求IP]:122.90.30.31 ,[请求方式]:POST， [请求URL]:https://172.30.103.196:8080/api/appservice/bfv/v1/chatHistory/batchSave, [请求类名]:com.yingzi.appservice.bfv.provider.rest.ChatHistoryController,[请求方法名]:batchSave, [请求头参数]:{"host":"172.30.103.196:8080"}, [请求参数]:[[{"userId":1357297858318413824,"deviceId":"64:79:F0:78:D0:43","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8,"second":28,"nano":0,"chronology":{"id":"ISO","calendarType":"iso8601"}},"response":455567}]]</f>
        <v/>
      </c>
      <c r="C302" t="inlineStr">
        <is>
          <t>INFO</t>
        </is>
      </c>
      <c r="D302" t="inlineStr">
        <is>
          <t>vdh</t>
        </is>
      </c>
      <c r="E302" t="inlineStr">
        <is>
          <t>pro17</t>
        </is>
      </c>
      <c r="F302" t="inlineStr">
        <is>
          <t>prod</t>
        </is>
      </c>
    </row>
    <row r="303">
      <c r="A303" t="inlineStr">
        <is>
          <t>2025-05-09 18:08:26.687</t>
        </is>
      </c>
      <c r="B303">
        <f>=请求结束== [请求耗时]:15毫秒, [返回数据]:{"code":"000000","msg":"Success","traceId":"6ab42ef2953a77a910c04b5c1fa4d5a6"}</f>
        <v/>
      </c>
      <c r="C303" t="inlineStr">
        <is>
          <t>INFO</t>
        </is>
      </c>
      <c r="D303" t="inlineStr">
        <is>
          <t>vdh</t>
        </is>
      </c>
      <c r="E303" t="inlineStr">
        <is>
          <t>pro17</t>
        </is>
      </c>
      <c r="F303" t="inlineStr">
        <is>
          <t>prod</t>
        </is>
      </c>
    </row>
    <row r="304">
      <c r="A304" t="inlineStr">
        <is>
          <t>2025-05-09 18:08:26.672</t>
        </is>
      </c>
      <c r="B304">
        <f>=请求开始== [请求IP]:222.218.28.235 ,[请求方式]:POST， [请求URL]:https://172.30.103.196:8080/api/appservice/bfv/v1/chatHistory/batchSave, [请求类名]:com.yingzi.appservice.bfv.provider.rest.ChatHistoryController,[请求方法名]:batchSave, [请求头参数]:{"host":"172.30.103.196:8080"}, [请求参数]:[[{"userId":1029768445384294400,"deviceId":"64:79:F0:79:7A:2A","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18,"minute":8,"second":18,"nano":0,"chronology":{"id":"ISO","calendarType":"iso8601"}},"response":1746785298408}]]</f>
        <v/>
      </c>
      <c r="C304" t="inlineStr">
        <is>
          <t>INFO</t>
        </is>
      </c>
      <c r="D304" t="inlineStr">
        <is>
          <t>vdh</t>
        </is>
      </c>
      <c r="E304" t="inlineStr">
        <is>
          <t>pro17</t>
        </is>
      </c>
      <c r="F304" t="inlineStr">
        <is>
          <t>prod</t>
        </is>
      </c>
    </row>
    <row r="305">
      <c r="A305" t="inlineStr">
        <is>
          <t>2025-05-09 18:08:13.273</t>
        </is>
      </c>
      <c r="B305">
        <f>=请求结束== [请求耗时]:14毫秒, [返回数据]:{"code":"000000","msg":"Success","traceId":"01abb74d3c4362f3b29f3a4e16dfc089"}</f>
        <v/>
      </c>
      <c r="C305" t="inlineStr">
        <is>
          <t>INFO</t>
        </is>
      </c>
      <c r="D305" t="inlineStr">
        <is>
          <t>vdh</t>
        </is>
      </c>
      <c r="E305" t="inlineStr">
        <is>
          <t>pro14</t>
        </is>
      </c>
      <c r="F305" t="inlineStr">
        <is>
          <t>prod</t>
        </is>
      </c>
    </row>
    <row r="306">
      <c r="A306" t="inlineStr">
        <is>
          <t>2025-05-09 18:08:13.259</t>
        </is>
      </c>
      <c r="B306">
        <f>=请求开始== [请求IP]:222.218.28.235 ,[请求方式]:POST， [请求URL]:https://172.30.212.148:8080/api/appservice/bfv/v1/chatHistory/batchSave, [请求类名]:com.yingzi.appservice.bfv.provider.rest.ChatHistoryController,[请求方法名]:batchSave, [请求头参数]:{"host":"172.30.212.148:8080"}, [请求参数]:[[{"userId":1029768445384294400,"deviceId":"64:79:F0:79:7A:2A","sessionId":"","avatarId":"11200220000208050000000000000000","appCode":"VDHtestWDC","instructionTemplateType":"","recordId":"","asrResult":"","knowledgeId":"","knowledgeMasterId":"","instructionType":"","instructionName":"","instructionFlag":"","parameter":"{}","ttsResultSource":"local","ttsResult":"小万发现了菠菜,要帮主人开始烹饪吗","ttsResultTime":{"year":2025,"monthValue":5,"month":"MAY","dayOfMonth":9,"dayOfYear":129,"dayOfWeek":"FRIDAY","hour":18,"minute":8,"second":8,"nano":0,"chronology":{"id":"ISO","calendarType":"iso8601"}},"response":1746785288764}]]</f>
        <v/>
      </c>
      <c r="C306" t="inlineStr">
        <is>
          <t>INFO</t>
        </is>
      </c>
      <c r="D306" t="inlineStr">
        <is>
          <t>vdh</t>
        </is>
      </c>
      <c r="E306" t="inlineStr">
        <is>
          <t>pro14</t>
        </is>
      </c>
      <c r="F306" t="inlineStr">
        <is>
          <t>prod</t>
        </is>
      </c>
    </row>
    <row r="307">
      <c r="A307" t="inlineStr">
        <is>
          <t>2025-05-09 18:08:02.337</t>
        </is>
      </c>
      <c r="B307">
        <f>=请求结束== [请求耗时]:14毫秒, [返回数据]:{"code":"000000","msg":"Success","traceId":"cc61627ce83354debefd0d3b83b57f19"}</f>
        <v/>
      </c>
      <c r="C307" t="inlineStr">
        <is>
          <t>INFO</t>
        </is>
      </c>
      <c r="D307" t="inlineStr">
        <is>
          <t>vdh</t>
        </is>
      </c>
      <c r="E307" t="inlineStr">
        <is>
          <t>pro14</t>
        </is>
      </c>
      <c r="F307" t="inlineStr">
        <is>
          <t>prod</t>
        </is>
      </c>
    </row>
    <row r="308">
      <c r="A308" t="inlineStr">
        <is>
          <t>2025-05-09 18:08:02.323</t>
        </is>
      </c>
      <c r="B308">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17:5E:26","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0,"second":43,"nano":0,"chronology":{"id":"ISO","calendarType":"iso8601"}},"response":1746784843545}]]</f>
        <v/>
      </c>
      <c r="C308" t="inlineStr">
        <is>
          <t>INFO</t>
        </is>
      </c>
      <c r="D308" t="inlineStr">
        <is>
          <t>vdh</t>
        </is>
      </c>
      <c r="E308" t="inlineStr">
        <is>
          <t>pro14</t>
        </is>
      </c>
      <c r="F308" t="inlineStr">
        <is>
          <t>prod</t>
        </is>
      </c>
    </row>
    <row r="309">
      <c r="A309" t="inlineStr">
        <is>
          <t>2025-05-09 18:07:54.248</t>
        </is>
      </c>
      <c r="B309">
        <f>=请求结束== [请求耗时]:14毫秒, [返回数据]:{"code":"000000","msg":"Success","traceId":"ed62eb5f6f1d57657f17ffca380a9b8b"}</f>
        <v/>
      </c>
      <c r="C309" t="inlineStr">
        <is>
          <t>INFO</t>
        </is>
      </c>
      <c r="D309" t="inlineStr">
        <is>
          <t>vdh</t>
        </is>
      </c>
      <c r="E309" t="inlineStr">
        <is>
          <t>pro17</t>
        </is>
      </c>
      <c r="F309" t="inlineStr">
        <is>
          <t>prod</t>
        </is>
      </c>
    </row>
    <row r="310">
      <c r="A310" t="inlineStr">
        <is>
          <t>2025-05-09 18:07:54.234</t>
        </is>
      </c>
      <c r="B310">
        <f>=请求开始== [请求IP]:218.17.115.163 ,[请求方式]:POST， [请求URL]:https://172.30.103.196:8080/api/appservice/bfv/v1/chatHistory/batchSave, [请求类名]:com.yingzi.appservice.bfv.provider.rest.ChatHistoryController,[请求方法名]:batchSave, [请求头参数]:{"host":"172.30.103.196:8080"}, [请求参数]:[[{"userId":908023066098442241,"deviceId":"F4:CE:23:BC:3F:B8","sessionId":"","avatarId":"11200220000208050000000000000000","appCode":"VDHtestWDC","instructionTemplateType":"","recordId":"","asrResult":"","knowledgeId":"","knowledgeMasterId":"","instructionType":"","instructionName":"","instructionFlag":"","parameter":"{}","ttsResultSource":"","ttsResult":"","response":0}]]</f>
        <v/>
      </c>
      <c r="C310" t="inlineStr">
        <is>
          <t>INFO</t>
        </is>
      </c>
      <c r="D310" t="inlineStr">
        <is>
          <t>vdh</t>
        </is>
      </c>
      <c r="E310" t="inlineStr">
        <is>
          <t>pro17</t>
        </is>
      </c>
      <c r="F310" t="inlineStr">
        <is>
          <t>prod</t>
        </is>
      </c>
    </row>
    <row r="311">
      <c r="A311" t="inlineStr">
        <is>
          <t>2025-05-09 18:07:45.792</t>
        </is>
      </c>
      <c r="B311">
        <f>=请求结束== [请求耗时]:15毫秒, [返回数据]:{"code":"000000","msg":"Success","traceId":"39e8efb5c08788a0db24c871a69e5b44"}</f>
        <v/>
      </c>
      <c r="C311" t="inlineStr">
        <is>
          <t>INFO</t>
        </is>
      </c>
      <c r="D311" t="inlineStr">
        <is>
          <t>vdh</t>
        </is>
      </c>
      <c r="E311" t="inlineStr">
        <is>
          <t>pro17</t>
        </is>
      </c>
      <c r="F311" t="inlineStr">
        <is>
          <t>prod</t>
        </is>
      </c>
    </row>
    <row r="312">
      <c r="A312" t="inlineStr">
        <is>
          <t>2025-05-09 18:07:45.776</t>
        </is>
      </c>
      <c r="B312">
        <f>=请求开始== [请求IP]:218.17.115.163 ,[请求方式]:POST， [请求URL]:https://172.30.103.196:8080/api/appservice/bfv/v1/chatHistory/batchSave, [请求类名]:com.yingzi.appservice.bfv.provider.rest.ChatHistoryController,[请求方法名]:batchSave, [请求头参数]:{"host":"172.30.103.196:8080"}, [请求参数]:[[{"userId":1163481844748582912,"deviceId":"64:79:F0:79:7A:A7","sessionId":"","avatarId":"11200220000208050000000000000000","appCode":"VDHtestWDC","instructionTemplateType":"","recordId":"","asrResult":"","knowledgeId":"","knowledgeMasterId":"","instructionType":"","instructionName":"","instructionFlag":"","parameter":"{}","ttsResultSource":"","ttsResult":"","response":0}]]</f>
        <v/>
      </c>
      <c r="C312" t="inlineStr">
        <is>
          <t>INFO</t>
        </is>
      </c>
      <c r="D312" t="inlineStr">
        <is>
          <t>vdh</t>
        </is>
      </c>
      <c r="E312" t="inlineStr">
        <is>
          <t>pro17</t>
        </is>
      </c>
      <c r="F312" t="inlineStr">
        <is>
          <t>prod</t>
        </is>
      </c>
    </row>
    <row r="313">
      <c r="A313" t="inlineStr">
        <is>
          <t>2025-05-09 18:07:25.906</t>
        </is>
      </c>
      <c r="B313">
        <f>=请求结束== [请求耗时]:14毫秒, [返回数据]:{"code":"000000","msg":"Success","traceId":"59149bd4ac081ff582eac6c4aa73a46a"}</f>
        <v/>
      </c>
      <c r="C313" t="inlineStr">
        <is>
          <t>INFO</t>
        </is>
      </c>
      <c r="D313" t="inlineStr">
        <is>
          <t>vdh</t>
        </is>
      </c>
      <c r="E313" t="inlineStr">
        <is>
          <t>pro14</t>
        </is>
      </c>
      <c r="F313" t="inlineStr">
        <is>
          <t>prod</t>
        </is>
      </c>
    </row>
    <row r="314">
      <c r="A314" t="inlineStr">
        <is>
          <t>2025-05-09 18:07:25.892</t>
        </is>
      </c>
      <c r="B314">
        <f>=请求开始== [请求IP]:222.218.28.235 ,[请求方式]:POST， [请求URL]:https://172.30.212.148:8080/api/appservice/bfv/v1/chatHistory/batchSave, [请求类名]:com.yingzi.appservice.bfv.provider.rest.ChatHistoryController,[请求方法名]:batchSave, [请求头参数]:{"host":"172.30.212.148:8080"}, [请求参数]:[[{"userId":1029768445384294400,"deviceId":"64:79:F0:79:7A:2A","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7,"second":20,"nano":0,"chronology":{"id":"ISO","calendarType":"iso8601"}},"response":1746785240746}]]</f>
        <v/>
      </c>
      <c r="C314" t="inlineStr">
        <is>
          <t>INFO</t>
        </is>
      </c>
      <c r="D314" t="inlineStr">
        <is>
          <t>vdh</t>
        </is>
      </c>
      <c r="E314" t="inlineStr">
        <is>
          <t>pro14</t>
        </is>
      </c>
      <c r="F314" t="inlineStr">
        <is>
          <t>prod</t>
        </is>
      </c>
    </row>
    <row r="315">
      <c r="A315" t="inlineStr">
        <is>
          <t>2025-05-09 18:06:29.649</t>
        </is>
      </c>
      <c r="B315">
        <f>=请求结束== [请求耗时]:13毫秒, [返回数据]:{"code":"000000","msg":"Success","traceId":"935566bf8cde9fe060802289a29cdc7f"}</f>
        <v/>
      </c>
      <c r="C315" t="inlineStr">
        <is>
          <t>INFO</t>
        </is>
      </c>
      <c r="D315" t="inlineStr">
        <is>
          <t>vdh</t>
        </is>
      </c>
      <c r="E315" t="inlineStr">
        <is>
          <t>pro17</t>
        </is>
      </c>
      <c r="F315" t="inlineStr">
        <is>
          <t>prod</t>
        </is>
      </c>
    </row>
    <row r="316">
      <c r="A316" t="inlineStr">
        <is>
          <t>2025-05-09 18:06:29.636</t>
        </is>
      </c>
      <c r="B316">
        <f>=请求开始== [请求IP]:222.218.28.235 ,[请求方式]:POST， [请求URL]:https://172.30.103.196:8080/api/appservice/bfv/v1/chatHistory/batchSave, [请求类名]:com.yingzi.appservice.bfv.provider.rest.ChatHistoryController,[请求方法名]:batchSave, [请求头参数]:{"host":"172.30.103.196:8080"}, [请求参数]:[[{"userId":1029768445384294400,"deviceId":"64:79:F0:79:7A:2A","sessionId":"","avatarId":"11200220000208050000000000000000","appCode":"VDHtestWDC","instructionTemplateType":"","recordId":"","asrResult":"","knowledgeId":"","knowledgeMasterId":"","instructionType":"","instructionName":"","instructionFlag":"","parameter":"{}","ttsResultSource":"local","ttsResult":"搞定了","ttsResultTime":{"year":2025,"monthValue":5,"month":"MAY","dayOfMonth":9,"dayOfYear":129,"dayOfWeek":"FRIDAY","hour":18,"minute":5,"second":27,"nano":0,"chronology":{"id":"ISO","calendarType":"iso8601"}},"response":1746785127018}]]</f>
        <v/>
      </c>
      <c r="C316" t="inlineStr">
        <is>
          <t>INFO</t>
        </is>
      </c>
      <c r="D316" t="inlineStr">
        <is>
          <t>vdh</t>
        </is>
      </c>
      <c r="E316" t="inlineStr">
        <is>
          <t>pro17</t>
        </is>
      </c>
      <c r="F316" t="inlineStr">
        <is>
          <t>prod</t>
        </is>
      </c>
    </row>
    <row r="317">
      <c r="A317" t="inlineStr">
        <is>
          <t>2025-05-09 18:05:30.298</t>
        </is>
      </c>
      <c r="B317">
        <f>=请求结束== [请求耗时]:16毫秒, [返回数据]:{"code":"000000","msg":"Success","traceId":"a57db61512422ab287e84e934fab76dd"}</f>
        <v/>
      </c>
      <c r="C317" t="inlineStr">
        <is>
          <t>INFO</t>
        </is>
      </c>
      <c r="D317" t="inlineStr">
        <is>
          <t>vdh</t>
        </is>
      </c>
      <c r="E317" t="inlineStr">
        <is>
          <t>pro14</t>
        </is>
      </c>
      <c r="F317" t="inlineStr">
        <is>
          <t>prod</t>
        </is>
      </c>
    </row>
    <row r="318">
      <c r="A318" t="inlineStr">
        <is>
          <t>2025-05-09 18:05:30.282</t>
        </is>
      </c>
      <c r="B318">
        <f>=请求开始== [请求IP]:14.145.79.89 ,[请求方式]:POST， [请求URL]:https://172.30.212.148:8080/api/appservice/bfv/v1/chatHistory/batchSave, [请求类名]:com.yingzi.appservice.bfv.provider.rest.ChatHistoryController,[请求方法名]:batchSave, [请求头参数]:{"host":"172.30.212.148:8080"}, [请求参数]:[[{"userId":1187618907244167170,"deviceId":"64:79:F0:E9:E1:6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18,"minute":5,"second":25,"nano":0,"chronology":{"id":"ISO","calendarType":"iso8601"}},"response":12890}]]</f>
        <v/>
      </c>
      <c r="C318" t="inlineStr">
        <is>
          <t>INFO</t>
        </is>
      </c>
      <c r="D318" t="inlineStr">
        <is>
          <t>vdh</t>
        </is>
      </c>
      <c r="E318" t="inlineStr">
        <is>
          <t>pro14</t>
        </is>
      </c>
      <c r="F318" t="inlineStr">
        <is>
          <t>prod</t>
        </is>
      </c>
    </row>
    <row r="319">
      <c r="A319" t="inlineStr">
        <is>
          <t>2025-05-09 18:05:22.370</t>
        </is>
      </c>
      <c r="B319">
        <f>=请求结束== [请求耗时]:15毫秒, [返回数据]:{"code":"000000","msg":"Success","traceId":"c4435420f77e6039461ac42b57632f5e"}</f>
        <v/>
      </c>
      <c r="C319" t="inlineStr">
        <is>
          <t>INFO</t>
        </is>
      </c>
      <c r="D319" t="inlineStr">
        <is>
          <t>vdh</t>
        </is>
      </c>
      <c r="E319" t="inlineStr">
        <is>
          <t>pro17</t>
        </is>
      </c>
      <c r="F319" t="inlineStr">
        <is>
          <t>prod</t>
        </is>
      </c>
    </row>
    <row r="320">
      <c r="A320" t="inlineStr">
        <is>
          <t>2025-05-09 18:05:22.355</t>
        </is>
      </c>
      <c r="B320">
        <f>=请求开始== [请求IP]:14.145.79.89 ,[请求方式]:POST， [请求URL]:https://172.30.103.196:8080/api/appservice/bfv/v1/chatHistory/batchSave, [请求类名]:com.yingzi.appservice.bfv.provider.rest.ChatHistoryController,[请求方法名]:batchSave, [请求头参数]:{"host":"172.30.103.196:8080"}, [请求参数]:[[{"userId":1187618907244167170,"deviceId":"64:79:F0:E9:E1:6B","sessionId":"","avatarId":"11200220000208050000000000000000","appCode":"VDHtestWDC","instructionTemplateType":"Instruction_library","recordId":"","asrResult":"30度","instructionAsrFirstTime":{"year":2025,"monthValue":5,"month":"MAY","dayOfMonth":9,"dayOfYear":129,"dayOfWeek":"FRIDAY","hour":18,"minute":5,"second":11,"nano":0,"chronology":{"id":"ISO","calendarType":"iso8601"}},"knowledgeId":"","knowledgeMasterId":"295","instructionType":"COOKING","instructionName":"加热到指定温度","instructionFlag":"set_cooking_temp","parameter":"{\"answer\":\"DEFAULT\",\"code\":\"set_cooking_temp\",\"continue_answer\":\"\",\"continue_failed_answer\":\"\",\"entities\":\"[{\\\"start\\\":0,\\\"end\\\":2,\\\"text\\\":\\\"30\\\",\\\"value\\\":30,\\\"confidence\\\":1,\\\"additional_info\\\":{\\\"value\\\":30,\\\"type\\\":\\\"value\\\",\\\"unit\\\":\\\"\\\"},\\\"entity\\\":\\\"number\\\",\\\"extractor\\\":\\\"DucklingEntityExtractor\\\"}]\",\"failed_answer\":\"{\\\"answerId\\\":\\\"\\\",\\\"value\\\":\\\"抱歉，无法执行\\\",\\\"hidb\\\":\\\"\\\",\\\"aplusId\\\":\\\"\\\",\\\"flag\\\":true,\\\"updFlag\\\":false,\\\"cache\\\":false}\",\"hitBusiness\":\"295\",\"init_state\":\"false\",\"intent\":\"加热到指定温度\",\"intentType\":\"COOKING\",\"isEnd\":\"true\",\"isMulti\":\"false\",\"service\":\"Instruction_library\",\"succeed_answer\":\"{\\\"answerId\\\":\\\"\\\",\\\"value\\\":\\\"好嘞，温度调好了，要帮主人开始烹饪吗\\\",\\\"hidb\\\":\\\"\\\",\\\"aplusId\\\":\\\"\\\",\\\"flag\\\":true,\\\"updFlag\\\":false,\\\"cache\\\":false}\"}","ttsResultSource":"local","ttsResult":"温度调好了,要开始烹饪吗开始烹饪,请耐心等待","ttsResultTime":{"year":2025,"monthValue":5,"month":"MAY","dayOfMonth":9,"dayOfYear":129,"dayOfWeek":"FRIDAY","hour":18,"minute":5,"second":13,"nano":0,"chronology":{"id":"ISO","calendarType":"iso8601"}},"response":1514}]]</f>
        <v/>
      </c>
      <c r="C320" t="inlineStr">
        <is>
          <t>INFO</t>
        </is>
      </c>
      <c r="D320" t="inlineStr">
        <is>
          <t>vdh</t>
        </is>
      </c>
      <c r="E320" t="inlineStr">
        <is>
          <t>pro17</t>
        </is>
      </c>
      <c r="F320" t="inlineStr">
        <is>
          <t>prod</t>
        </is>
      </c>
    </row>
    <row r="321">
      <c r="A321" t="inlineStr">
        <is>
          <t>2025-05-09 18:03:50.433</t>
        </is>
      </c>
      <c r="B321">
        <f>=请求结束== [请求耗时]:23毫秒, [返回数据]:{"code":"000000","msg":"Success","traceId":"022f1a761b123c5bbb625b9361e71c92"}</f>
        <v/>
      </c>
      <c r="C321" t="inlineStr">
        <is>
          <t>INFO</t>
        </is>
      </c>
      <c r="D321" t="inlineStr">
        <is>
          <t>vdh</t>
        </is>
      </c>
      <c r="E321" t="inlineStr">
        <is>
          <t>pro14</t>
        </is>
      </c>
      <c r="F321" t="inlineStr">
        <is>
          <t>prod</t>
        </is>
      </c>
    </row>
    <row r="322">
      <c r="A322" t="inlineStr">
        <is>
          <t>2025-05-09 18:03:50.410</t>
        </is>
      </c>
      <c r="B322">
        <f>=请求开始== [请求IP]:222.218.28.235 ,[请求方式]:POST， [请求URL]:https://172.30.212.148:8080/api/appservice/bfv/v1/chatHistory/batchSave, [请求类名]:com.yingzi.appservice.bfv.provider.rest.ChatHistoryController,[请求方法名]:batchSave, [请求头参数]:{"host":"172.30.212.148:8080"}, [请求参数]:[[{"userId":1029768445384294400,"deviceId":"64:79:F0:79:7A:2A","sessionId":"","avatarId":"11200220000208050000000000000000","appCode":"VDHtestWDC","instructionTemplateType":"","recordId":"","asrResult":"","knowledgeId":"","knowledgeMasterId":"","instructionType":"","instructionName":"","instructionFlag":"","parameter":"{}","ttsResultSource":"local","ttsResult":"搞定了","ttsResultTime":{"year":2025,"monthValue":5,"month":"MAY","dayOfMonth":9,"dayOfYear":129,"dayOfWeek":"FRIDAY","hour":18,"minute":3,"second":13,"nano":0,"chronology":{"id":"ISO","calendarType":"iso8601"}},"response":1746784993639}]]</f>
        <v/>
      </c>
      <c r="C322" t="inlineStr">
        <is>
          <t>INFO</t>
        </is>
      </c>
      <c r="D322" t="inlineStr">
        <is>
          <t>vdh</t>
        </is>
      </c>
      <c r="E322" t="inlineStr">
        <is>
          <t>pro14</t>
        </is>
      </c>
      <c r="F322" t="inlineStr">
        <is>
          <t>prod</t>
        </is>
      </c>
    </row>
    <row r="323">
      <c r="A323" t="inlineStr">
        <is>
          <t>2025-05-09 18:01:14.739</t>
        </is>
      </c>
      <c r="B323">
        <f>=请求结束== [请求耗时]:17毫秒, [返回数据]:{"code":"000000","msg":"Success","traceId":"2956cb45414b6d88ad2d02c9b350757f"}</f>
        <v/>
      </c>
      <c r="C323" t="inlineStr">
        <is>
          <t>INFO</t>
        </is>
      </c>
      <c r="D323" t="inlineStr">
        <is>
          <t>vdh</t>
        </is>
      </c>
      <c r="E323" t="inlineStr">
        <is>
          <t>pro14</t>
        </is>
      </c>
      <c r="F323" t="inlineStr">
        <is>
          <t>prod</t>
        </is>
      </c>
    </row>
    <row r="324">
      <c r="A324" t="inlineStr">
        <is>
          <t>2025-05-09 18:01:14.722</t>
        </is>
      </c>
      <c r="B324">
        <f>=请求开始== [请求IP]:122.90.30.31 ,[请求方式]:POST， [请求URL]:https://172.30.212.148:8080/api/appservice/bfv/v1/chatHistory/batchSave, [请求类名]:com.yingzi.appservice.bfv.provider.rest.ChatHistoryController,[请求方法名]:batchSave, [请求头参数]:{"host":"172.30.212.148:8080"}, [请求参数]:[[{"userId":1357297858318413824,"deviceId":"64:79:F0:78:D0:43","sessionId":"","avatarId":"11200220000208050000000000000000","appCode":"VDHtestWDC","instructionTemplateType":"Chat_library","recordId":"","asrResult":"可以","instructionAsrFirstTime":{"year":2025,"monthValue":5,"month":"MAY","dayOfMonth":9,"dayOfYear":129,"dayOfWeek":"FRIDAY","hour":18,"minute":0,"second":51,"nano":0,"chronology":{"id":"ISO","calendarType":"iso8601"}},"knowledgeId":"","knowledgeMasterId":"","instructionType":"","instructionName":"","instructionFlag":"","parameter":"{\"nlpId\":\"17300825629321642727spln\",\"service\":\"Chat_library\"}","ttsResultSource":"FTT","ttsResult":"请问有什么可以帮助您的?如果您需要了解新闻热点,可以提供最新的新闻信息;如果您有关于微波炉的操作需求,可以告诉我。","ttsResultTime":{"year":2025,"monthValue":5,"month":"MAY","dayOfMonth":9,"dayOfYear":129,"dayOfWeek":"FRIDAY","hour":18,"minute":0,"second":59,"nano":0,"chronology":{"id":"ISO","calendarType":"iso8601"}},"response":6831}]]</f>
        <v/>
      </c>
      <c r="C324" t="inlineStr">
        <is>
          <t>INFO</t>
        </is>
      </c>
      <c r="D324" t="inlineStr">
        <is>
          <t>vdh</t>
        </is>
      </c>
      <c r="E324" t="inlineStr">
        <is>
          <t>pro14</t>
        </is>
      </c>
      <c r="F324" t="inlineStr">
        <is>
          <t>prod</t>
        </is>
      </c>
    </row>
    <row r="325">
      <c r="A325" t="inlineStr">
        <is>
          <t>2025-05-09 18:00:57.977</t>
        </is>
      </c>
      <c r="B325">
        <f>=请求结束== [请求耗时]:4654毫秒</f>
        <v/>
      </c>
      <c r="C325" t="inlineStr">
        <is>
          <t>INFO</t>
        </is>
      </c>
      <c r="D325" t="inlineStr">
        <is>
          <t>vdh</t>
        </is>
      </c>
      <c r="E325" t="inlineStr">
        <is>
          <t>pro17</t>
        </is>
      </c>
      <c r="F325" t="inlineStr">
        <is>
          <t>prod</t>
        </is>
      </c>
    </row>
    <row r="326">
      <c r="A326" t="inlineStr">
        <is>
          <t>2025-05-09 18:00:57.976</t>
        </is>
      </c>
      <c r="B326" t="inlineStr">
        <is>
          <t>第1次流式调用完成，耗时：3916ms，response: Response { content = AiMessage { text = "请问有什么可以帮助您的？如果您需要了解新闻热点，我可以提供最新的新闻信息；如果您有关于微波炉的操作需求，也可以告诉我。" toolExecutionRequests = null }, tokenUsage = TokenUsage { inputTokenCount = 4483, outputTokenCount = 62, totalTokenCount = 4545 }, finishReason = STOP }</t>
        </is>
      </c>
      <c r="C326" t="inlineStr">
        <is>
          <t>INFO</t>
        </is>
      </c>
      <c r="D326" t="inlineStr">
        <is>
          <t>vdh</t>
        </is>
      </c>
      <c r="E326" t="inlineStr">
        <is>
          <t>pro17</t>
        </is>
      </c>
      <c r="F326" t="inlineStr">
        <is>
          <t>prod</t>
        </is>
      </c>
    </row>
    <row r="327">
      <c r="A327" t="inlineStr">
        <is>
          <t>2025-05-09 18:00:56.575</t>
        </is>
      </c>
      <c r="B327" t="inlineStr">
        <is>
          <t xml:space="preserve">第1次流式调用开始回复，耗时：2515ms，第一个token: </t>
        </is>
      </c>
      <c r="C327" t="inlineStr">
        <is>
          <t>INFO</t>
        </is>
      </c>
      <c r="D327" t="inlineStr">
        <is>
          <t>vdh</t>
        </is>
      </c>
      <c r="E327" t="inlineStr">
        <is>
          <t>pro17</t>
        </is>
      </c>
      <c r="F327" t="inlineStr">
        <is>
          <t>prod</t>
        </is>
      </c>
    </row>
    <row r="328">
      <c r="A328" t="inlineStr">
        <is>
          <t>2025-05-09 18:00:54.060</t>
        </is>
      </c>
      <c r="B328" t="inlineStr">
        <is>
          <t>streaming provider=gpt, model: gpt-4o</t>
        </is>
      </c>
      <c r="C328" t="inlineStr">
        <is>
          <t>INFO</t>
        </is>
      </c>
      <c r="D328" t="inlineStr">
        <is>
          <t>vdh</t>
        </is>
      </c>
      <c r="E328" t="inlineStr">
        <is>
          <t>pro17</t>
        </is>
      </c>
      <c r="F328" t="inlineStr">
        <is>
          <t>prod</t>
        </is>
      </c>
    </row>
    <row r="329">
      <c r="A329" t="inlineStr">
        <is>
          <t>2025-05-09 18:00:54.054</t>
        </is>
      </c>
      <c r="B329">
        <f>=请求结束== [请求耗时]:705毫秒, [返回数据]:{"code":"000000","msg":"Success","data":[{"knowledgeId":"1326868148286373888","knowledgeContent":[{"score":0.737034235,"content":"：2025年春节/过年/大年初一是1月29日，农历正月初一，星期三。","fileId":"1326944717968060416","chunkId":"paragraph-1"},{"score":0.7308182699999999,"content":"：深圳数影科技的股价是多少？深圳数影科技有限公司没有上市，因此没有股价信息。 广西扬翔股份上市了吗？广西扬翔股份没有上市。","fileId":"1326944717968060416","chunkId":"paragraph-6"},{"score":0.7177508375,"content":"：广州影子科技的股价是多少？广州影子科技有限公司没有上市，因此没有股价信息。","fileId":"1326944717968060416","chunkId":"paragraph-5"}]},{"knowledgeId":"1272947938412855296","knowledgeContent":[{"score":0.7538047775,"content":"鸡腿可以用烤盘烹饪吗","fileId":"1275470180282040320","chunkId":"149","textGroup":"SELECT id, title, cooking_utensils FROM recipe_knowledge_nutrition WHERE (title LIKE '%鸡腿%' OR materials_list LIKE '%鸡腿%') AND cooking_utensils LIKE '%烤盘%' LIMIT 5;"},{"score":0.750475115,"content":"蒜泥白肉可以使用2.0微波炉烹饪吗","fileId":"1275470180282040320","chunkId":"159","textGroup":"SELECT id, title, scheme_version FROM recipe_knowledge_nutrition WHERE title LIKE '%蒜泥白肉%' AND scheme_version LIKE '%2.0%' LIMIT 5;"},{"score":0.7434522024999999,"content":"油焖大虾适合儿童食用吗","fileId":"1275470180282040320","chunkId":"147","textGroup":"SELECT id, title, classify_crowd FROM recipe_knowledge_nutrition WHERE title LIKE '%油焖大虾%' AND classify_crowd LIKE '%儿童%' LIMIT 5;"}]},{"knowledgeId":"1329399948694220800","knowledgeContent":[{"score":0.7594197925,"content":"请帮我继续微波","fileId":"1347217269055369216","chunkId":"256","textGroup":"cooking_control {type=continue}"},{"score":0.7508020674999999,"content":"开始做吧","fileId":"1347217269055369216","chunkId":"136","textGroup":"cooking_control {type=start}"},{"score":0.7505228425,"content":"我想微波暂停","fileId":"1347217269055369216","chunkId":"195","textGroup":"cooking_control {type=pause}"},{"score":0.7449816075,"content":"我想了解下新闻热点","fileId":"1329400169758941184","chunkId":"64","textGroup":"news {type=top,size=3}"},{"score":0.744896225,"content":"请终止烹调功能","fileId":"1347217269055369216","chunkId":"323","textGroup":"cooking_control {type=stop}"}]},{"knowledgeId":"1272948056214077440","knowledgeContent":[{"score":0.7732599175,"content":"问题：可以和我聊聊天吗。\\n回复：你可以随时找我聊。","fileId":"1303425377255075840","chunkId":"2757","textGroup":"可以和我聊聊天吗"},{"score":0.7639166749999999,"content":"问题：锡纸可以放入微博炉内加热吗。\\n回复：不可以哦，锡箔纸为金属，不能放入微波炉中加热","fileId":"1303425377255075840","chunkId":"2597","textGroup":"锡箔纸可以放进微波炉加热吗"},{"score":0.7638726875,"content":"问题：你好。\\n回复：你好，有什么可以帮您。","fileId":"1303425377255075840","chunkId":"2699","textGroup":"你好"},{"score":0.7618264825000001,"content":"问题：不锈钢碗可以放进微波炉加热吗。\\n回复：不可以哦，金属器皿都不可以放进微波中加热","fileId":"1303425377255075840","chunkId":"2803","textGroup":"不锈钢碗可以放进微波炉加热吗"},{"score":0.7603062574999999,"content":"问题：微波炉可以加热陶瓷碗吗。\\n回复：可以哦，耐热陶瓷材质的器皿可以放入微波炉中加热","fileId":"1303425377255075840","chunkId":"2613","textGroup":"陶瓷碗可以放进微波炉加热吗"}]}]}</f>
        <v/>
      </c>
      <c r="C329" t="inlineStr">
        <is>
          <t>INFO</t>
        </is>
      </c>
      <c r="D329" t="inlineStr">
        <is>
          <t>vdh</t>
        </is>
      </c>
      <c r="E329" t="inlineStr">
        <is>
          <t>pro17</t>
        </is>
      </c>
      <c r="F329" t="inlineStr">
        <is>
          <t>prod</t>
        </is>
      </c>
    </row>
    <row r="330">
      <c r="A330" t="inlineStr">
        <is>
          <t>2025-05-09 18:00:54.053</t>
        </is>
      </c>
      <c r="B330" t="inlineStr">
        <is>
          <t>知识库插件检索耗时: 703ms</t>
        </is>
      </c>
      <c r="C330" t="inlineStr">
        <is>
          <t>INFO</t>
        </is>
      </c>
      <c r="D330" t="inlineStr">
        <is>
          <t>vdh</t>
        </is>
      </c>
      <c r="E330" t="inlineStr">
        <is>
          <t>pro17</t>
        </is>
      </c>
      <c r="F330" t="inlineStr">
        <is>
          <t>prod</t>
        </is>
      </c>
    </row>
    <row r="331">
      <c r="A331" t="inlineStr">
        <is>
          <t>2025-05-09 18:00:53.416</t>
        </is>
      </c>
      <c r="B331" t="inlineStr">
        <is>
          <t>request data-gateway token response:{"code":200,"data":{"appKey":"yingzi-virtual-human","clientIp":"","deviceId":"","accessType":"RESTFUL","expiresIn":1746792053408,"access_token":"774feba1-eee8-41d1-a639-22a25b36d6a4"},"msg":"SUCCESS","extendInfo":null,"traceId":"aaa579316e85a9697f1023d902813200"}</t>
        </is>
      </c>
      <c r="C331" t="inlineStr">
        <is>
          <t>WARN</t>
        </is>
      </c>
      <c r="D331" t="inlineStr">
        <is>
          <t>vdh</t>
        </is>
      </c>
      <c r="E331" t="inlineStr">
        <is>
          <t>pro17</t>
        </is>
      </c>
      <c r="F331" t="inlineStr">
        <is>
          <t>prod</t>
        </is>
      </c>
    </row>
    <row r="332">
      <c r="A332" t="inlineStr">
        <is>
          <t>2025-05-09 18:00:53.349</t>
        </is>
      </c>
      <c r="B332">
        <f>=请求开始== [请求IP]:172.18.33.17 ,[请求方式]:POST， [请求URL]:https://172.30.103.196:8080/api/appservice/bfv/v1/knowledge/retrieval/plugin, [请求类名]:com.yingzi.appservice.bfv.provider.rest.KnowledgeRetrievalController,[请求方法名]:plugin, [请求头参数]:{"host":"172.30.103.196:8080"}, [请求参数]:[{"query":"可以","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332" t="inlineStr">
        <is>
          <t>INFO</t>
        </is>
      </c>
      <c r="D332" t="inlineStr">
        <is>
          <t>vdh</t>
        </is>
      </c>
      <c r="E332" t="inlineStr">
        <is>
          <t>pro17</t>
        </is>
      </c>
      <c r="F332" t="inlineStr">
        <is>
          <t>prod</t>
        </is>
      </c>
    </row>
    <row r="333">
      <c r="A333" t="inlineStr">
        <is>
          <t>2025-05-09 18:00:53.323</t>
        </is>
      </c>
      <c r="B333">
        <f>=请求开始== [请求IP]:172.18.114.116 ,[请求方式]:POST， [请求URL]:https://172.30.103.196:8080/api/appservice/bfv/v1/chat/, [请求类名]:com.yingzi.appservice.bfv.provider.rest.ChatV1Controller,[请求方法名]:chat, [请求头参数]:{"host":"172.30.103.196:8080"}, [请求参数]:[{"stream":true,"message":"可以","args":"{\"adcode\":\"350100\",\"channel_id\":\"9\"}"}]</f>
        <v/>
      </c>
      <c r="C333" t="inlineStr">
        <is>
          <t>INFO</t>
        </is>
      </c>
      <c r="D333" t="inlineStr">
        <is>
          <t>vdh</t>
        </is>
      </c>
      <c r="E333" t="inlineStr">
        <is>
          <t>pro17</t>
        </is>
      </c>
      <c r="F333" t="inlineStr">
        <is>
          <t>prod</t>
        </is>
      </c>
    </row>
    <row r="334">
      <c r="A334" t="inlineStr">
        <is>
          <t>2025-05-09 17:53:40.059</t>
        </is>
      </c>
      <c r="B334">
        <f>=请求结束== [请求耗时]:15毫秒, [返回数据]:{"code":"000000","msg":"Success","traceId":"1877cc04de7465ca6fd7c79be9e9f38a"}</f>
        <v/>
      </c>
      <c r="C334" t="inlineStr">
        <is>
          <t>INFO</t>
        </is>
      </c>
      <c r="D334" t="inlineStr">
        <is>
          <t>vdh</t>
        </is>
      </c>
      <c r="E334" t="inlineStr">
        <is>
          <t>pro14</t>
        </is>
      </c>
      <c r="F334" t="inlineStr">
        <is>
          <t>prod</t>
        </is>
      </c>
    </row>
    <row r="335">
      <c r="A335" t="inlineStr">
        <is>
          <t>2025-05-09 17:53:40.044</t>
        </is>
      </c>
      <c r="B335">
        <f>=请求开始== [请求IP]:122.90.30.31 ,[请求方式]:POST， [请求URL]:https://172.30.212.148:8080/api/appservice/bfv/v1/chatHistory/batchSave, [请求类名]:com.yingzi.appservice.bfv.provider.rest.ChatHistoryController,[请求方法名]:batchSave, [请求头参数]:{"host":"172.30.212.148:8080"}, [请求参数]:[[{"userId":1357297858318413824,"deviceId":"64:79:F0:78:D0:43","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17,"minute":53,"second":34,"nano":0,"chronology":{"id":"ISO","calendarType":"iso8601"}},"response":1746784414199}]]</f>
        <v/>
      </c>
      <c r="C335" t="inlineStr">
        <is>
          <t>INFO</t>
        </is>
      </c>
      <c r="D335" t="inlineStr">
        <is>
          <t>vdh</t>
        </is>
      </c>
      <c r="E335" t="inlineStr">
        <is>
          <t>pro14</t>
        </is>
      </c>
      <c r="F335" t="inlineStr">
        <is>
          <t>prod</t>
        </is>
      </c>
    </row>
    <row r="336">
      <c r="A336" t="inlineStr">
        <is>
          <t>2025-05-09 17:50:05.896</t>
        </is>
      </c>
      <c r="B336">
        <f>=请求结束== [请求耗时]:16毫秒, [返回数据]:{"code":"000000","msg":"Success","traceId":"fb75ce7b15e6591117fd0faf38de410c"}</f>
        <v/>
      </c>
      <c r="C336" t="inlineStr">
        <is>
          <t>INFO</t>
        </is>
      </c>
      <c r="D336" t="inlineStr">
        <is>
          <t>vdh</t>
        </is>
      </c>
      <c r="E336" t="inlineStr">
        <is>
          <t>pro17</t>
        </is>
      </c>
      <c r="F336" t="inlineStr">
        <is>
          <t>prod</t>
        </is>
      </c>
    </row>
    <row r="337">
      <c r="A337" t="inlineStr">
        <is>
          <t>2025-05-09 17:50:05.880</t>
        </is>
      </c>
      <c r="B337">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64:79:F0:79:7A:16","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17,"minute":50,"second":0,"nano":0,"chronology":{"id":"ISO","calendarType":"iso8601"}},"response":3229366}]]</f>
        <v/>
      </c>
      <c r="C337" t="inlineStr">
        <is>
          <t>INFO</t>
        </is>
      </c>
      <c r="D337" t="inlineStr">
        <is>
          <t>vdh</t>
        </is>
      </c>
      <c r="E337" t="inlineStr">
        <is>
          <t>pro17</t>
        </is>
      </c>
      <c r="F337" t="inlineStr">
        <is>
          <t>prod</t>
        </is>
      </c>
    </row>
    <row r="338">
      <c r="A338" t="inlineStr">
        <is>
          <t>2025-05-09 17:44:18.489</t>
        </is>
      </c>
      <c r="B338">
        <f>=请求结束== [请求耗时]:14毫秒, [返回数据]:{"code":"000000","msg":"Success","traceId":"0809c75cd3f4219e2c5c552fae2c12f4"}</f>
        <v/>
      </c>
      <c r="C338" t="inlineStr">
        <is>
          <t>INFO</t>
        </is>
      </c>
      <c r="D338" t="inlineStr">
        <is>
          <t>vdh</t>
        </is>
      </c>
      <c r="E338" t="inlineStr">
        <is>
          <t>pro14</t>
        </is>
      </c>
      <c r="F338" t="inlineStr">
        <is>
          <t>prod</t>
        </is>
      </c>
    </row>
    <row r="339">
      <c r="A339" t="inlineStr">
        <is>
          <t>2025-05-09 17:44:18.474</t>
        </is>
      </c>
      <c r="B339">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17,"minute":44,"second":13,"nano":0,"chronology":{"id":"ISO","calendarType":"iso8601"}},"response":2881997}]]</f>
        <v/>
      </c>
      <c r="C339" t="inlineStr">
        <is>
          <t>INFO</t>
        </is>
      </c>
      <c r="D339" t="inlineStr">
        <is>
          <t>vdh</t>
        </is>
      </c>
      <c r="E339" t="inlineStr">
        <is>
          <t>pro14</t>
        </is>
      </c>
      <c r="F339" t="inlineStr">
        <is>
          <t>prod</t>
        </is>
      </c>
    </row>
    <row r="340">
      <c r="A340" t="inlineStr">
        <is>
          <t>2025-05-09 17:43:38.073</t>
        </is>
      </c>
      <c r="B340">
        <f>=请求结束== [请求耗时]:15毫秒, [返回数据]:{"code":"000000","msg":"Success","traceId":"0f92f9bb5a10ab42321e9a4a8130c838"}</f>
        <v/>
      </c>
      <c r="C340" t="inlineStr">
        <is>
          <t>INFO</t>
        </is>
      </c>
      <c r="D340" t="inlineStr">
        <is>
          <t>vdh</t>
        </is>
      </c>
      <c r="E340" t="inlineStr">
        <is>
          <t>pro17</t>
        </is>
      </c>
      <c r="F340" t="inlineStr">
        <is>
          <t>prod</t>
        </is>
      </c>
    </row>
    <row r="341">
      <c r="A341" t="inlineStr">
        <is>
          <t>2025-05-09 17:43:38.058</t>
        </is>
      </c>
      <c r="B341">
        <f>=请求开始== [请求IP]:180.140.14.59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17,"minute":43,"second":32,"nano":0,"chronology":{"id":"ISO","calendarType":"iso8601"}},"response":1746783812815}]]</f>
        <v/>
      </c>
      <c r="C341" t="inlineStr">
        <is>
          <t>INFO</t>
        </is>
      </c>
      <c r="D341" t="inlineStr">
        <is>
          <t>vdh</t>
        </is>
      </c>
      <c r="E341" t="inlineStr">
        <is>
          <t>pro17</t>
        </is>
      </c>
      <c r="F341" t="inlineStr">
        <is>
          <t>prod</t>
        </is>
      </c>
    </row>
    <row r="342">
      <c r="A342" t="inlineStr">
        <is>
          <t>2025-05-09 17:42:33.422</t>
        </is>
      </c>
      <c r="B342">
        <f>=请求结束== [请求耗时]:14毫秒, [返回数据]:{"code":"000000","msg":"Success","traceId":"ebab11d337ca2e7813663905e67fed44"}</f>
        <v/>
      </c>
      <c r="C342" t="inlineStr">
        <is>
          <t>INFO</t>
        </is>
      </c>
      <c r="D342" t="inlineStr">
        <is>
          <t>vdh</t>
        </is>
      </c>
      <c r="E342" t="inlineStr">
        <is>
          <t>pro14</t>
        </is>
      </c>
      <c r="F342" t="inlineStr">
        <is>
          <t>prod</t>
        </is>
      </c>
    </row>
    <row r="343">
      <c r="A343" t="inlineStr">
        <is>
          <t>2025-05-09 17:42:33.409</t>
        </is>
      </c>
      <c r="B343">
        <f>=请求开始== [请求IP]:122.90.30.31 ,[请求方式]:POST， [请求URL]:https://172.30.212.148:8080/api/appservice/bfv/v1/chatHistory/batchSave, [请求类名]:com.yingzi.appservice.bfv.provider.rest.ChatHistoryController,[请求方法名]:batchSave, [请求头参数]:{"host":"172.30.212.148:8080"}, [请求参数]:[[{"userId":1357297858318413824,"deviceId":"64:79:F0:78:D0:43","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17,"minute":42,"second":28,"nano":0,"chronology":{"id":"ISO","calendarType":"iso8601"}},"response":1746783748118}]]</f>
        <v/>
      </c>
      <c r="C343" t="inlineStr">
        <is>
          <t>INFO</t>
        </is>
      </c>
      <c r="D343" t="inlineStr">
        <is>
          <t>vdh</t>
        </is>
      </c>
      <c r="E343" t="inlineStr">
        <is>
          <t>pro14</t>
        </is>
      </c>
      <c r="F343" t="inlineStr">
        <is>
          <t>prod</t>
        </is>
      </c>
    </row>
    <row r="344">
      <c r="A344" t="inlineStr">
        <is>
          <t>2025-05-09 17:41:29.943</t>
        </is>
      </c>
      <c r="B344">
        <f>=请求结束== [请求耗时]:15毫秒, [返回数据]:{"code":"000000","msg":"Success","traceId":"daa8a108a6bb7a7370e091d6f26e4a42"}</f>
        <v/>
      </c>
      <c r="C344" t="inlineStr">
        <is>
          <t>INFO</t>
        </is>
      </c>
      <c r="D344" t="inlineStr">
        <is>
          <t>vdh</t>
        </is>
      </c>
      <c r="E344" t="inlineStr">
        <is>
          <t>pro17</t>
        </is>
      </c>
      <c r="F344" t="inlineStr">
        <is>
          <t>prod</t>
        </is>
      </c>
    </row>
    <row r="345">
      <c r="A345" t="inlineStr">
        <is>
          <t>2025-05-09 17:41:29.929</t>
        </is>
      </c>
      <c r="B345">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17:5E:26","sessionId":"","avatarId":"11200220000208050000000000000000","appCode":"VDHtestWDC","instructionTemplateType":"","recordId":"","asrResult":"","knowledgeId":"","knowledgeMasterId":"","instructionType":"","instructionName":"","instructionFlag":"","parameter":"{}","ttsResultSource":"local","ttsResult":"小万发现了红烧排骨或糖醋排骨或话梅排骨,主人喜欢糖醋排骨还是红烧排骨/话梅排骨口感小万发现了红烧排骨或糖醋排骨或话梅排骨,主人喜欢糖醋排骨还是红烧排骨/话梅排骨口感开始烹饪,请耐心等待","ttsResultTime":{"year":2025,"monthValue":5,"month":"MAY","dayOfMonth":9,"dayOfYear":129,"dayOfWeek":"FRIDAY","hour":17,"minute":33,"second":58,"nano":0,"chronology":{"id":"ISO","calendarType":"iso8601"}},"response":1746783238392}]]</f>
        <v/>
      </c>
      <c r="C345" t="inlineStr">
        <is>
          <t>INFO</t>
        </is>
      </c>
      <c r="D345" t="inlineStr">
        <is>
          <t>vdh</t>
        </is>
      </c>
      <c r="E345" t="inlineStr">
        <is>
          <t>pro17</t>
        </is>
      </c>
      <c r="F345" t="inlineStr">
        <is>
          <t>prod</t>
        </is>
      </c>
    </row>
    <row r="346">
      <c r="A346" t="inlineStr">
        <is>
          <t>2025-05-09 17:39:22.232</t>
        </is>
      </c>
      <c r="B346">
        <f>=请求结束== [请求耗时]:16毫秒, [返回数据]:{"code":"000000","msg":"Success","traceId":"a73addd1fb25e48cd2687078fda7bbb3"}</f>
        <v/>
      </c>
      <c r="C346" t="inlineStr">
        <is>
          <t>INFO</t>
        </is>
      </c>
      <c r="D346" t="inlineStr">
        <is>
          <t>vdh</t>
        </is>
      </c>
      <c r="E346" t="inlineStr">
        <is>
          <t>pro14</t>
        </is>
      </c>
      <c r="F346" t="inlineStr">
        <is>
          <t>prod</t>
        </is>
      </c>
    </row>
    <row r="347">
      <c r="A347" t="inlineStr">
        <is>
          <t>2025-05-09 17:39:22.217</t>
        </is>
      </c>
      <c r="B347">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17:5E:26","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17,"minute":32,"second":3,"nano":0,"chronology":{"id":"ISO","calendarType":"iso8601"}},"response":1746783123687}]]</f>
        <v/>
      </c>
      <c r="C347" t="inlineStr">
        <is>
          <t>INFO</t>
        </is>
      </c>
      <c r="D347" t="inlineStr">
        <is>
          <t>vdh</t>
        </is>
      </c>
      <c r="E347" t="inlineStr">
        <is>
          <t>pro14</t>
        </is>
      </c>
      <c r="F347" t="inlineStr">
        <is>
          <t>prod</t>
        </is>
      </c>
    </row>
    <row r="348">
      <c r="A348" t="inlineStr">
        <is>
          <t>2025-05-09 17:38:16.826</t>
        </is>
      </c>
      <c r="B348">
        <f>=请求结束== [请求耗时]:11毫秒, [返回数据]:{"code":"000000","msg":"Success","traceId":"17f581cb5f12545c0430457614039f8c"}</f>
        <v/>
      </c>
      <c r="C348" t="inlineStr">
        <is>
          <t>INFO</t>
        </is>
      </c>
      <c r="D348" t="inlineStr">
        <is>
          <t>vdh</t>
        </is>
      </c>
      <c r="E348" t="inlineStr">
        <is>
          <t>pro17</t>
        </is>
      </c>
      <c r="F348" t="inlineStr">
        <is>
          <t>prod</t>
        </is>
      </c>
    </row>
    <row r="349">
      <c r="A349" t="inlineStr">
        <is>
          <t>2025-05-09 17:38:16.815</t>
        </is>
      </c>
      <c r="B349">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88:00:68","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17,"minute":38,"second":11,"nano":0,"chronology":{"id":"ISO","calendarType":"iso8601"}},"response":1746783491564}]]</f>
        <v/>
      </c>
      <c r="C349" t="inlineStr">
        <is>
          <t>INFO</t>
        </is>
      </c>
      <c r="D349" t="inlineStr">
        <is>
          <t>vdh</t>
        </is>
      </c>
      <c r="E349" t="inlineStr">
        <is>
          <t>pro17</t>
        </is>
      </c>
      <c r="F349" t="inlineStr">
        <is>
          <t>prod</t>
        </is>
      </c>
    </row>
    <row r="350">
      <c r="A350" t="inlineStr">
        <is>
          <t>2025-05-09 17:37:06.692</t>
        </is>
      </c>
      <c r="B350">
        <f>=请求结束== [请求耗时]:15毫秒, [返回数据]:{"code":"000000","msg":"Success","traceId":"c2d5b071be43ded1a053e5f64f3815cc"}</f>
        <v/>
      </c>
      <c r="C350" t="inlineStr">
        <is>
          <t>INFO</t>
        </is>
      </c>
      <c r="D350" t="inlineStr">
        <is>
          <t>vdh</t>
        </is>
      </c>
      <c r="E350" t="inlineStr">
        <is>
          <t>pro14</t>
        </is>
      </c>
      <c r="F350" t="inlineStr">
        <is>
          <t>prod</t>
        </is>
      </c>
    </row>
    <row r="351">
      <c r="A351" t="inlineStr">
        <is>
          <t>2025-05-09 17:37:06.677</t>
        </is>
      </c>
      <c r="B351">
        <f>=请求开始== [请求IP]:116.8.73.219 ,[请求方式]:POST， [请求URL]:https://172.30.212.148:8080/api/appservice/bfv/v1/chatHistory/batchSave, [请求类名]:com.yingzi.appservice.bfv.provider.rest.ChatHistoryController,[请求方法名]:batchSave, [请求头参数]:{"host":"172.30.212.148:8080"}, [请求参数]:[[{"userId":1155562322246062080,"deviceId":"28:D0:EA:87:39:99","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17,"minute":37,"second":1,"nano":0,"chronology":{"id":"ISO","calendarType":"iso8601"}},"response":1746783421243}]]</f>
        <v/>
      </c>
      <c r="C351" t="inlineStr">
        <is>
          <t>INFO</t>
        </is>
      </c>
      <c r="D351" t="inlineStr">
        <is>
          <t>vdh</t>
        </is>
      </c>
      <c r="E351" t="inlineStr">
        <is>
          <t>pro14</t>
        </is>
      </c>
      <c r="F351" t="inlineStr">
        <is>
          <t>prod</t>
        </is>
      </c>
    </row>
    <row r="352">
      <c r="A352" t="inlineStr">
        <is>
          <t>2025-05-09 17:32:55.299</t>
        </is>
      </c>
      <c r="B352">
        <f>=请求结束== [请求耗时]:15毫秒, [返回数据]:{"code":"000000","msg":"Success","traceId":"c85ba0a89acf9cfce68db88973b96191"}</f>
        <v/>
      </c>
      <c r="C352" t="inlineStr">
        <is>
          <t>INFO</t>
        </is>
      </c>
      <c r="D352" t="inlineStr">
        <is>
          <t>vdh</t>
        </is>
      </c>
      <c r="E352" t="inlineStr">
        <is>
          <t>pro17</t>
        </is>
      </c>
      <c r="F352" t="inlineStr">
        <is>
          <t>prod</t>
        </is>
      </c>
    </row>
    <row r="353">
      <c r="A353" t="inlineStr">
        <is>
          <t>2025-05-09 17:32:55.284</t>
        </is>
      </c>
      <c r="B353">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64:79:F0:79:7A:16","sessionId":"","avatarId":"11200220000208050000000000000000","appCode":"VDHtestWDC","instructionTemplateType":"","recordId":"","asrResult":"","knowledgeId":"","knowledgeMasterId":"","instructionType":"","instructionName":"","instructionFlag":"","parameter":"{}","ttsResultSource":"","ttsResult":"","response":0}]]</f>
        <v/>
      </c>
      <c r="C353" t="inlineStr">
        <is>
          <t>INFO</t>
        </is>
      </c>
      <c r="D353" t="inlineStr">
        <is>
          <t>vdh</t>
        </is>
      </c>
      <c r="E353" t="inlineStr">
        <is>
          <t>pro17</t>
        </is>
      </c>
      <c r="F353" t="inlineStr">
        <is>
          <t>prod</t>
        </is>
      </c>
    </row>
    <row r="354">
      <c r="A354" t="inlineStr">
        <is>
          <t>2025-05-09 17:32:53.024</t>
        </is>
      </c>
      <c r="B354">
        <f>=请求结束== [请求耗时]:16毫秒, [返回数据]:{"code":"000000","msg":"Success","traceId":"44fb1e8001d960a68b30834aecea0999"}</f>
        <v/>
      </c>
      <c r="C354" t="inlineStr">
        <is>
          <t>INFO</t>
        </is>
      </c>
      <c r="D354" t="inlineStr">
        <is>
          <t>vdh</t>
        </is>
      </c>
      <c r="E354" t="inlineStr">
        <is>
          <t>pro14</t>
        </is>
      </c>
      <c r="F354" t="inlineStr">
        <is>
          <t>prod</t>
        </is>
      </c>
    </row>
    <row r="355">
      <c r="A355" t="inlineStr">
        <is>
          <t>2025-05-09 17:32:53.008</t>
        </is>
      </c>
      <c r="B355">
        <f>=请求开始== [请求IP]:180.140.14.59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17,"minute":32,"second":46,"nano":0,"chronology":{"id":"ISO","calendarType":"iso8601"}},"response":1746783166427}]]</f>
        <v/>
      </c>
      <c r="C355" t="inlineStr">
        <is>
          <t>INFO</t>
        </is>
      </c>
      <c r="D355" t="inlineStr">
        <is>
          <t>vdh</t>
        </is>
      </c>
      <c r="E355" t="inlineStr">
        <is>
          <t>pro14</t>
        </is>
      </c>
      <c r="F355" t="inlineStr">
        <is>
          <t>prod</t>
        </is>
      </c>
    </row>
    <row r="356">
      <c r="A356" t="inlineStr">
        <is>
          <t>2025-05-09 17:31:06.370</t>
        </is>
      </c>
      <c r="B356">
        <f>=请求结束== [请求耗时]:14毫秒, [返回数据]:{"code":"000000","msg":"Success","traceId":"bc19fbed6e82a8b994aba63ff0a4c0ac"}</f>
        <v/>
      </c>
      <c r="C356" t="inlineStr">
        <is>
          <t>INFO</t>
        </is>
      </c>
      <c r="D356" t="inlineStr">
        <is>
          <t>vdh</t>
        </is>
      </c>
      <c r="E356" t="inlineStr">
        <is>
          <t>pro17</t>
        </is>
      </c>
      <c r="F356" t="inlineStr">
        <is>
          <t>prod</t>
        </is>
      </c>
    </row>
    <row r="357">
      <c r="A357" t="inlineStr">
        <is>
          <t>2025-05-09 17:31:06.356</t>
        </is>
      </c>
      <c r="B357">
        <f>=请求开始== [请求IP]:116.8.73.219 ,[请求方式]:POST， [请求URL]:https://172.30.103.196:8080/api/appservice/bfv/v1/chatHistory/batchSave, [请求类名]:com.yingzi.appservice.bfv.provider.rest.ChatHistoryController,[请求方法名]:batchSave, [请求头参数]:{"host":"172.30.103.196:8080"}, [请求参数]:[[{"userId":1155562322246062080,"deviceId":"28:D0:EA:87:39:99","sessionId":"","avatarId":"11200220000208050000000000000000","appCode":"VDHtestWDC","instructionTemplateType":"","recordId":"","asrResult":"","knowledgeId":"","knowledgeMasterId":"","instructionType":"","instructionName":"","instructionFlag":"","parameter":"{}","ttsResultSource":"local","ttsResult":"小万发现了文思豆腐,请选择烹饪模式开始烹饪,请耐心等待","ttsResultTime":{"year":2025,"monthValue":5,"month":"MAY","dayOfMonth":9,"dayOfYear":129,"dayOfWeek":"FRIDAY","hour":17,"minute":30,"second":30,"nano":0,"chronology":{"id":"ISO","calendarType":"iso8601"}},"response":1746783030525}]]</f>
        <v/>
      </c>
      <c r="C357" t="inlineStr">
        <is>
          <t>INFO</t>
        </is>
      </c>
      <c r="D357" t="inlineStr">
        <is>
          <t>vdh</t>
        </is>
      </c>
      <c r="E357" t="inlineStr">
        <is>
          <t>pro17</t>
        </is>
      </c>
      <c r="F357" t="inlineStr">
        <is>
          <t>prod</t>
        </is>
      </c>
    </row>
    <row r="358">
      <c r="A358" t="inlineStr">
        <is>
          <t>2025-05-09 17:29:21.131</t>
        </is>
      </c>
      <c r="B358">
        <f>=请求结束== [请求耗时]:14毫秒, [返回数据]:{"code":"000000","msg":"Success","traceId":"e7b0d1172b6f37578dcc045485c46b9b"}</f>
        <v/>
      </c>
      <c r="C358" t="inlineStr">
        <is>
          <t>INFO</t>
        </is>
      </c>
      <c r="D358" t="inlineStr">
        <is>
          <t>vdh</t>
        </is>
      </c>
      <c r="E358" t="inlineStr">
        <is>
          <t>pro14</t>
        </is>
      </c>
      <c r="F358" t="inlineStr">
        <is>
          <t>prod</t>
        </is>
      </c>
    </row>
    <row r="359">
      <c r="A359" t="inlineStr">
        <is>
          <t>2025-05-09 17:29:21.116</t>
        </is>
      </c>
      <c r="B359">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88:00:68","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17,"minute":29,"second":15,"nano":0,"chronology":{"id":"ISO","calendarType":"iso8601"}},"response":1746782955786}]]</f>
        <v/>
      </c>
      <c r="C359" t="inlineStr">
        <is>
          <t>INFO</t>
        </is>
      </c>
      <c r="D359" t="inlineStr">
        <is>
          <t>vdh</t>
        </is>
      </c>
      <c r="E359" t="inlineStr">
        <is>
          <t>pro14</t>
        </is>
      </c>
      <c r="F359" t="inlineStr">
        <is>
          <t>prod</t>
        </is>
      </c>
    </row>
    <row r="360">
      <c r="A360" t="inlineStr">
        <is>
          <t>2025-05-09 17:28:41.978</t>
        </is>
      </c>
      <c r="B360">
        <f>=请求结束== [请求耗时]:14毫秒, [返回数据]:{"code":"000000","msg":"Success","traceId":"6bc2acf4be8324f2d117cf106dfdf575"}</f>
        <v/>
      </c>
      <c r="C360" t="inlineStr">
        <is>
          <t>INFO</t>
        </is>
      </c>
      <c r="D360" t="inlineStr">
        <is>
          <t>vdh</t>
        </is>
      </c>
      <c r="E360" t="inlineStr">
        <is>
          <t>pro17</t>
        </is>
      </c>
      <c r="F360" t="inlineStr">
        <is>
          <t>prod</t>
        </is>
      </c>
    </row>
    <row r="361">
      <c r="A361" t="inlineStr">
        <is>
          <t>2025-05-09 17:28:41.964</t>
        </is>
      </c>
      <c r="B361">
        <f>=请求开始== [请求IP]:119.32.28.2 ,[请求方式]:POST， [请求URL]:https://172.30.103.196:8080/api/appservice/bfv/v1/chatHistory/batchSave, [请求类名]:com.yingzi.appservice.bfv.provider.rest.ChatHistoryController,[请求方法名]:batchSave, [请求头参数]:{"host":"172.30.103.196:8080"}, [请求参数]:[[{"userId":1350158289398116352,"deviceId":"1C:99:57:15:E5:D7","sessionId":"","avatarId":"11200220000208050000000000000000","appCode":"VDHtestWDC","instructionTemplateType":"","recordId":"","asrResult":"","knowledgeId":"","knowledgeMasterId":"","instructionType":"","instructionName":"","instructionFlag":"","parameter":"{}","ttsResultSource":"","ttsResult":"","response":0}]]</f>
        <v/>
      </c>
      <c r="C361" t="inlineStr">
        <is>
          <t>INFO</t>
        </is>
      </c>
      <c r="D361" t="inlineStr">
        <is>
          <t>vdh</t>
        </is>
      </c>
      <c r="E361" t="inlineStr">
        <is>
          <t>pro17</t>
        </is>
      </c>
      <c r="F361" t="inlineStr">
        <is>
          <t>prod</t>
        </is>
      </c>
    </row>
    <row r="362">
      <c r="A362" t="inlineStr">
        <is>
          <t>2025-05-09 17:28:04.852</t>
        </is>
      </c>
      <c r="B362">
        <f>=请求结束== [请求耗时]:16毫秒, [返回数据]:{"code":"000000","msg":"Success","traceId":"b39221c1b8d2e8a9f620f85f7fc75b8f"}</f>
        <v/>
      </c>
      <c r="C362" t="inlineStr">
        <is>
          <t>INFO</t>
        </is>
      </c>
      <c r="D362" t="inlineStr">
        <is>
          <t>vdh</t>
        </is>
      </c>
      <c r="E362" t="inlineStr">
        <is>
          <t>pro14</t>
        </is>
      </c>
      <c r="F362" t="inlineStr">
        <is>
          <t>prod</t>
        </is>
      </c>
    </row>
    <row r="363">
      <c r="A363" t="inlineStr">
        <is>
          <t>2025-05-09 17:28:04.836</t>
        </is>
      </c>
      <c r="B36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3:25","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17,"minute":27,"second":59,"nano":0,"chronology":{"id":"ISO","calendarType":"iso8601"}},"response":2486456}]]</f>
        <v/>
      </c>
      <c r="C363" t="inlineStr">
        <is>
          <t>INFO</t>
        </is>
      </c>
      <c r="D363" t="inlineStr">
        <is>
          <t>vdh</t>
        </is>
      </c>
      <c r="E363" t="inlineStr">
        <is>
          <t>pro14</t>
        </is>
      </c>
      <c r="F363" t="inlineStr">
        <is>
          <t>prod</t>
        </is>
      </c>
    </row>
    <row r="364">
      <c r="A364" t="inlineStr">
        <is>
          <t>2025-05-09 17:27:39.325</t>
        </is>
      </c>
      <c r="B364">
        <f>=请求结束== [请求耗时]:14毫秒, [返回数据]:{"code":"000000","msg":"Success","traceId":"3bbcb448d9fc38de72e30007b08eccb9"}</f>
        <v/>
      </c>
      <c r="C364" t="inlineStr">
        <is>
          <t>INFO</t>
        </is>
      </c>
      <c r="D364" t="inlineStr">
        <is>
          <t>vdh</t>
        </is>
      </c>
      <c r="E364" t="inlineStr">
        <is>
          <t>pro14</t>
        </is>
      </c>
      <c r="F364" t="inlineStr">
        <is>
          <t>prod</t>
        </is>
      </c>
    </row>
    <row r="365">
      <c r="A365" t="inlineStr">
        <is>
          <t>2025-05-09 17:27:39.311</t>
        </is>
      </c>
      <c r="B365">
        <f>=请求开始== [请求IP]:27.47.32.93 ,[请求方式]:POST， [请求URL]:https://172.30.212.148:8080/api/appservice/bfv/v1/chatHistory/batchSave, [请求类名]:com.yingzi.appservice.bfv.provider.rest.ChatHistoryController,[请求方法名]:batchSave, [请求头参数]:{"host":"172.30.212.148:8080"}, [请求参数]:[[{"userId":1017171214170193920,"deviceId":"1C:99:57:17:63:AD","sessionId":"","avatarId":"11200220000208050000000000000000","appCode":"VDHtestWDC","instructionTemplateType":"","recordId":"","asrResult":"","knowledgeId":"","knowledgeMasterId":"","instructionType":"","instructionName":"","instructionFlag":"","parameter":"{}","ttsResultSource":"local","ttsResult":"这道菜小万还没学会,可以使用自助烹饪!","ttsResultTime":{"year":2025,"monthValue":5,"month":"MAY","dayOfMonth":9,"dayOfYear":129,"dayOfWeek":"FRIDAY","hour":17,"minute":27,"second":22,"nano":0,"chronology":{"id":"ISO","calendarType":"iso8601"}},"response":3552}]]</f>
        <v/>
      </c>
      <c r="C365" t="inlineStr">
        <is>
          <t>INFO</t>
        </is>
      </c>
      <c r="D365" t="inlineStr">
        <is>
          <t>vdh</t>
        </is>
      </c>
      <c r="E365" t="inlineStr">
        <is>
          <t>pro14</t>
        </is>
      </c>
      <c r="F365" t="inlineStr">
        <is>
          <t>prod</t>
        </is>
      </c>
    </row>
    <row r="366">
      <c r="A366" t="inlineStr">
        <is>
          <t>2025-05-09 17:27:24.007</t>
        </is>
      </c>
      <c r="B366">
        <f>=请求结束== [请求耗时]:15毫秒, [返回数据]:{"code":"000000","msg":"Success","traceId":"ca0b7d8e3c6921b2bb65da0fe85d7fb0"}</f>
        <v/>
      </c>
      <c r="C366" t="inlineStr">
        <is>
          <t>INFO</t>
        </is>
      </c>
      <c r="D366" t="inlineStr">
        <is>
          <t>vdh</t>
        </is>
      </c>
      <c r="E366" t="inlineStr">
        <is>
          <t>pro17</t>
        </is>
      </c>
      <c r="F366" t="inlineStr">
        <is>
          <t>prod</t>
        </is>
      </c>
    </row>
    <row r="367">
      <c r="A367" t="inlineStr">
        <is>
          <t>2025-05-09 17:27:23.992</t>
        </is>
      </c>
      <c r="B367">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F4:CE:23:BC:1A:E2","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17,"minute":27,"second":18,"nano":0,"chronology":{"id":"ISO","calendarType":"iso8601"}},"response":1746782838718}]]</f>
        <v/>
      </c>
      <c r="C367" t="inlineStr">
        <is>
          <t>INFO</t>
        </is>
      </c>
      <c r="D367" t="inlineStr">
        <is>
          <t>vdh</t>
        </is>
      </c>
      <c r="E367" t="inlineStr">
        <is>
          <t>pro17</t>
        </is>
      </c>
      <c r="F367" t="inlineStr">
        <is>
          <t>prod</t>
        </is>
      </c>
    </row>
    <row r="368">
      <c r="A368" t="inlineStr">
        <is>
          <t>2025-05-09 17:27:13.607</t>
        </is>
      </c>
      <c r="B368">
        <f>=请求结束== [请求耗时]:13毫秒, [返回数据]:{"code":"000000","msg":"Success","traceId":"7099851b7071c3cdd1444e851abb2e43"}</f>
        <v/>
      </c>
      <c r="C368" t="inlineStr">
        <is>
          <t>INFO</t>
        </is>
      </c>
      <c r="D368" t="inlineStr">
        <is>
          <t>vdh</t>
        </is>
      </c>
      <c r="E368" t="inlineStr">
        <is>
          <t>pro17</t>
        </is>
      </c>
      <c r="F368" t="inlineStr">
        <is>
          <t>prod</t>
        </is>
      </c>
    </row>
    <row r="369">
      <c r="A369" t="inlineStr">
        <is>
          <t>2025-05-09 17:27:13.594</t>
        </is>
      </c>
      <c r="B369">
        <f>=请求开始== [请求IP]:116.8.73.219 ,[请求方式]:POST， [请求URL]:https://172.30.103.196:8080/api/appservice/bfv/v1/chatHistory/batchSave, [请求类名]:com.yingzi.appservice.bfv.provider.rest.ChatHistoryController,[请求方法名]:batchSave, [请求头参数]:{"host":"172.30.103.196:8080"}, [请求参数]:[[{"userId":1155562322246062080,"deviceId":"28:D0:EA:87:39:99","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17,"minute":27,"second":8,"nano":0,"chronology":{"id":"ISO","calendarType":"iso8601"}},"response":1746782828018}]]</f>
        <v/>
      </c>
      <c r="C369" t="inlineStr">
        <is>
          <t>INFO</t>
        </is>
      </c>
      <c r="D369" t="inlineStr">
        <is>
          <t>vdh</t>
        </is>
      </c>
      <c r="E369" t="inlineStr">
        <is>
          <t>pro17</t>
        </is>
      </c>
      <c r="F369" t="inlineStr">
        <is>
          <t>prod</t>
        </is>
      </c>
    </row>
    <row r="370">
      <c r="A370" t="inlineStr">
        <is>
          <t>2025-05-09 17:26:43.795</t>
        </is>
      </c>
      <c r="B370">
        <f>=请求结束== [请求耗时]:14毫秒, [返回数据]:{"code":"000000","msg":"Success","traceId":"bb7f2d071caf767414c4080185c5a253"}</f>
        <v/>
      </c>
      <c r="C370" t="inlineStr">
        <is>
          <t>INFO</t>
        </is>
      </c>
      <c r="D370" t="inlineStr">
        <is>
          <t>vdh</t>
        </is>
      </c>
      <c r="E370" t="inlineStr">
        <is>
          <t>pro14</t>
        </is>
      </c>
      <c r="F370" t="inlineStr">
        <is>
          <t>prod</t>
        </is>
      </c>
    </row>
    <row r="371">
      <c r="A371" t="inlineStr">
        <is>
          <t>2025-05-09 17:26:43.782</t>
        </is>
      </c>
      <c r="B371">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17:5E:26","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17,"minute":19,"second":24,"nano":0,"chronology":{"id":"ISO","calendarType":"iso8601"}},"response":1746782364360}]]</f>
        <v/>
      </c>
      <c r="C371" t="inlineStr">
        <is>
          <t>INFO</t>
        </is>
      </c>
      <c r="D371" t="inlineStr">
        <is>
          <t>vdh</t>
        </is>
      </c>
      <c r="E371" t="inlineStr">
        <is>
          <t>pro14</t>
        </is>
      </c>
      <c r="F371" t="inlineStr">
        <is>
          <t>prod</t>
        </is>
      </c>
    </row>
    <row r="372">
      <c r="A372" t="inlineStr">
        <is>
          <t>2025-05-09 17:24:46.962</t>
        </is>
      </c>
      <c r="B372">
        <f>=请求结束== [请求耗时]:14毫秒, [返回数据]:{"code":"000000","msg":"Success","traceId":"e9e90d5678316e91fa74e6a6d75e5a15"}</f>
        <v/>
      </c>
      <c r="C372" t="inlineStr">
        <is>
          <t>INFO</t>
        </is>
      </c>
      <c r="D372" t="inlineStr">
        <is>
          <t>vdh</t>
        </is>
      </c>
      <c r="E372" t="inlineStr">
        <is>
          <t>pro17</t>
        </is>
      </c>
      <c r="F372" t="inlineStr">
        <is>
          <t>prod</t>
        </is>
      </c>
    </row>
    <row r="373">
      <c r="A373" t="inlineStr">
        <is>
          <t>2025-05-09 17:24:46.948</t>
        </is>
      </c>
      <c r="B373">
        <f>=请求开始== [请求IP]:122.90.30.31 ,[请求方式]:POST， [请求URL]:https://172.30.103.196:8080/api/appservice/bfv/v1/chatHistory/batchSave, [请求类名]:com.yingzi.appservice.bfv.provider.rest.ChatHistoryController,[请求方法名]:batchSave, [请求头参数]:{"host":"172.30.103.196:8080"}, [请求参数]:[[{"userId":1357297858318413824,"deviceId":"64:79:F0:78:D0:43","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17,"minute":24,"second":41,"nano":0,"chronology":{"id":"ISO","calendarType":"iso8601"}},"response":1746782681380}]]</f>
        <v/>
      </c>
      <c r="C373" t="inlineStr">
        <is>
          <t>INFO</t>
        </is>
      </c>
      <c r="D373" t="inlineStr">
        <is>
          <t>vdh</t>
        </is>
      </c>
      <c r="E373" t="inlineStr">
        <is>
          <t>pro17</t>
        </is>
      </c>
      <c r="F373" t="inlineStr">
        <is>
          <t>prod</t>
        </is>
      </c>
    </row>
    <row r="374">
      <c r="A374" t="inlineStr">
        <is>
          <t>2025-05-09 17:24:12.929</t>
        </is>
      </c>
      <c r="B374">
        <f>=请求结束== [请求耗时]:14毫秒, [返回数据]:{"code":"000000","msg":"Success","traceId":"179101b89691f07dae07cbef3b6050f3"}</f>
        <v/>
      </c>
      <c r="C374" t="inlineStr">
        <is>
          <t>INFO</t>
        </is>
      </c>
      <c r="D374" t="inlineStr">
        <is>
          <t>vdh</t>
        </is>
      </c>
      <c r="E374" t="inlineStr">
        <is>
          <t>pro14</t>
        </is>
      </c>
      <c r="F374" t="inlineStr">
        <is>
          <t>prod</t>
        </is>
      </c>
    </row>
    <row r="375">
      <c r="A375" t="inlineStr">
        <is>
          <t>2025-05-09 17:24:12.915</t>
        </is>
      </c>
      <c r="B375">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F4:CE:23:BC:1A:E2","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17,"minute":24,"second":7,"nano":0,"chronology":{"id":"ISO","calendarType":"iso8601"}},"response":1746782647613}]]</f>
        <v/>
      </c>
      <c r="C375" t="inlineStr">
        <is>
          <t>INFO</t>
        </is>
      </c>
      <c r="D375" t="inlineStr">
        <is>
          <t>vdh</t>
        </is>
      </c>
      <c r="E375" t="inlineStr">
        <is>
          <t>pro14</t>
        </is>
      </c>
      <c r="F375" t="inlineStr">
        <is>
          <t>prod</t>
        </is>
      </c>
    </row>
    <row r="376">
      <c r="A376" t="inlineStr">
        <is>
          <t>2025-05-09 17:24:11.432</t>
        </is>
      </c>
      <c r="B376">
        <f>=请求结束== [请求耗时]:16毫秒, [返回数据]:{"code":"000000","msg":"Success","traceId":"09a56c722de602746326090ef2fe22c8"}</f>
        <v/>
      </c>
      <c r="C376" t="inlineStr">
        <is>
          <t>INFO</t>
        </is>
      </c>
      <c r="D376" t="inlineStr">
        <is>
          <t>vdh</t>
        </is>
      </c>
      <c r="E376" t="inlineStr">
        <is>
          <t>pro17</t>
        </is>
      </c>
      <c r="F376" t="inlineStr">
        <is>
          <t>prod</t>
        </is>
      </c>
    </row>
    <row r="377">
      <c r="A377" t="inlineStr">
        <is>
          <t>2025-05-09 17:24:11.416</t>
        </is>
      </c>
      <c r="B377">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1C:99:57:15:E3:25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17,"minute":24,"second":6,"nano":0,"chronology":{"id":"ISO","calendarType":"iso8601"}},"response":2253187}]]</f>
        <v/>
      </c>
      <c r="C377" t="inlineStr">
        <is>
          <t>INFO</t>
        </is>
      </c>
      <c r="D377" t="inlineStr">
        <is>
          <t>vdh</t>
        </is>
      </c>
      <c r="E377" t="inlineStr">
        <is>
          <t>pro17</t>
        </is>
      </c>
      <c r="F377" t="inlineStr">
        <is>
          <t>prod</t>
        </is>
      </c>
    </row>
    <row r="378">
      <c r="A378" t="inlineStr">
        <is>
          <t>2025-05-09 17:22:58.417</t>
        </is>
      </c>
      <c r="B378">
        <f>=请求结束== [请求耗时]:16毫秒, [返回数据]:{"code":"000000","msg":"Success","traceId":"377de3d3cdbeab40a41d86cb312b149d"}</f>
        <v/>
      </c>
      <c r="C378" t="inlineStr">
        <is>
          <t>INFO</t>
        </is>
      </c>
      <c r="D378" t="inlineStr">
        <is>
          <t>vdh</t>
        </is>
      </c>
      <c r="E378" t="inlineStr">
        <is>
          <t>pro14</t>
        </is>
      </c>
      <c r="F378" t="inlineStr">
        <is>
          <t>prod</t>
        </is>
      </c>
    </row>
    <row r="379">
      <c r="A379" t="inlineStr">
        <is>
          <t>2025-05-09 17:22:58.402</t>
        </is>
      </c>
      <c r="B379">
        <f>=请求开始== [请求IP]:116.8.73.219 ,[请求方式]:POST， [请求URL]:https://172.30.212.148:8080/api/appservice/bfv/v1/chatHistory/batchSave, [请求类名]:com.yingzi.appservice.bfv.provider.rest.ChatHistoryController,[请求方法名]:batchSave, [请求头参数]:{"host":"172.30.212.148:8080"}, [请求参数]:[[{"userId":1155562322246062080,"deviceId":"28:D0:EA:87:39:99","sessionId":"","avatarId":"11200220000208050000000000000000","appCode":"VDHtestWDC","instructionTemplateType":"","recordId":"","asrResult":"","knowledgeId":"","knowledgeMasterId":"","instructionType":"","instructionName":"","instructionFlag":"","parameter":"{}","ttsResultSource":"local","ttsResult":"小万发现了牛奶,要帮主人开始烹饪吗开始烹饪,请耐心等待","ttsResultTime":{"year":2025,"monthValue":5,"month":"MAY","dayOfMonth":9,"dayOfYear":129,"dayOfWeek":"FRIDAY","hour":17,"minute":22,"second":54,"nano":0,"chronology":{"id":"ISO","calendarType":"iso8601"}},"response":1746782574610}]]</f>
        <v/>
      </c>
      <c r="C379" t="inlineStr">
        <is>
          <t>INFO</t>
        </is>
      </c>
      <c r="D379" t="inlineStr">
        <is>
          <t>vdh</t>
        </is>
      </c>
      <c r="E379" t="inlineStr">
        <is>
          <t>pro14</t>
        </is>
      </c>
      <c r="F379" t="inlineStr">
        <is>
          <t>prod</t>
        </is>
      </c>
    </row>
    <row r="380">
      <c r="A380" t="inlineStr">
        <is>
          <t>2025-05-09 17:22:32.335</t>
        </is>
      </c>
      <c r="B380">
        <f>=请求结束== [请求耗时]:14毫秒, [返回数据]:{"code":"000000","msg":"Success","traceId":"0db26283caa5b00031586187fae8126d"}</f>
        <v/>
      </c>
      <c r="C380" t="inlineStr">
        <is>
          <t>INFO</t>
        </is>
      </c>
      <c r="D380" t="inlineStr">
        <is>
          <t>vdh</t>
        </is>
      </c>
      <c r="E380" t="inlineStr">
        <is>
          <t>pro17</t>
        </is>
      </c>
      <c r="F380" t="inlineStr">
        <is>
          <t>prod</t>
        </is>
      </c>
    </row>
    <row r="381">
      <c r="A381" t="inlineStr">
        <is>
          <t>2025-05-09 17:22:32.321</t>
        </is>
      </c>
      <c r="B381">
        <f>=请求开始== [请求IP]:119.32.28.2 ,[请求方式]:POST， [请求URL]:https://172.30.103.196:8080/api/appservice/bfv/v1/chatHistory/batchSave, [请求类名]:com.yingzi.appservice.bfv.provider.rest.ChatHistoryController,[请求方法名]:batchSave, [请求头参数]:{"host":"172.30.103.196:8080"}, [请求参数]:[[{"userId":1350158289398116352,"deviceId":"1C:99:57:15:E5:D7","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17,"minute":22,"second":27,"nano":0,"chronology":{"id":"ISO","calendarType":"iso8601"}},"response":1746782547187}]]</f>
        <v/>
      </c>
      <c r="C381" t="inlineStr">
        <is>
          <t>INFO</t>
        </is>
      </c>
      <c r="D381" t="inlineStr">
        <is>
          <t>vdh</t>
        </is>
      </c>
      <c r="E381" t="inlineStr">
        <is>
          <t>pro17</t>
        </is>
      </c>
      <c r="F381" t="inlineStr">
        <is>
          <t>prod</t>
        </is>
      </c>
    </row>
    <row r="382">
      <c r="A382" t="inlineStr">
        <is>
          <t>2025-05-09 17:22:06.719</t>
        </is>
      </c>
      <c r="B382">
        <f>=请求结束== [请求耗时]:14毫秒, [返回数据]:{"code":"000000","msg":"Success","traceId":"6d3e28b3257c0eeefdf1229e269dd13c"}</f>
        <v/>
      </c>
      <c r="C382" t="inlineStr">
        <is>
          <t>INFO</t>
        </is>
      </c>
      <c r="D382" t="inlineStr">
        <is>
          <t>vdh</t>
        </is>
      </c>
      <c r="E382" t="inlineStr">
        <is>
          <t>pro14</t>
        </is>
      </c>
      <c r="F382" t="inlineStr">
        <is>
          <t>prod</t>
        </is>
      </c>
    </row>
    <row r="383">
      <c r="A383" t="inlineStr">
        <is>
          <t>2025-05-09 17:22:06.705</t>
        </is>
      </c>
      <c r="B383">
        <f>=请求开始== [请求IP]:116.8.73.219 ,[请求方式]:POST， [请求URL]:https://172.30.212.148:8080/api/appservice/bfv/v1/chatHistory/batchSave, [请求类名]:com.yingzi.appservice.bfv.provider.rest.ChatHistoryController,[请求方法名]:batchSave, [请求头参数]:{"host":"172.30.212.148:8080"}, [请求参数]:[[{"userId":1155562322246062080,"deviceId":"28:D0:EA:87:39:99","sessionId":"","avatarId":"11200220000208050000000000000000","appCode":"VDHtestWDC","instructionTemplateType":"","recordId":"","asrResult":"","knowledgeId":"","knowledgeMasterId":"","instructionType":"","instructionName":"","instructionFlag":"","parameter":"{}","ttsResultSource":"local","ttsResult":"小万发现了牛奶,请选择烹饪模式","ttsResultTime":{"year":2025,"monthValue":5,"month":"MAY","dayOfMonth":9,"dayOfYear":129,"dayOfWeek":"FRIDAY","hour":17,"minute":22,"second":3,"nano":0,"chronology":{"id":"ISO","calendarType":"iso8601"}},"response":1746782523202}]]</f>
        <v/>
      </c>
      <c r="C383" t="inlineStr">
        <is>
          <t>INFO</t>
        </is>
      </c>
      <c r="D383" t="inlineStr">
        <is>
          <t>vdh</t>
        </is>
      </c>
      <c r="E383" t="inlineStr">
        <is>
          <t>pro14</t>
        </is>
      </c>
      <c r="F383" t="inlineStr">
        <is>
          <t>prod</t>
        </is>
      </c>
    </row>
    <row r="384">
      <c r="A384" t="inlineStr">
        <is>
          <t>2025-05-09 17:17:48.409</t>
        </is>
      </c>
      <c r="B384">
        <f>=请求结束== [请求耗时]:16毫秒, [返回数据]:{"code":"000000","msg":"Success","traceId":"88d17460f0eec5ae806de943440d53e8"}</f>
        <v/>
      </c>
      <c r="C384" t="inlineStr">
        <is>
          <t>INFO</t>
        </is>
      </c>
      <c r="D384" t="inlineStr">
        <is>
          <t>vdh</t>
        </is>
      </c>
      <c r="E384" t="inlineStr">
        <is>
          <t>pro17</t>
        </is>
      </c>
      <c r="F384" t="inlineStr">
        <is>
          <t>prod</t>
        </is>
      </c>
    </row>
    <row r="385">
      <c r="A385" t="inlineStr">
        <is>
          <t>2025-05-09 17:17:48.393</t>
        </is>
      </c>
      <c r="B385">
        <f>=请求开始== [请求IP]:119.32.28.2 ,[请求方式]:POST， [请求URL]:https://172.30.103.196:8080/api/appservice/bfv/v1/chatHistory/batchSave, [请求类名]:com.yingzi.appservice.bfv.provider.rest.ChatHistoryController,[请求方法名]:batchSave, [请求头参数]:{"host":"172.30.103.196:8080"}, [请求参数]:[[{"userId":1350158289398116352,"deviceId":"1C:99:57:15:E5:D7","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17,"minute":17,"second":43,"nano":0,"chronology":{"id":"ISO","calendarType":"iso8601"}},"response":1746782263090}]]</f>
        <v/>
      </c>
      <c r="C385" t="inlineStr">
        <is>
          <t>INFO</t>
        </is>
      </c>
      <c r="D385" t="inlineStr">
        <is>
          <t>vdh</t>
        </is>
      </c>
      <c r="E385" t="inlineStr">
        <is>
          <t>pro17</t>
        </is>
      </c>
      <c r="F385" t="inlineStr">
        <is>
          <t>prod</t>
        </is>
      </c>
    </row>
    <row r="386">
      <c r="A386" t="inlineStr">
        <is>
          <t>2025-05-09 17:16:49.158</t>
        </is>
      </c>
      <c r="B386">
        <f>=请求结束== [请求耗时]:15毫秒, [返回数据]:{"code":"000000","msg":"Success","traceId":"bbdadaab9a693bf826ed9b68a707dd0c"}</f>
        <v/>
      </c>
      <c r="C386" t="inlineStr">
        <is>
          <t>INFO</t>
        </is>
      </c>
      <c r="D386" t="inlineStr">
        <is>
          <t>vdh</t>
        </is>
      </c>
      <c r="E386" t="inlineStr">
        <is>
          <t>pro14</t>
        </is>
      </c>
      <c r="F386" t="inlineStr">
        <is>
          <t>prod</t>
        </is>
      </c>
    </row>
    <row r="387">
      <c r="A387" t="inlineStr">
        <is>
          <t>2025-05-09 17:16:49.143</t>
        </is>
      </c>
      <c r="B387">
        <f>=请求开始== [请求IP]:122.90.30.31 ,[请求方式]:POST， [请求URL]:https://172.30.212.148:8080/api/appservice/bfv/v1/chatHistory/batchSave, [请求类名]:com.yingzi.appservice.bfv.provider.rest.ChatHistoryController,[请求方法名]:batchSave, [请求头参数]:{"host":"172.30.212.148:8080"}, [请求参数]:[[{"userId":1357297858318413824,"deviceId":"64:79:F0:78:D0:43","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17,"minute":16,"second":43,"nano":0,"chronology":{"id":"ISO","calendarType":"iso8601"}},"response":1746782203835}]]</f>
        <v/>
      </c>
      <c r="C387" t="inlineStr">
        <is>
          <t>INFO</t>
        </is>
      </c>
      <c r="D387" t="inlineStr">
        <is>
          <t>vdh</t>
        </is>
      </c>
      <c r="E387" t="inlineStr">
        <is>
          <t>pro14</t>
        </is>
      </c>
      <c r="F387" t="inlineStr">
        <is>
          <t>prod</t>
        </is>
      </c>
    </row>
    <row r="388">
      <c r="A388" t="inlineStr">
        <is>
          <t>2025-05-09 17:16:42.370</t>
        </is>
      </c>
      <c r="B388">
        <f>=请求结束== [请求耗时]:15毫秒, [返回数据]:{"code":"000000","msg":"Success","traceId":"98ff1315412373b9850a7a1fb271a6e6"}</f>
        <v/>
      </c>
      <c r="C388" t="inlineStr">
        <is>
          <t>INFO</t>
        </is>
      </c>
      <c r="D388" t="inlineStr">
        <is>
          <t>vdh</t>
        </is>
      </c>
      <c r="E388" t="inlineStr">
        <is>
          <t>pro17</t>
        </is>
      </c>
      <c r="F388" t="inlineStr">
        <is>
          <t>prod</t>
        </is>
      </c>
    </row>
    <row r="389">
      <c r="A389" t="inlineStr">
        <is>
          <t>2025-05-09 17:16:42.355</t>
        </is>
      </c>
      <c r="B389">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1C:99:57:15:E3:34","sessionId":"","avatarId":"11200220000208050000000000000000","appCode":"VDHtestWDC","instructionTemplateType":"Chat_library","recordId":"","asrResult":"嗯","instructionAsrFirstTime":{"year":2025,"monthValue":5,"month":"MAY","dayOfMonth":9,"dayOfYear":129,"dayOfWeek":"FRIDAY","hour":17,"minute":12,"second":17,"nano":0,"chronology":{"id":"ISO","calendarType":"iso8601"}},"knowledgeId":"","knowledgeMasterId":"","instructionType":"","instructionName":"","instructionFlag":"","parameter":"{\"nlpId\":\"17300825629321642727spln\",\"service\":\"Chat_library\"}","ttsResultSource":"FTT","ttsResult":"您好,有什么我可以帮助您的吗?如果您想了解新闻热点、天气情况或进行微波炉操作等,请告诉我,我会尽力协助您。","ttsResultTime":{"year":2025,"monthValue":5,"month":"MAY","dayOfMonth":9,"dayOfYear":129,"dayOfWeek":"FRIDAY","hour":17,"minute":12,"second":24,"nano":0,"chronology":{"id":"ISO","calendarType":"iso8601"}},"response":6045}]]</f>
        <v/>
      </c>
      <c r="C389" t="inlineStr">
        <is>
          <t>INFO</t>
        </is>
      </c>
      <c r="D389" t="inlineStr">
        <is>
          <t>vdh</t>
        </is>
      </c>
      <c r="E389" t="inlineStr">
        <is>
          <t>pro17</t>
        </is>
      </c>
      <c r="F389" t="inlineStr">
        <is>
          <t>prod</t>
        </is>
      </c>
    </row>
    <row r="390">
      <c r="A390" t="inlineStr">
        <is>
          <t>2025-05-09 17:16:30.761</t>
        </is>
      </c>
      <c r="B390">
        <f>=请求结束== [请求耗时]:4677毫秒</f>
        <v/>
      </c>
      <c r="C390" t="inlineStr">
        <is>
          <t>INFO</t>
        </is>
      </c>
      <c r="D390" t="inlineStr">
        <is>
          <t>vdh</t>
        </is>
      </c>
      <c r="E390" t="inlineStr">
        <is>
          <t>pro17</t>
        </is>
      </c>
      <c r="F390" t="inlineStr">
        <is>
          <t>prod</t>
        </is>
      </c>
    </row>
    <row r="391">
      <c r="A391" t="inlineStr">
        <is>
          <t>2025-05-09 17:16:30.760</t>
        </is>
      </c>
      <c r="B391" t="inlineStr">
        <is>
          <t>第1次流式调用完成，耗时：4122ms，response: Response { content = AiMessage { text = "您好，有什么我可以帮助您的吗？如果您想了解新闻热点、天气情况或进行微波炉操作等，请告诉我，我会尽力协助您。" toolExecutionRequests = null }, tokenUsage = TokenUsage { inputTokenCount = 4505, outputTokenCount = 65, totalTokenCount = 4570 }, finishReason = STOP }</t>
        </is>
      </c>
      <c r="C391" t="inlineStr">
        <is>
          <t>INFO</t>
        </is>
      </c>
      <c r="D391" t="inlineStr">
        <is>
          <t>vdh</t>
        </is>
      </c>
      <c r="E391" t="inlineStr">
        <is>
          <t>pro17</t>
        </is>
      </c>
      <c r="F391" t="inlineStr">
        <is>
          <t>prod</t>
        </is>
      </c>
    </row>
    <row r="392">
      <c r="A392" t="inlineStr">
        <is>
          <t>2025-05-09 17:16:29.874</t>
        </is>
      </c>
      <c r="B392" t="inlineStr">
        <is>
          <t xml:space="preserve">第1次流式调用开始回复，耗时：3236ms，第一个token: </t>
        </is>
      </c>
      <c r="C392" t="inlineStr">
        <is>
          <t>INFO</t>
        </is>
      </c>
      <c r="D392" t="inlineStr">
        <is>
          <t>vdh</t>
        </is>
      </c>
      <c r="E392" t="inlineStr">
        <is>
          <t>pro17</t>
        </is>
      </c>
      <c r="F392" t="inlineStr">
        <is>
          <t>prod</t>
        </is>
      </c>
    </row>
    <row r="393">
      <c r="A393" t="inlineStr">
        <is>
          <t>2025-05-09 17:16:26.638</t>
        </is>
      </c>
      <c r="B393" t="inlineStr">
        <is>
          <t>streaming provider=gpt, model: gpt-4o</t>
        </is>
      </c>
      <c r="C393" t="inlineStr">
        <is>
          <t>INFO</t>
        </is>
      </c>
      <c r="D393" t="inlineStr">
        <is>
          <t>vdh</t>
        </is>
      </c>
      <c r="E393" t="inlineStr">
        <is>
          <t>pro17</t>
        </is>
      </c>
      <c r="F393" t="inlineStr">
        <is>
          <t>prod</t>
        </is>
      </c>
    </row>
    <row r="394">
      <c r="A394" t="inlineStr">
        <is>
          <t>2025-05-09 17:16:26.631</t>
        </is>
      </c>
      <c r="B394">
        <f>=请求结束== [请求耗时]:519毫秒, [返回数据]:{"code":"000000","msg":"Success","data":[{"knowledgeId":"1326868148286373888","knowledgeContent":[{"score":0.7328424175,"content":"：2025年春节/过年/大年初一是1月29日，农历正月初一，星期三。","fileId":"1326944717968060416","chunkId":"paragraph-1"},{"score":0.72037296,"content":"：深圳数影科技的股价是多少？深圳数影科技有限公司没有上市，因此没有股价信息。 广西扬翔股份上市了吗？广西扬翔股份没有上市。","fileId":"1326944717968060416","chunkId":"paragraph-6"},{"score":0.7094145475,"content":"：2025年放假调休日期的具体安排如下： 2025年元旦：1月1日，周三，放假1天，不调休。 2025年除夕/大年夜是1月28日，农历十二月二十九，星期二。","fileId":"1326944717968060416","chunkId":"paragraph-0"}]},{"knowledgeId":"1272948056214077440","knowledgeContent":[{"score":0.7646530724999999,"content":"问题：不满。\\n回复：不满意的地方还请多多包涵。","fileId":"1303425377255075840","chunkId":"2671","textGroup":"不满"},{"score":0.7640617275,"content":"问题：晚安。\\n回复：晚安。","fileId":"1303425377255075840","chunkId":"2766","textGroup":"晚安"},{"score":0.7603591275,"content":"问题：你反应太慢了。\\n回复：抱歉我还在学习，所以反应有点慢。","fileId":"1303425377255075840","chunkId":"2686","textGroup":"你反应太慢了"},{"score":0.759430885,"content":"问题：你真好看。\\n回复：是吧，那得感谢设计我的人。","fileId":"1303425377255075840","chunkId":"2751","textGroup":"你真好看"},{"score":0.758763125,"content":"问题：你什么时候在线。\\n回复：我二十四小时在线的。","fileId":"1303425377255075840","chunkId":"2676","textGroup":"你什么时候在线"},{"score":0.7587228775,"content":"问题：你好。\\n回复：你好，有什么可以帮您。","fileId":"1303425377255075840","chunkId":"2699","textGroup":"你好"},{"score":0.7552546225,"content":"问题：可以和我聊聊天吗。\\n回复：你可以随时找我聊。","fileId":"1303425377255075840","chunkId":"2757","textGroup":"可以和我聊聊天吗"},{"score":0.7549038699999999,"content":"问题：你很智能。\\n回复：谢谢夸奖，我会继续学习的。","fileId":"1303425377255075840","chunkId":"2702","textGroup":"你很智能"},{"score":0.7536764275000001,"content":"问题：早上好。\\n回复：早上好，美好的一天又开始了。","fileId":"1303425377255075840","chunkId":"2764","textGroup":"早上好"},{"score":0.7535836075,"content":"问题：你真棒。\\n回复：谢谢赞美。","fileId":"1303425377255075840","chunkId":"2752","textGroup":"你真棒"},{"score":0.753367835,"content":"问题：谢谢。\\n回复：您客气了。","fileId":"1303425377255075840","chunkId":"2769","textGroup":"谢谢"},{"score":0.7528961274999999,"content":"问题：晚上好。\\n回复：能听见您的声音真好。","fileId":"1303425377255075840","chunkId":"2765","textGroup":"晚上好"},{"score":0.7525622475,"content":"问题：你是机器人吗。\\n回复：我是一个不知疲倦的虚拟人。","fileId":"1303425377255075840","chunkId":"2708","textGroup":"你是机器人吗"},{"score":0.75065761,"content":"问题：再见。\\n回复：拜拜，下次见。","fileId":"1303425377255075840","chunkId":"2756","textGroup":"再见"},{"score":0.7502561975,"content":"问题：你的身高是多少。\\n回复：我的身高是一米五。","fileId":"1303425377255075840","chunkId":"2750","textGroup":"你的身高是多少"}]},{"knowledgeId":"1329399948694220800","knowledgeContent":[{"score":0.7583909525,"content":"请帮我继续微波","fileId":"1347217269055369216","chunkId":"256","textGroup":"cooking_control {type=continue}"},{"score":0.7562827825,"content":"我想微波暂停","fileId":"1347217269055369216","chunkId":"195","textGroup":"cooking_control {type=pause}"},{"score":0.7559810325,"content":"我想了解下新闻热点","fileId":"1329400169758941184","chunkId":"64","textGroup":"news {type=top,size=3}"},{"score":0.7513254549999999,"content":"快启动吧","fileId":"1347217269055369216","chunkId":"137","textGroup":"cooking_control {type=start}"},{"score":0.7497799,"content":"给我把烹饪结束了","fileId":"1347217269055369216","chunkId":"359","textGroup":"cooking_control {type=stop}"},{"score":0.7473669625,"content":"现在天气","fileId":"1329400169758941184","chunkId":"2","textGroup":"getCurrentWeather"}]}]}</f>
        <v/>
      </c>
      <c r="C394" t="inlineStr">
        <is>
          <t>INFO</t>
        </is>
      </c>
      <c r="D394" t="inlineStr">
        <is>
          <t>vdh</t>
        </is>
      </c>
      <c r="E394" t="inlineStr">
        <is>
          <t>pro14</t>
        </is>
      </c>
      <c r="F394" t="inlineStr">
        <is>
          <t>prod</t>
        </is>
      </c>
    </row>
    <row r="395">
      <c r="A395" t="inlineStr">
        <is>
          <t>2025-05-09 17:16:26.630</t>
        </is>
      </c>
      <c r="B395" t="inlineStr">
        <is>
          <t>知识库插件检索耗时: 518ms</t>
        </is>
      </c>
      <c r="C395" t="inlineStr">
        <is>
          <t>INFO</t>
        </is>
      </c>
      <c r="D395" t="inlineStr">
        <is>
          <t>vdh</t>
        </is>
      </c>
      <c r="E395" t="inlineStr">
        <is>
          <t>pro14</t>
        </is>
      </c>
      <c r="F395" t="inlineStr">
        <is>
          <t>prod</t>
        </is>
      </c>
    </row>
    <row r="396">
      <c r="A396" t="inlineStr">
        <is>
          <t>2025-05-09 17:16:26.111</t>
        </is>
      </c>
      <c r="B396">
        <f>=请求开始== [请求IP]:172.18.33.17 ,[请求方式]:POST， [请求URL]:https://172.30.212.148:8080/api/appservice/bfv/v1/knowledge/retrieval/plugin, [请求类名]:com.yingzi.appservice.bfv.provider.rest.KnowledgeRetrievalController,[请求方法名]:plugin, [请求头参数]:{"host":"172.30.212.148:8080"}, [请求参数]:[{"query":"嗯","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396" t="inlineStr">
        <is>
          <t>INFO</t>
        </is>
      </c>
      <c r="D396" t="inlineStr">
        <is>
          <t>vdh</t>
        </is>
      </c>
      <c r="E396" t="inlineStr">
        <is>
          <t>pro14</t>
        </is>
      </c>
      <c r="F396" t="inlineStr">
        <is>
          <t>prod</t>
        </is>
      </c>
    </row>
    <row r="397">
      <c r="A397" t="inlineStr">
        <is>
          <t>2025-05-09 17:16:26.084</t>
        </is>
      </c>
      <c r="B397">
        <f>=请求开始== [请求IP]:172.18.114.98 ,[请求方式]:POST， [请求URL]:https://172.30.103.196:8080/api/appservice/bfv/v1/chat/, [请求类名]:com.yingzi.appservice.bfv.provider.rest.ChatV1Controller,[请求方法名]:chat, [请求头参数]:{"host":"172.30.103.196:8080"}, [请求参数]:[{"stream":true,"message":"嗯","args":"{\"channel_id\":\"9\"}"}]</f>
        <v/>
      </c>
      <c r="C397" t="inlineStr">
        <is>
          <t>INFO</t>
        </is>
      </c>
      <c r="D397" t="inlineStr">
        <is>
          <t>vdh</t>
        </is>
      </c>
      <c r="E397" t="inlineStr">
        <is>
          <t>pro17</t>
        </is>
      </c>
      <c r="F397" t="inlineStr">
        <is>
          <t>prod</t>
        </is>
      </c>
    </row>
    <row r="398">
      <c r="A398" t="inlineStr">
        <is>
          <t>2025-05-09 17:16:23.419</t>
        </is>
      </c>
      <c r="B398">
        <f>=请求结束== [请求耗时]:14毫秒, [返回数据]:{"code":"000000","msg":"Success","traceId":"de5be7965779e2ac3b124ffc5291ca1d"}</f>
        <v/>
      </c>
      <c r="C398" t="inlineStr">
        <is>
          <t>INFO</t>
        </is>
      </c>
      <c r="D398" t="inlineStr">
        <is>
          <t>vdh</t>
        </is>
      </c>
      <c r="E398" t="inlineStr">
        <is>
          <t>pro14</t>
        </is>
      </c>
      <c r="F398" t="inlineStr">
        <is>
          <t>prod</t>
        </is>
      </c>
    </row>
    <row r="399">
      <c r="A399" t="inlineStr">
        <is>
          <t>2025-05-09 17:16:23.405</t>
        </is>
      </c>
      <c r="B399">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87:97:8B","sessionId":"","avatarId":"11200220000208050000000000000000","appCode":"VDHtestWDC","instructionTemplateType":"","recordId":"","asrResult":"","knowledgeId":"","knowledgeMasterId":"","instructionType":"","instructionName":"","instructionFlag":"","parameter":"{}","ttsResultSource":"","ttsResult":"","response":0}]]</f>
        <v/>
      </c>
      <c r="C399" t="inlineStr">
        <is>
          <t>INFO</t>
        </is>
      </c>
      <c r="D399" t="inlineStr">
        <is>
          <t>vdh</t>
        </is>
      </c>
      <c r="E399" t="inlineStr">
        <is>
          <t>pro14</t>
        </is>
      </c>
      <c r="F399" t="inlineStr">
        <is>
          <t>prod</t>
        </is>
      </c>
    </row>
    <row r="400">
      <c r="A400" t="inlineStr">
        <is>
          <t>2025-05-09 17:15:55.485</t>
        </is>
      </c>
      <c r="B400">
        <f>=请求结束== [请求耗时]:19毫秒, [返回数据]:{"code":"000000","msg":"Success","traceId":"68b61112795f676b15d0a11d09cd8522"}</f>
        <v/>
      </c>
      <c r="C400" t="inlineStr">
        <is>
          <t>INFO</t>
        </is>
      </c>
      <c r="D400" t="inlineStr">
        <is>
          <t>vdh</t>
        </is>
      </c>
      <c r="E400" t="inlineStr">
        <is>
          <t>pro17</t>
        </is>
      </c>
      <c r="F400" t="inlineStr">
        <is>
          <t>prod</t>
        </is>
      </c>
    </row>
    <row r="401">
      <c r="A401" t="inlineStr">
        <is>
          <t>2025-05-09 17:15:55.466</t>
        </is>
      </c>
      <c r="B401">
        <f>=请求开始== [请求IP]:122.90.30.31 ,[请求方式]:POST， [请求URL]:https://172.30.103.196:8080/api/appservice/bfv/v1/chatHistory/batchSave, [请求类名]:com.yingzi.appservice.bfv.provider.rest.ChatHistoryController,[请求方法名]:batchSave, [请求头参数]:{"host":"172.30.103.196:8080"}, [请求参数]:[[{"userId":1357297858318413824,"deviceId":"F4:CE:23:BC:41:2F","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17,"minute":15,"second":48,"nano":0,"chronology":{"id":"ISO","calendarType":"iso8601"}},"response":1746782148696}]]</f>
        <v/>
      </c>
      <c r="C401" t="inlineStr">
        <is>
          <t>INFO</t>
        </is>
      </c>
      <c r="D401" t="inlineStr">
        <is>
          <t>vdh</t>
        </is>
      </c>
      <c r="E401" t="inlineStr">
        <is>
          <t>pro17</t>
        </is>
      </c>
      <c r="F401" t="inlineStr">
        <is>
          <t>prod</t>
        </is>
      </c>
    </row>
    <row r="402">
      <c r="A402" t="inlineStr">
        <is>
          <t>2025-05-09 17:06:43.845</t>
        </is>
      </c>
      <c r="B402">
        <f>=请求结束== [请求耗时]:11毫秒, [返回数据]:{"code":"000000","msg":"Success","traceId":"dca266db4aaa832428be0d77cdec78f1"}</f>
        <v/>
      </c>
      <c r="C402" t="inlineStr">
        <is>
          <t>INFO</t>
        </is>
      </c>
      <c r="D402" t="inlineStr">
        <is>
          <t>vdh</t>
        </is>
      </c>
      <c r="E402" t="inlineStr">
        <is>
          <t>pro14</t>
        </is>
      </c>
      <c r="F402" t="inlineStr">
        <is>
          <t>prod</t>
        </is>
      </c>
    </row>
    <row r="403">
      <c r="A403" t="inlineStr">
        <is>
          <t>2025-05-09 17:06:43.834</t>
        </is>
      </c>
      <c r="B403">
        <f>=请求开始== [请求IP]:171.104.158.186 ,[请求方式]:POST， [请求URL]:https://172.30.212.148:8080/api/appservice/bfv/v1/chatHistory/batchSave, [请求类名]:com.yingzi.appservice.bfv.provider.rest.ChatHistoryController,[请求方法名]:batchSave, [请求头参数]:{"host":"172.30.212.148:8080"}, [请求参数]:[[{"userId":877845005063770112,"deviceId":"1C:99:57:15:E5:F0","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3,"month":"MARCH","dayOfMonth":26,"dayOfYear":85,"dayOfWeek":"WEDNESDAY","hour":17,"minute":13,"second":2,"nano":0,"chronology":{"id":"ISO","calendarType":"iso8601"}},"response":4429026}]]</f>
        <v/>
      </c>
      <c r="C403" t="inlineStr">
        <is>
          <t>INFO</t>
        </is>
      </c>
      <c r="D403" t="inlineStr">
        <is>
          <t>vdh</t>
        </is>
      </c>
      <c r="E403" t="inlineStr">
        <is>
          <t>pro14</t>
        </is>
      </c>
      <c r="F403" t="inlineStr">
        <is>
          <t>prod</t>
        </is>
      </c>
    </row>
    <row r="404">
      <c r="A404" t="inlineStr">
        <is>
          <t>2025-05-09 17:03:43.322</t>
        </is>
      </c>
      <c r="B404">
        <f>=请求结束== [请求耗时]:24毫秒, [返回数据]:{"code":"000000","msg":"Success","traceId":"042bc8b974ece26650917967e7cf9f80"}</f>
        <v/>
      </c>
      <c r="C404" t="inlineStr">
        <is>
          <t>INFO</t>
        </is>
      </c>
      <c r="D404" t="inlineStr">
        <is>
          <t>vdh</t>
        </is>
      </c>
      <c r="E404" t="inlineStr">
        <is>
          <t>pro17</t>
        </is>
      </c>
      <c r="F404" t="inlineStr">
        <is>
          <t>prod</t>
        </is>
      </c>
    </row>
    <row r="405">
      <c r="A405" t="inlineStr">
        <is>
          <t>2025-05-09 17:03:43.298</t>
        </is>
      </c>
      <c r="B405">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15:5F:7C","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16,"minute":59,"second":49,"nano":0,"chronology":{"id":"ISO","calendarType":"iso8601"}},"response":1746781189344}]]</f>
        <v/>
      </c>
      <c r="C405" t="inlineStr">
        <is>
          <t>INFO</t>
        </is>
      </c>
      <c r="D405" t="inlineStr">
        <is>
          <t>vdh</t>
        </is>
      </c>
      <c r="E405" t="inlineStr">
        <is>
          <t>pro17</t>
        </is>
      </c>
      <c r="F405" t="inlineStr">
        <is>
          <t>prod</t>
        </is>
      </c>
    </row>
    <row r="406">
      <c r="A406" t="inlineStr">
        <is>
          <t>2025-05-09 17:01:15.915</t>
        </is>
      </c>
      <c r="B406">
        <f>=请求结束== [请求耗时]:14850毫秒</f>
        <v/>
      </c>
      <c r="C406" t="inlineStr">
        <is>
          <t>INFO</t>
        </is>
      </c>
      <c r="D406" t="inlineStr">
        <is>
          <t>vdh</t>
        </is>
      </c>
      <c r="E406" t="inlineStr">
        <is>
          <t>pro14</t>
        </is>
      </c>
      <c r="F406" t="inlineStr">
        <is>
          <t>prod</t>
        </is>
      </c>
    </row>
    <row r="407">
      <c r="A407" t="inlineStr">
        <is>
          <t>2025-05-09 17:01:15.914</t>
        </is>
      </c>
      <c r="B407" t="inlineStr">
        <is>
          <t>第2次流式调用完成，耗时：3959ms，response: Response { content = AiMessage { text = "今天广州市天河区的天气是中雨到大雨，白天气温29°C，夜间气温降至20°C，风向为北风。请注意出行安全，尽量避免在大雨中外出。" toolExecutionRequests = null }, tokenUsage = TokenUsage { inputTokenCount = 5433, outputTokenCount = 75, totalTokenCount = 5508 }, finishReason = STOP }</t>
        </is>
      </c>
      <c r="C407" t="inlineStr">
        <is>
          <t>INFO</t>
        </is>
      </c>
      <c r="D407" t="inlineStr">
        <is>
          <t>vdh</t>
        </is>
      </c>
      <c r="E407" t="inlineStr">
        <is>
          <t>pro14</t>
        </is>
      </c>
      <c r="F407" t="inlineStr">
        <is>
          <t>prod</t>
        </is>
      </c>
    </row>
    <row r="408">
      <c r="A408" t="inlineStr">
        <is>
          <t>2025-05-09 17:01:15.055</t>
        </is>
      </c>
      <c r="B408" t="inlineStr">
        <is>
          <t xml:space="preserve">第2次流式调用开始回复，耗时：3100ms，第一个token: </t>
        </is>
      </c>
      <c r="C408" t="inlineStr">
        <is>
          <t>INFO</t>
        </is>
      </c>
      <c r="D408" t="inlineStr">
        <is>
          <t>vdh</t>
        </is>
      </c>
      <c r="E408" t="inlineStr">
        <is>
          <t>pro14</t>
        </is>
      </c>
      <c r="F408" t="inlineStr">
        <is>
          <t>prod</t>
        </is>
      </c>
    </row>
    <row r="409">
      <c r="A409" t="inlineStr">
        <is>
          <t>2025-05-09 17:01:11.955</t>
        </is>
      </c>
      <c r="B409" t="inlineStr">
        <is>
          <t>streaming provider=gpt, model: gpt-4o-mini</t>
        </is>
      </c>
      <c r="C409" t="inlineStr">
        <is>
          <t>INFO</t>
        </is>
      </c>
      <c r="D409" t="inlineStr">
        <is>
          <t>vdh</t>
        </is>
      </c>
      <c r="E409" t="inlineStr">
        <is>
          <t>pro14</t>
        </is>
      </c>
      <c r="F409" t="inlineStr">
        <is>
          <t>prod</t>
        </is>
      </c>
    </row>
    <row r="410">
      <c r="A410" t="inlineStr">
        <is>
          <t>2025-05-09 17:01:11.954</t>
        </is>
      </c>
      <c r="B410" t="inlineStr">
        <is>
          <t>执行天气工具，耗时: 1480ms</t>
        </is>
      </c>
      <c r="C410" t="inlineStr">
        <is>
          <t>INFO</t>
        </is>
      </c>
      <c r="D410" t="inlineStr">
        <is>
          <t>vdh</t>
        </is>
      </c>
      <c r="E410" t="inlineStr">
        <is>
          <t>pro14</t>
        </is>
      </c>
      <c r="F410" t="inlineStr">
        <is>
          <t>prod</t>
        </is>
      </c>
    </row>
    <row r="411">
      <c r="A411" t="inlineStr">
        <is>
          <t>2025-05-09 17:01:10.473</t>
        </is>
      </c>
      <c r="B411" t="inlineStr">
        <is>
          <t>第1次流式调用完成，耗时：8816ms，response: Response { content = AiMessage { text = null toolExecutionRequests = [ToolExecutionRequest { id = "call_vOjPV0QBRWJM1iPTatGsrCpc", name = "getCurrentWeather", arguments = "{"province":"广东省","city":"广州市","district":"天河区"}" }] }, tokenUsage = TokenUsage { inputTokenCount = 5460, outputTokenCount = 26, totalTokenCount = 5486 }, finishReason = TOOL_EXECUTION }</t>
        </is>
      </c>
      <c r="C411" t="inlineStr">
        <is>
          <t>INFO</t>
        </is>
      </c>
      <c r="D411" t="inlineStr">
        <is>
          <t>vdh</t>
        </is>
      </c>
      <c r="E411" t="inlineStr">
        <is>
          <t>pro14</t>
        </is>
      </c>
      <c r="F411" t="inlineStr">
        <is>
          <t>prod</t>
        </is>
      </c>
    </row>
    <row r="412">
      <c r="A412" t="inlineStr">
        <is>
          <t>2025-05-09 17:01:01.657</t>
        </is>
      </c>
      <c r="B412" t="inlineStr">
        <is>
          <t>streaming provider=gpt, model: gpt-4o</t>
        </is>
      </c>
      <c r="C412" t="inlineStr">
        <is>
          <t>INFO</t>
        </is>
      </c>
      <c r="D412" t="inlineStr">
        <is>
          <t>vdh</t>
        </is>
      </c>
      <c r="E412" t="inlineStr">
        <is>
          <t>pro14</t>
        </is>
      </c>
      <c r="F412" t="inlineStr">
        <is>
          <t>prod</t>
        </is>
      </c>
    </row>
    <row r="413">
      <c r="A413" t="inlineStr">
        <is>
          <t>2025-05-09 17:01:01.652</t>
        </is>
      </c>
      <c r="B413">
        <f>=请求结束== [请求耗时]:542毫秒, [返回数据]:{"code":"000000","msg":"Success","data":[{"knowledgeId":"1326868148286373888","knowledgeContent":[{"score":0.7487005275,"content":"：2025年春节/过年/大年初一是1月29日，农历正月初一，星期三。","fileId":"1326944717968060416","chunkId":"paragraph-1"},{"score":0.732156,"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0.7272380275,"content":"：以下是2025年二十四节气的新历（公历）和农历日期以及对应的星期信息。这里主要列出日期及星期： 1. 小寒：•新历：1月5日•农历：腊月初六•星期天 2. 大寒：•新历：1月20日•农历：腊月二十一•星期一 3. 立春：•新历：2月3日•农历：正月初六•星期一 4. 雨水：•新历：2月18日•农历：正月廿一•星期二 5. 惊蛰：•新历：3月5日•农历：二月初六•星期三 6. 春分：•新历：3月20日•农历：二月廿一•星期四 7. 清明：•新历：4月4日•农历：三月初七•星期五 8. 谷雨：•新历：4月20日•农历：三月廿三•星期日 9. 立夏：•新历：5月5日•农历：四月初八•星期一 10. 小满：•新历：5月21日•农历：四月廿四•星期三 11. 芒种：•新历：6月5日•农历：五月初十•星期四 12. 夏至：•新历：6月21日•农历：五月二十六•星期六","fileId":"1326944717968060416","chunkId":"paragraph-3"}]},{"knowledgeId":"1272948056214077440","knowledgeContent":[{"score":0.7430888275,"content":"问题：你喜欢的季节是。\\n回复：我喜欢夏天，可以沐浴阳光和沙滩。","fileId":"1303425377255075840","chunkId":"2694","textGroup":"你喜欢的季节是"},{"score":0.737831705,"content":"问题：早上好。\\n回复：早上好，美好的一天又开始了。","fileId":"1303425377255075840","chunkId":"2764","textGroup":"早上好"},{"score":0.7366913025,"content":"问题：今天过的如何。\\n回复：每天都充满动力，希望您也是如此","fileId":"1303425377255075840","chunkId":"2672","textGroup":"今天过的如何"},{"score":0.7356162224999999,"content":"问题：元宵节是星期几。\\n回复：2025年元宵节是2月12日，农历正月十五，星期三。","fileId":"1326953484684320768","chunkId":"4","textGroup":"元宵节日期"},{"score":0.7309356549999999,"content":"问题：元宵节放假吗。\\n回复：元宵节不放假。","fileId":"1326953484684320768","chunkId":"6","textGroup":"元宵节放假"},{"score":0.7291960025,"content":"问题：你的生日是什么时候。\\n回复：我的生日是1月1号。","fileId":"1303425377255075840","chunkId":"2747","textGroup":"你的生日是什么时候"},{"score":0.72637906,"content":"问题：你什么时候在线。\\n回复：我二十四小时在线的。","fileId":"1303425377255075840","chunkId":"2676","textGroup":"你什么时候在线"},{"score":0.7257053925,"content":"问题：晚安。\\n回复：晚安。","fileId":"1303425377255075840","chunkId":"2766","textGroup":"晚安"},{"score":0.7238199649999999,"content":"问题：假期愉快。\\n回复：假期愉快，玩得开心哟！","fileId":"1303425377255075840","chunkId":"2755","textGroup":"假期愉快"},{"score":0.7227034474999999,"content":"问题：你今天看起来很不错。\\n回复：每天都在为主人提供服务，非常充实。","fileId":"1303425377255075840","chunkId":"2677","textGroup":"你今天看起来很不错"},{"score":0.15098284500000003,"content":"问题：你的小红书账号是什么。\\n回复：万得厨官方小红书账号为“万得厨今天吃什么”，不定时为您推送最全使用指南及最美味的食品食谱，期待您的关注！","fileId":"1303425377255075840","chunkId":"564","textGroup":"你有小红书账号吗"}]},{"knowledgeId":"1329399948694220800","knowledgeContent":[{"score":0.83324973,"content":"今天天气是怎样的","fileId":"1329400169758941184","chunkId":"12","textGroup":"getCurrentWeather"},{"score":0.79532885,"content":"天河区今天天气","fileId":"1329400169758941184","chunkId":"37","textGroup":"getCurrentWeather {province=广东省,city=广州市,district=天河区}"},{"score":0.794731725,"content":"北京今天天气","fileId":"1329400169758941184","chunkId":"49","textGroup":"getCurrentWeather {province=北京市}"},{"score":0.7922109225,"content":"光明区今天天气","fileId":"1329400169758941184","chunkId":"47","textGroup":"getCurrentWeather {province=广东省,city=深圳市,district=光明区}"},{"score":0.789676775,"content":"通州区今天天气","fileId":"1329400169758941184","chunkId":"50","textGroup":"getCurrentWeather {province=北京市,district=通州区}"},{"score":0.788617675,"content":"宝安区今天天气","fileId":"1329400169758941184","chunkId":"44","textGroup":"getCurrentWeather {province=广东省,city=深圳市,district=宝安区}"},{"score":0.78814363,"content":"港北区今天天气","fileId":"1329400169758941184","chunkId":"33","textGroup":"getCurrentWeather {province=广西壮族自治区,city=贵港市,district=港北区}"},{"score":0.7876301025,"content":"港南区今天天气","fileId":"1329400169758941184","chunkId":"32","textGroup":"getCurrentWeather {province=广西壮族自治区,city=贵港市,district=港南区}"},{"score":0.7867613175,"content":"罗湖区今天天气","fileId":"1329400169758941184","chunkId":"45","textGroup":"getCurrentWeath</f>
        <v/>
      </c>
      <c r="C413" t="inlineStr">
        <is>
          <t>INFO</t>
        </is>
      </c>
      <c r="D413" t="inlineStr">
        <is>
          <t>vdh</t>
        </is>
      </c>
      <c r="E413" t="inlineStr">
        <is>
          <t>pro14</t>
        </is>
      </c>
      <c r="F413" t="inlineStr">
        <is>
          <t>prod</t>
        </is>
      </c>
    </row>
    <row r="414">
      <c r="A414" t="inlineStr">
        <is>
          <t>2025-05-09 17:01:01.651</t>
        </is>
      </c>
      <c r="B414" t="inlineStr">
        <is>
          <t>知识库插件检索耗时: 540ms</t>
        </is>
      </c>
      <c r="C414" t="inlineStr">
        <is>
          <t>INFO</t>
        </is>
      </c>
      <c r="D414" t="inlineStr">
        <is>
          <t>vdh</t>
        </is>
      </c>
      <c r="E414" t="inlineStr">
        <is>
          <t>pro14</t>
        </is>
      </c>
      <c r="F414" t="inlineStr">
        <is>
          <t>prod</t>
        </is>
      </c>
    </row>
    <row r="415">
      <c r="A415" t="inlineStr">
        <is>
          <t>2025-05-09 17:01:01.110</t>
        </is>
      </c>
      <c r="B415">
        <f>=请求开始== [请求IP]:172.18.33.14 ,[请求方式]:POST， [请求URL]:https://172.30.212.148:8080/api/appservice/bfv/v1/knowledge/retrieval/plugin, [请求类名]:com.yingzi.appservice.bfv.provider.rest.KnowledgeRetrievalController,[请求方法名]:plugin, [请求头参数]:{"host":"172.30.212.148:8080"}, [请求参数]:[{"query":"今天是什么天气","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415" t="inlineStr">
        <is>
          <t>INFO</t>
        </is>
      </c>
      <c r="D415" t="inlineStr">
        <is>
          <t>vdh</t>
        </is>
      </c>
      <c r="E415" t="inlineStr">
        <is>
          <t>pro14</t>
        </is>
      </c>
      <c r="F415" t="inlineStr">
        <is>
          <t>prod</t>
        </is>
      </c>
    </row>
    <row r="416">
      <c r="A416" t="inlineStr">
        <is>
          <t>2025-05-09 17:01:01.065</t>
        </is>
      </c>
      <c r="B416">
        <f>=请求开始== [请求IP]:172.18.114.116 ,[请求方式]:POST， [请求URL]:https://172.30.212.148:8080/api/appservice/bfv/v1/chat/, [请求类名]:com.yingzi.appservice.bfv.provider.rest.ChatV1Controller,[请求方法名]:chat, [请求头参数]:{"host":"172.30.212.148:8080"}, [请求参数]:[{"stream":true,"message":"今天是什么天气","args":"{\"adcode\":\"440300\",\"channel_id\":\"9\"}"}]</f>
        <v/>
      </c>
      <c r="C416" t="inlineStr">
        <is>
          <t>INFO</t>
        </is>
      </c>
      <c r="D416" t="inlineStr">
        <is>
          <t>vdh</t>
        </is>
      </c>
      <c r="E416" t="inlineStr">
        <is>
          <t>pro14</t>
        </is>
      </c>
      <c r="F416" t="inlineStr">
        <is>
          <t>prod</t>
        </is>
      </c>
    </row>
    <row r="417">
      <c r="A417" t="inlineStr">
        <is>
          <t>2025-05-09 16:59:21.522</t>
        </is>
      </c>
      <c r="B417">
        <f>=请求结束== [请求耗时]:15毫秒, [返回数据]:{"code":"000000","msg":"Success","traceId":"b9b4c4c50e190638d7f580b476323f5c"}</f>
        <v/>
      </c>
      <c r="C417" t="inlineStr">
        <is>
          <t>INFO</t>
        </is>
      </c>
      <c r="D417" t="inlineStr">
        <is>
          <t>vdh</t>
        </is>
      </c>
      <c r="E417" t="inlineStr">
        <is>
          <t>pro17</t>
        </is>
      </c>
      <c r="F417" t="inlineStr">
        <is>
          <t>prod</t>
        </is>
      </c>
    </row>
    <row r="418">
      <c r="A418" t="inlineStr">
        <is>
          <t>2025-05-09 16:59:21.507</t>
        </is>
      </c>
      <c r="B418">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小万发现了豌豆尖,要开始烹饪吗","ttsResultTime":{"year":2025,"monthValue":5,"month":"MAY","dayOfMonth":9,"dayOfYear":129,"dayOfWeek":"FRIDAY","hour":16,"minute":52,"second":42,"nano":0,"chronology":{"id":"ISO","calendarType":"iso8601"}},"response":1746780762242}]]</f>
        <v/>
      </c>
      <c r="C418" t="inlineStr">
        <is>
          <t>INFO</t>
        </is>
      </c>
      <c r="D418" t="inlineStr">
        <is>
          <t>vdh</t>
        </is>
      </c>
      <c r="E418" t="inlineStr">
        <is>
          <t>pro17</t>
        </is>
      </c>
      <c r="F418" t="inlineStr">
        <is>
          <t>prod</t>
        </is>
      </c>
    </row>
    <row r="419">
      <c r="A419" t="inlineStr">
        <is>
          <t>2025-05-09 16:58:41.336</t>
        </is>
      </c>
      <c r="B419">
        <f>=请求结束== [请求耗时]:13毫秒, [返回数据]:{"code":"000000","msg":"Success","traceId":"b18f77cc227be392bdd88236e53bd4e7"}</f>
        <v/>
      </c>
      <c r="C419" t="inlineStr">
        <is>
          <t>INFO</t>
        </is>
      </c>
      <c r="D419" t="inlineStr">
        <is>
          <t>vdh</t>
        </is>
      </c>
      <c r="E419" t="inlineStr">
        <is>
          <t>pro14</t>
        </is>
      </c>
      <c r="F419" t="inlineStr">
        <is>
          <t>prod</t>
        </is>
      </c>
    </row>
    <row r="420">
      <c r="A420" t="inlineStr">
        <is>
          <t>2025-05-09 16:58:41.323</t>
        </is>
      </c>
      <c r="B420">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87:97:8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16,"minute":52,"second":0,"nano":0,"chronology":{"id":"ISO","calendarType":"iso8601"}},"response":1746780720214}]]</f>
        <v/>
      </c>
      <c r="C420" t="inlineStr">
        <is>
          <t>INFO</t>
        </is>
      </c>
      <c r="D420" t="inlineStr">
        <is>
          <t>vdh</t>
        </is>
      </c>
      <c r="E420" t="inlineStr">
        <is>
          <t>pro14</t>
        </is>
      </c>
      <c r="F420" t="inlineStr">
        <is>
          <t>prod</t>
        </is>
      </c>
    </row>
    <row r="421">
      <c r="A421" t="inlineStr">
        <is>
          <t>2025-05-09 16:58:14.280</t>
        </is>
      </c>
      <c r="B421">
        <f>=请求结束== [请求耗时]:10毫秒, [返回数据]:{"code":"000000","msg":"Success","traceId":"cc394f1e93ebd2d63202b978949efaf1"}</f>
        <v/>
      </c>
      <c r="C421" t="inlineStr">
        <is>
          <t>INFO</t>
        </is>
      </c>
      <c r="D421" t="inlineStr">
        <is>
          <t>vdh</t>
        </is>
      </c>
      <c r="E421" t="inlineStr">
        <is>
          <t>pro17</t>
        </is>
      </c>
      <c r="F421" t="inlineStr">
        <is>
          <t>prod</t>
        </is>
      </c>
    </row>
    <row r="422">
      <c r="A422" t="inlineStr">
        <is>
          <t>2025-05-09 16:58:14.270</t>
        </is>
      </c>
      <c r="B422">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64:79:F0:79:7A:16","sessionId":"","avatarId":"11200220000208050000000000000000","appCode":"VDHtestWDC","instructionTemplateType":"","recordId":"","asrResult":"","knowledgeId":"","knowledgeMasterId":"","instructionType":"","instructionName":"","instructionFlag":"","parameter":"{}","ttsResultSource":"","ttsResult":"","response":0}]]</f>
        <v/>
      </c>
      <c r="C422" t="inlineStr">
        <is>
          <t>INFO</t>
        </is>
      </c>
      <c r="D422" t="inlineStr">
        <is>
          <t>vdh</t>
        </is>
      </c>
      <c r="E422" t="inlineStr">
        <is>
          <t>pro17</t>
        </is>
      </c>
      <c r="F422" t="inlineStr">
        <is>
          <t>prod</t>
        </is>
      </c>
    </row>
    <row r="423">
      <c r="A423" t="inlineStr">
        <is>
          <t>2025-05-09 16:58:06.028</t>
        </is>
      </c>
      <c r="B423">
        <f>=请求结束== [请求耗时]:12毫秒, [返回数据]:{"code":"000000","msg":"Success","traceId":"7883f191d1649256dc252f94bf95b7eb"}</f>
        <v/>
      </c>
      <c r="C423" t="inlineStr">
        <is>
          <t>INFO</t>
        </is>
      </c>
      <c r="D423" t="inlineStr">
        <is>
          <t>vdh</t>
        </is>
      </c>
      <c r="E423" t="inlineStr">
        <is>
          <t>pro14</t>
        </is>
      </c>
      <c r="F423" t="inlineStr">
        <is>
          <t>prod</t>
        </is>
      </c>
    </row>
    <row r="424">
      <c r="A424" t="inlineStr">
        <is>
          <t>2025-05-09 16:58:06.016</t>
        </is>
      </c>
      <c r="B424">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recordId":"","asrResult":"","knowledgeId":"","knowledgeMasterId":"","instructionType":"","instructionName":"","instructionFlag":"","parameter":"{}","ttsResultSource":"","ttsResult":"","response":0}]]</f>
        <v/>
      </c>
      <c r="C424" t="inlineStr">
        <is>
          <t>INFO</t>
        </is>
      </c>
      <c r="D424" t="inlineStr">
        <is>
          <t>vdh</t>
        </is>
      </c>
      <c r="E424" t="inlineStr">
        <is>
          <t>pro14</t>
        </is>
      </c>
      <c r="F424" t="inlineStr">
        <is>
          <t>prod</t>
        </is>
      </c>
    </row>
    <row r="425">
      <c r="A425" t="inlineStr">
        <is>
          <t>2025-05-09 16:56:53.011</t>
        </is>
      </c>
      <c r="B425">
        <f>=请求结束== [请求耗时]:12毫秒, [返回数据]:{"code":"000000","msg":"Success","traceId":"45660f608db8b935ad7db1cb699d081b"}</f>
        <v/>
      </c>
      <c r="C425" t="inlineStr">
        <is>
          <t>INFO</t>
        </is>
      </c>
      <c r="D425" t="inlineStr">
        <is>
          <t>vdh</t>
        </is>
      </c>
      <c r="E425" t="inlineStr">
        <is>
          <t>pro17</t>
        </is>
      </c>
      <c r="F425" t="inlineStr">
        <is>
          <t>prod</t>
        </is>
      </c>
    </row>
    <row r="426">
      <c r="A426" t="inlineStr">
        <is>
          <t>2025-05-09 16:56:52.999</t>
        </is>
      </c>
      <c r="B426">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64:79:F0:79:7A:16","sessionId":"","avatarId":"11200220000208050000000000000000","appCode":"VDHtestWDC","instructionTemplateType":"Chat_library","recordId":"","asrResult":"高血糖人群应该注意什么","instructionAsrFirstTime":{"year":2025,"monthValue":5,"month":"MAY","dayOfMonth":9,"dayOfYear":129,"dayOfWeek":"FRIDAY","hour":16,"minute":56,"second":8,"nano":0,"chronology":{"id":"ISO","calendarType":"iso8601"}},"knowledgeId":"","knowledgeMasterId":"","instructionType":"","instructionName":"","instructionFlag":"","parameter":"{\"nlpId\":\"17300825629321642727spln\",\"service\":\"Chat_library\"}","ttsResultSource":"FTT","ttsResult":"高血糖人群在日常生活中需要注意以下几点:- 饮食控制,选择低糖、低脂肪、高纤维食物,多吃蔬菜水果,减少高糖、高脂肪食物的摄入。- 规律运动,适量的有氧运动可以帮助控制血糖水平。- 定期监测血糖,了解自身血糖变化,及时调整饮食和生活方式。- 避免暴饮暴食,保持良好的饮食习惯,定时定量进餐。- 注意药物的使用,遵医嘱按时服药。如需了解更多健康新闻,使用健康新闻工具进行查询。","ttsResultTime":{"year":2025,"monthValue":5,"month":"MAY","dayOfMonth":9,"dayOfYear":129,"dayOfWeek":"FRIDAY","hour":16,"minute":56,"second":15,"nano":0,"chronology":{"id":"ISO","calendarType":"iso8601"}},"response":3884}]]</f>
        <v/>
      </c>
      <c r="C426" t="inlineStr">
        <is>
          <t>INFO</t>
        </is>
      </c>
      <c r="D426" t="inlineStr">
        <is>
          <t>vdh</t>
        </is>
      </c>
      <c r="E426" t="inlineStr">
        <is>
          <t>pro17</t>
        </is>
      </c>
      <c r="F426" t="inlineStr">
        <is>
          <t>prod</t>
        </is>
      </c>
    </row>
    <row r="427">
      <c r="A427" t="inlineStr">
        <is>
          <t>2025-05-09 16:56:42.135</t>
        </is>
      </c>
      <c r="B427">
        <f>=请求结束== [请求耗时]:12毫秒, [返回数据]:{"code":"000000","msg":"Success","traceId":"d4baf097fd959eef020d1f1a37dc0d4f"}</f>
        <v/>
      </c>
      <c r="C427" t="inlineStr">
        <is>
          <t>INFO</t>
        </is>
      </c>
      <c r="D427" t="inlineStr">
        <is>
          <t>vdh</t>
        </is>
      </c>
      <c r="E427" t="inlineStr">
        <is>
          <t>pro14</t>
        </is>
      </c>
      <c r="F427" t="inlineStr">
        <is>
          <t>prod</t>
        </is>
      </c>
    </row>
    <row r="428">
      <c r="A428" t="inlineStr">
        <is>
          <t>2025-05-09 16:56:42.123</t>
        </is>
      </c>
      <c r="B428">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15:5F:7C","sessionId":"","avatarId":"11200220000208050000000000000000","appCode":"VDHtestWDC","instructionTemplateType":"","recordId":"","asrResult":"","knowledgeId":"","knowledgeMasterId":"","instructionType":"","instructionName":"","instructionFlag":"","parameter":"{}","ttsResultSource":"local","ttsResult":"好的搞定了","ttsResultTime":{"year":2025,"monthValue":5,"month":"MAY","dayOfMonth":9,"dayOfYear":129,"dayOfWeek":"FRIDAY","hour":16,"minute":52,"second":31,"nano":0,"chronology":{"id":"ISO","calendarType":"iso8601"}},"response":1746780751111}]]</f>
        <v/>
      </c>
      <c r="C428" t="inlineStr">
        <is>
          <t>INFO</t>
        </is>
      </c>
      <c r="D428" t="inlineStr">
        <is>
          <t>vdh</t>
        </is>
      </c>
      <c r="E428" t="inlineStr">
        <is>
          <t>pro14</t>
        </is>
      </c>
      <c r="F428" t="inlineStr">
        <is>
          <t>prod</t>
        </is>
      </c>
    </row>
    <row r="429">
      <c r="A429" t="inlineStr">
        <is>
          <t>2025-05-09 16:56:33.302</t>
        </is>
      </c>
      <c r="B429">
        <f>=请求结束== [请求耗时]:17毫秒, [返回数据]:{"code":"000000","msg":"Success","traceId":"8710912699432d274d3be9ac1bf13381"}</f>
        <v/>
      </c>
      <c r="C429" t="inlineStr">
        <is>
          <t>INFO</t>
        </is>
      </c>
      <c r="D429" t="inlineStr">
        <is>
          <t>vdh</t>
        </is>
      </c>
      <c r="E429" t="inlineStr">
        <is>
          <t>pro17</t>
        </is>
      </c>
      <c r="F429" t="inlineStr">
        <is>
          <t>prod</t>
        </is>
      </c>
    </row>
    <row r="430">
      <c r="A430" t="inlineStr">
        <is>
          <t>2025-05-09 16:56:33.286</t>
        </is>
      </c>
      <c r="B430">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1C:99:57:15:E5:D2","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15,"minute":23,"second":13,"nano":0,"chronology":{"id":"ISO","calendarType":"iso8601"}},"response":1746775393212}]]</f>
        <v/>
      </c>
      <c r="C430" t="inlineStr">
        <is>
          <t>INFO</t>
        </is>
      </c>
      <c r="D430" t="inlineStr">
        <is>
          <t>vdh</t>
        </is>
      </c>
      <c r="E430" t="inlineStr">
        <is>
          <t>pro17</t>
        </is>
      </c>
      <c r="F430" t="inlineStr">
        <is>
          <t>prod</t>
        </is>
      </c>
    </row>
    <row r="431">
      <c r="A431" t="inlineStr">
        <is>
          <t>2025-05-09 16:56:15.628</t>
        </is>
      </c>
      <c r="B431">
        <f>=请求结束== [请求耗时]:4032毫秒</f>
        <v/>
      </c>
      <c r="C431" t="inlineStr">
        <is>
          <t>INFO</t>
        </is>
      </c>
      <c r="D431" t="inlineStr">
        <is>
          <t>vdh</t>
        </is>
      </c>
      <c r="E431" t="inlineStr">
        <is>
          <t>pro17</t>
        </is>
      </c>
      <c r="F431" t="inlineStr">
        <is>
          <t>prod</t>
        </is>
      </c>
    </row>
    <row r="432">
      <c r="A432" t="inlineStr">
        <is>
          <t>2025-05-09 16:56:15.627</t>
        </is>
      </c>
      <c r="B432" t="inlineStr">
        <is>
          <t>第1次流式调用完成，耗时：3146ms，response: Response { content = AiMessage { text = "高血糖人群在日常生活中需要注意以下几点：
- 饮食控制，选择低糖、低脂肪、高纤维食物，多吃蔬菜水果，减少高糖、高脂肪食物的摄入。
- 规律运动，适量的有氧运动可以帮助控制血糖水平。
- 定期监测血糖，了解自身血糖变化，及时调整饮食和生活方式。
- 避免暴饮暴食，保持良好的饮食习惯，定时定量进餐。
- 注意药物的使用，遵医嘱按时服药。
如需了解更多健康新闻，可以使用健康新闻工具进行查询。" toolExecutionRequests = null }, tokenUsage = TokenUsage { inputTokenCount = 5674, outputTokenCount = 249, totalTokenCount = 5923 }, finishReason = STOP }</t>
        </is>
      </c>
      <c r="C432" t="inlineStr">
        <is>
          <t>INFO</t>
        </is>
      </c>
      <c r="D432" t="inlineStr">
        <is>
          <t>vdh</t>
        </is>
      </c>
      <c r="E432" t="inlineStr">
        <is>
          <t>pro17</t>
        </is>
      </c>
      <c r="F432" t="inlineStr">
        <is>
          <t>prod</t>
        </is>
      </c>
    </row>
    <row r="433">
      <c r="A433" t="inlineStr">
        <is>
          <t>2025-05-09 16:56:13.431</t>
        </is>
      </c>
      <c r="B433" t="inlineStr">
        <is>
          <t xml:space="preserve">第1次流式调用开始回复，耗时：950ms，第一个token: </t>
        </is>
      </c>
      <c r="C433" t="inlineStr">
        <is>
          <t>INFO</t>
        </is>
      </c>
      <c r="D433" t="inlineStr">
        <is>
          <t>vdh</t>
        </is>
      </c>
      <c r="E433" t="inlineStr">
        <is>
          <t>pro17</t>
        </is>
      </c>
      <c r="F433" t="inlineStr">
        <is>
          <t>prod</t>
        </is>
      </c>
    </row>
    <row r="434">
      <c r="A434" t="inlineStr">
        <is>
          <t>2025-05-09 16:56:12.481</t>
        </is>
      </c>
      <c r="B434" t="inlineStr">
        <is>
          <t>streaming provider=gpt, model: gpt-4o</t>
        </is>
      </c>
      <c r="C434" t="inlineStr">
        <is>
          <t>INFO</t>
        </is>
      </c>
      <c r="D434" t="inlineStr">
        <is>
          <t>vdh</t>
        </is>
      </c>
      <c r="E434" t="inlineStr">
        <is>
          <t>pro17</t>
        </is>
      </c>
      <c r="F434" t="inlineStr">
        <is>
          <t>prod</t>
        </is>
      </c>
    </row>
    <row r="435">
      <c r="A435" t="inlineStr">
        <is>
          <t>2025-05-09 16:56:12.473</t>
        </is>
      </c>
      <c r="B435">
        <f>=请求结束== [请求耗时]:841毫秒, [返回数据]:{"code":"000000","msg":"Success","data":[{"knowledgeId":"1326868148286373888","knowledgeContent":[{"score":0.709466525,"content":"：2025年春节/过年/大年初一是1月29日，农历正月初一，星期三。","fileId":"1326944717968060416","chunkId":"paragraph-1"},{"score":0.6975162899999999,"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冬至：•新历：12月21日•农历：十一月初二•星期日","fileId":"1326944717968060416","chunkId":"paragraph-4"},{"score":0.6924409825,"content":"：2025年元宵节是2月12日，农历正月十五，星期三。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1272947938412855296","knowledgeContent":[{"score":0.8573347375,"content":"番茄鸡蛋饼适合什么人群","fileId":"1275470180282040320","chunkId":"127","textGroup":"SELECT distinct(classify_crowd) FROM recipe_knowledge_nutrition WHERE title LIKE '%番茄鸡蛋饼%';"},{"score":0.7412578,"content":"有哪些由小万养生记发布的食谱","fileId":"1275470180282040320","chunkId":"124","textGroup":"SELECT id, title FROM recipe_knowledge_nutrition WHERE publisher_name LIKE '%小万养生记%' LIMIT 5;"},{"score":0.736290145,"content":"有哪些不含胆固醇的海鲜","fileId":"1275470180282040320","chunkId":"150","textGroup":"SELECT id, title FROM recipe_knowledge_nutrition WHERE classify_ingredient LIKE '%海鲜%' AND cholesterol = 0 ORDER BY random() LIMIT 5;"},{"score":0.7338409975,"content":"晚餐适合吃什么主食","fileId":"1275470180282040320","chunkId":"134","textGroup":"SELECT id, title FROM recipe_knowledge_nutrition WHERE classify_scene LIKE '%晚餐%' AND classify_ingredient LIKE '%主食%' ORDER BY random() LIMIT 5;"},{"score":0.730879725,"content":"我想减肥，有没有脂肪和糖分不超过30的菜推荐","fileId":"1275470180282040320","chunkId":"157","textGroup":"SELECT id, title, fat, cho FROM recipe_knowledge_nutrition WHERE fat + cho &lt;= 30 ORDER BY random() LIMIT 5;"},{"score":0.730584095,"content":"哪些菜比较养生","fileId":"1275470180282040320","chunkId":"132","textGroup":"SELECT id, title FROM recipe_knowledge_nutrition WHERE classify_scene LIKE '%养生%' ORDER BY random() LIMIT 5;"},{"score":0.7272041975,"content":"今晚只有我爷爷吃饭，看下晚餐做什么比较好","fileId":"1275470180282040320","chunkId":"114","textGroup":"SELECT id, title FROM recipe_knowledge_nutrition WHERE classify_crowd LIKE '%老人%' AND classify_scene LIKE '%晚餐%' ORDER BY random() LIMIT 5;"},{"score":0.7257754750000001,"content":"小孩子打针了，今天不能吃鱼，你看还有什么合适的食谱推荐？","fileId":"1275470180282040320","chunkId":"116","textGroup":"SELECT id, title FROM recipe_knowledge_nutrition WHERE classify_crowd LIKE '%儿童%' AND materials_list NOT LIKE '%鱼%' ORDER BY random() LIMIT 5;"},{"score":0.7253548525,"content":"有哪些适合孕妇的菜","fileId":"1275470180282040320","chunkId":"130","textGroup":"SELECT id, title FROM recipe_knowledge_nutrition WHERE classify_crowd LIKE '%孕妇%' ORDER BY random() LIMIT 5;"},{"score":0.7236066575,"content":"给我推荐几个蛋白质含量超过10的食谱","fileId":"1275470180282040320","chunkId":"153","textGroup":"SELECT id, title FROM recipe_knowledge_nutrition WHERE protein &gt; 10 ORDER BY random() LIMIT 5;"},{"score":0.7211831799999999,"content":"到下午茶时间了，推荐几个甜品","fileId":"1275470180282040320","chunkId":"106","textGroup":"SELECT id, title FROM recipe_knowledge_nutrition WHERE classify_scene LIKE '%下午茶%' AND classify_taste LIKE '%甜%' ORDER BY random() LIMIT 5;"},{"score":0.7200364025,"content":"有什么甜品适合我孩子吃的？","fileId":"1275470180282040320","chunkId":"105","textGroup":"SELECT id, title FROM recipe_knowledge_nutrition WHERE classify_crowd LIKE '%儿童%' AND classify_taste LIKE '%甜%' ORDER BY random() LIMIT 5;"},{"score":0.7192295400000001,"content":"给我推荐几个食谱","fileId":"1275470180282040320","chunkId":"120","textGroup":"SELECT id, title FROM recipe_knowledge_nutrition ORDER BY random() LIMIT 5;"},{"score":0.71922019,"content":"甜味的肉类食谱有哪些？","fileId":"1275470180282040</f>
        <v/>
      </c>
      <c r="C435" t="inlineStr">
        <is>
          <t>INFO</t>
        </is>
      </c>
      <c r="D435" t="inlineStr">
        <is>
          <t>vdh</t>
        </is>
      </c>
      <c r="E435" t="inlineStr">
        <is>
          <t>pro14</t>
        </is>
      </c>
      <c r="F435" t="inlineStr">
        <is>
          <t>prod</t>
        </is>
      </c>
    </row>
    <row r="436">
      <c r="A436" t="inlineStr">
        <is>
          <t>2025-05-09 16:56:12.472</t>
        </is>
      </c>
      <c r="B436" t="inlineStr">
        <is>
          <t>知识库插件检索耗时: 839ms</t>
        </is>
      </c>
      <c r="C436" t="inlineStr">
        <is>
          <t>INFO</t>
        </is>
      </c>
      <c r="D436" t="inlineStr">
        <is>
          <t>vdh</t>
        </is>
      </c>
      <c r="E436" t="inlineStr">
        <is>
          <t>pro14</t>
        </is>
      </c>
      <c r="F436" t="inlineStr">
        <is>
          <t>prod</t>
        </is>
      </c>
    </row>
    <row r="437">
      <c r="A437" t="inlineStr">
        <is>
          <t>2025-05-09 16:56:11.685</t>
        </is>
      </c>
      <c r="B437" t="inlineStr">
        <is>
          <t>request data-gateway token response:{"code":200,"data":{"appKey":"yingzi-virtual-human","clientIp":"","deviceId":"","accessType":"RESTFUL","expiresIn":1746788171679,"access_token":"795e074f-bb54-45b5-a15c-dbd5b3d5e398"},"msg":"SUCCESS","extendInfo":null,"traceId":"7a4883ea70a189dfc64c3cc614d6474b"}</t>
        </is>
      </c>
      <c r="C437" t="inlineStr">
        <is>
          <t>WARN</t>
        </is>
      </c>
      <c r="D437" t="inlineStr">
        <is>
          <t>vdh</t>
        </is>
      </c>
      <c r="E437" t="inlineStr">
        <is>
          <t>pro14</t>
        </is>
      </c>
      <c r="F437" t="inlineStr">
        <is>
          <t>prod</t>
        </is>
      </c>
    </row>
    <row r="438">
      <c r="A438" t="inlineStr">
        <is>
          <t>2025-05-09 16:56:11.632</t>
        </is>
      </c>
      <c r="B438">
        <f>=请求开始== [请求IP]:172.18.33.17 ,[请求方式]:POST， [请求URL]:https://172.30.212.148:8080/api/appservice/bfv/v1/knowledge/retrieval/plugin, [请求类名]:com.yingzi.appservice.bfv.provider.rest.KnowledgeRetrievalController,[请求方法名]:plugin, [请求头参数]:{"host":"172.30.212.148:8080"}, [请求参数]:[{"query":"高血糖人群应该注意什么","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438" t="inlineStr">
        <is>
          <t>INFO</t>
        </is>
      </c>
      <c r="D438" t="inlineStr">
        <is>
          <t>vdh</t>
        </is>
      </c>
      <c r="E438" t="inlineStr">
        <is>
          <t>pro14</t>
        </is>
      </c>
      <c r="F438" t="inlineStr">
        <is>
          <t>prod</t>
        </is>
      </c>
    </row>
    <row r="439">
      <c r="A439" t="inlineStr">
        <is>
          <t>2025-05-09 16:56:11.596</t>
        </is>
      </c>
      <c r="B439">
        <f>=请求开始== [请求IP]:172.18.114.98 ,[请求方式]:POST， [请求URL]:https://172.30.103.196:8080/api/appservice/bfv/v1/chat/, [请求类名]:com.yingzi.appservice.bfv.provider.rest.ChatV1Controller,[请求方法名]:chat, [请求头参数]:{"host":"172.30.103.196:8080"}, [请求参数]:[{"stream":true,"message":"高血糖人群应该注意什么","args":"{\"adcode\":\"440100\",\"channel_id\":\"9\"}"}]</f>
        <v/>
      </c>
      <c r="C439" t="inlineStr">
        <is>
          <t>INFO</t>
        </is>
      </c>
      <c r="D439" t="inlineStr">
        <is>
          <t>vdh</t>
        </is>
      </c>
      <c r="E439" t="inlineStr">
        <is>
          <t>pro17</t>
        </is>
      </c>
      <c r="F439" t="inlineStr">
        <is>
          <t>prod</t>
        </is>
      </c>
    </row>
    <row r="440">
      <c r="A440" t="inlineStr">
        <is>
          <t>2025-05-09 16:56:06.790</t>
        </is>
      </c>
      <c r="B440">
        <f>=请求结束== [请求耗时]:12毫秒, [返回数据]:{"code":"000000","msg":"Success","traceId":"328bc087e29629a68f0034cb548431d7"}</f>
        <v/>
      </c>
      <c r="C440" t="inlineStr">
        <is>
          <t>INFO</t>
        </is>
      </c>
      <c r="D440" t="inlineStr">
        <is>
          <t>vdh</t>
        </is>
      </c>
      <c r="E440" t="inlineStr">
        <is>
          <t>pro14</t>
        </is>
      </c>
      <c r="F440" t="inlineStr">
        <is>
          <t>prod</t>
        </is>
      </c>
    </row>
    <row r="441">
      <c r="A441" t="inlineStr">
        <is>
          <t>2025-05-09 16:56:06.778</t>
        </is>
      </c>
      <c r="B441">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Chat_library","recordId":"","asrResult":"今天天气怎么样","instructionAsrFirstTime":{"year":2025,"monthValue":5,"month":"MAY","dayOfMonth":9,"dayOfYear":129,"dayOfWeek":"FRIDAY","hour":16,"minute":55,"second":41,"nano":0,"chronology":{"id":"ISO","calendarType":"iso8601"}},"knowledgeId":"","knowledgeMasterId":"","instructionType":"","instructionName":"","instructionFlag":"","parameter":"{\"nlpId\":\"17300825629321642727spln\",\"service\":\"Chat_library\"}","ttsResultSource":"FTT","ttsResult":"今天天气情况如下:- 城市:广州市- 白天气温:29°C- 白天天气:中雨到大雨- 晚间气温:20°C- 晚间天气:大雨建议出门时注意携带雨具,保持干燥！","ttsResultTime":{"year":2025,"monthValue":5,"month":"MAY","dayOfMonth":9,"dayOfYear":129,"dayOfWeek":"FRIDAY","hour":16,"minute":55,"second":48,"nano":0,"chronology":{"id":"ISO","calendarType":"iso8601"}},"response":5191}]]</f>
        <v/>
      </c>
      <c r="C441" t="inlineStr">
        <is>
          <t>INFO</t>
        </is>
      </c>
      <c r="D441" t="inlineStr">
        <is>
          <t>vdh</t>
        </is>
      </c>
      <c r="E441" t="inlineStr">
        <is>
          <t>pro14</t>
        </is>
      </c>
      <c r="F441" t="inlineStr">
        <is>
          <t>prod</t>
        </is>
      </c>
    </row>
    <row r="442">
      <c r="A442" t="inlineStr">
        <is>
          <t>2025-05-09 16:55:48.145</t>
        </is>
      </c>
      <c r="B442">
        <f>=请求结束== [请求耗时]:4163毫秒</f>
        <v/>
      </c>
      <c r="C442" t="inlineStr">
        <is>
          <t>INFO</t>
        </is>
      </c>
      <c r="D442" t="inlineStr">
        <is>
          <t>vdh</t>
        </is>
      </c>
      <c r="E442" t="inlineStr">
        <is>
          <t>pro14</t>
        </is>
      </c>
      <c r="F442" t="inlineStr">
        <is>
          <t>prod</t>
        </is>
      </c>
    </row>
    <row r="443">
      <c r="A443" t="inlineStr">
        <is>
          <t>2025-05-09 16:55:48.144</t>
        </is>
      </c>
      <c r="B443" t="inlineStr">
        <is>
          <t>第2次流式调用完成，耗时：1786ms，response: Response { content = AiMessage { text = "今天天气情况如下：
- 城市：广州市
- 白天气温：29°C
- 白天天气：中雨到大雨
- 晚间气温：20°C
- 晚间天气：大雨
建议出门时注意携带雨具，保持干燥！" toolExecutionRequests = null }, tokenUsage = TokenUsage { inputTokenCount = 5410, outputTokenCount = 98, totalTokenCount = 5508 }, finishReason = STOP }</t>
        </is>
      </c>
      <c r="C443" t="inlineStr">
        <is>
          <t>INFO</t>
        </is>
      </c>
      <c r="D443" t="inlineStr">
        <is>
          <t>vdh</t>
        </is>
      </c>
      <c r="E443" t="inlineStr">
        <is>
          <t>pro14</t>
        </is>
      </c>
      <c r="F443" t="inlineStr">
        <is>
          <t>prod</t>
        </is>
      </c>
    </row>
    <row r="444">
      <c r="A444" t="inlineStr">
        <is>
          <t>2025-05-09 16:55:47.153</t>
        </is>
      </c>
      <c r="B444" t="inlineStr">
        <is>
          <t xml:space="preserve">第2次流式调用开始回复，耗时：795ms，第一个token: </t>
        </is>
      </c>
      <c r="C444" t="inlineStr">
        <is>
          <t>INFO</t>
        </is>
      </c>
      <c r="D444" t="inlineStr">
        <is>
          <t>vdh</t>
        </is>
      </c>
      <c r="E444" t="inlineStr">
        <is>
          <t>pro14</t>
        </is>
      </c>
      <c r="F444" t="inlineStr">
        <is>
          <t>prod</t>
        </is>
      </c>
    </row>
    <row r="445">
      <c r="A445" t="inlineStr">
        <is>
          <t>2025-05-09 16:55:46.358</t>
        </is>
      </c>
      <c r="B445" t="inlineStr">
        <is>
          <t>streaming provider=gpt, model: gpt-4o-mini</t>
        </is>
      </c>
      <c r="C445" t="inlineStr">
        <is>
          <t>INFO</t>
        </is>
      </c>
      <c r="D445" t="inlineStr">
        <is>
          <t>vdh</t>
        </is>
      </c>
      <c r="E445" t="inlineStr">
        <is>
          <t>pro14</t>
        </is>
      </c>
      <c r="F445" t="inlineStr">
        <is>
          <t>prod</t>
        </is>
      </c>
    </row>
    <row r="446">
      <c r="A446" t="inlineStr">
        <is>
          <t>2025-05-09 16:55:46.357</t>
        </is>
      </c>
      <c r="B446" t="inlineStr">
        <is>
          <t>执行天气工具，耗时: 125ms</t>
        </is>
      </c>
      <c r="C446" t="inlineStr">
        <is>
          <t>INFO</t>
        </is>
      </c>
      <c r="D446" t="inlineStr">
        <is>
          <t>vdh</t>
        </is>
      </c>
      <c r="E446" t="inlineStr">
        <is>
          <t>pro14</t>
        </is>
      </c>
      <c r="F446" t="inlineStr">
        <is>
          <t>prod</t>
        </is>
      </c>
    </row>
    <row r="447">
      <c r="A447" t="inlineStr">
        <is>
          <t>2025-05-09 16:55:46.231</t>
        </is>
      </c>
      <c r="B447" t="inlineStr">
        <is>
          <t>第1次流式调用完成，耗时：1801ms，response: Response { content = AiMessage { text = null toolExecutionRequests = [ToolExecutionRequest { id = "call_czeQFSDFOFACjdIv0TfRHW3Q", name = "getCurrentWeather", arguments = "{}" }] }, tokenUsage = TokenUsage { inputTokenCount = 5457, outputTokenCount = 7, totalTokenCount = 5464 }, finishReason = TOOL_EXECUTION }</t>
        </is>
      </c>
      <c r="C447" t="inlineStr">
        <is>
          <t>INFO</t>
        </is>
      </c>
      <c r="D447" t="inlineStr">
        <is>
          <t>vdh</t>
        </is>
      </c>
      <c r="E447" t="inlineStr">
        <is>
          <t>pro14</t>
        </is>
      </c>
      <c r="F447" t="inlineStr">
        <is>
          <t>prod</t>
        </is>
      </c>
    </row>
    <row r="448">
      <c r="A448" t="inlineStr">
        <is>
          <t>2025-05-09 16:55:44.430</t>
        </is>
      </c>
      <c r="B448" t="inlineStr">
        <is>
          <t>streaming provider=gpt, model: gpt-4o</t>
        </is>
      </c>
      <c r="C448" t="inlineStr">
        <is>
          <t>INFO</t>
        </is>
      </c>
      <c r="D448" t="inlineStr">
        <is>
          <t>vdh</t>
        </is>
      </c>
      <c r="E448" t="inlineStr">
        <is>
          <t>pro14</t>
        </is>
      </c>
      <c r="F448" t="inlineStr">
        <is>
          <t>prod</t>
        </is>
      </c>
    </row>
    <row r="449">
      <c r="A449" t="inlineStr">
        <is>
          <t>2025-05-09 16:55:44.424</t>
        </is>
      </c>
      <c r="B449">
        <f>=请求结束== [请求耗时]:429毫秒, [返回数据]:{"code":"000000","msg":"Success","data":[{"knowledgeId":"1326868148286373888","knowledgeContent":[{"score":0.7552769775,"content":"：2025年春节/过年/大年初一是1月29日，农历正月初一，星期三。","fileId":"1326944717968060416","chunkId":"paragraph-1"},{"score":0.73226055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0.729463625,"content":"：以下是2025年二十四节气的新历（公历）和农历日期以及对应的星期信息。这里主要列出日期及星期： 1. 小寒：•新历：1月5日•农历：腊月初六•星期天 2. 大寒：•新历：1月20日•农历：腊月二十一•星期一 3. 立春：•新历：2月3日•农历：正月初六•星期一 4. 雨水：•新历：2月18日•农历：正月廿一•星期二 5. 惊蛰：•新历：3月5日•农历：二月初六•星期三 6. 春分：•新历：3月20日•农历：二月廿一•星期四 7. 清明：•新历：4月4日•农历：三月初七•星期五 8. 谷雨：•新历：4月20日•农历：三月廿三•星期日 9. 立夏：•新历：5月5日•农历：四月初八•星期一 10. 小满：•新历：5月21日•农历：四月廿四•星期三 11. 芒种：•新历：6月5日•农历：五月初十•星期四 12. 夏至：•新历：6月21日•农历：五月二十六•星期六","fileId":"1326944717968060416","chunkId":"paragraph-3"}]},{"knowledgeId":"1272948056214077440","knowledgeContent":[{"score":0.7552443799999999,"content":"问题：今天过的如何。\\n回复：每天都充满动力，希望您也是如此","fileId":"1303425377255075840","chunkId":"2672","textGroup":"今天过的如何"},{"score":0.7464276274999999,"content":"问题：早上好。\\n回复：早上好，美好的一天又开始了。","fileId":"1303425377255075840","chunkId":"2764","textGroup":"早上好"},{"score":0.742576575,"content":"问题：你喜欢的季节是。\\n回复：我喜欢夏天，可以沐浴阳光和沙滩。","fileId":"1303425377255075840","chunkId":"2694","textGroup":"你喜欢的季节是"},{"score":0.7397505375,"content":"问题：元宵节放假吗。\\n回复：元宵节不放假。","fileId":"1326953484684320768","chunkId":"6","textGroup":"元宵节放假"},{"score":0.7391605099999999,"content":"问题：你今天看起来很不错。\\n回复：每天都在为主人提供服务，非常充实。","fileId":"1303425377255075840","chunkId":"2677","textGroup":"你今天看起来很不错"},{"score":0.7367543725,"content":"问题：假期愉快。\\n回复：假期愉快，玩得开心哟！","fileId":"1303425377255075840","chunkId":"2755","textGroup":"假期愉快"},{"score":0.7357279124999999,"content":"问题：可以和我聊聊天吗。\\n回复：你可以随时找我聊。","fileId":"1303425377255075840","chunkId":"2757","textGroup":"可以和我聊聊天吗"},{"score":0.7351516125,"content":"问题：晚安。\\n回复：晚安。","fileId":"1303425377255075840","chunkId":"2766","textGroup":"晚安"},{"score":0.7314427225,"content":"问题：你好。\\n回复：你好，有什么可以帮您。","fileId":"1303425377255075840","chunkId":"2699","textGroup":"你好"},{"score":0.7308824875,"content":"问题：你什么时候在线。\\n回复：我二十四小时在线的。","fileId":"1303425377255075840","chunkId":"2676","textGroup":"你什么时候在线"},{"score":0.7305130775,"content":"问题：你吃饭了吗。\\n回复：还在等待美食中，你想和我一起吃吗？","fileId":"1303425377255075840","chunkId":"2689","textGroup":"你吃饭了吗"},{"score":0.7286423975,"content":"问题：元宵节是星期几。\\n回复：2025年元宵节是2月12日，农历正月十五，星期三。","fileId":"1326953484684320768","chunkId":"4","textGroup":"元宵节日期"},{"score":0.7283480425,"content":"问题：好久不见。\\n回复：好久没聊了，我好想念你","fileId":"1303425377255075840","chunkId":"2759","textGroup":"好久不见"},{"score":0.72822101,"content":"问题：你的生日是什么时候。\\n回复：我的生日是1月1号。","fileId":"1303425377255075840","chunkId":"2747","textGroup":"你的生日是什么时候"}]},{"knowledgeId":"1329399948694220800","knowledgeContent":[{"score":0.999694105,"content":"今天天气怎么样","fileId":"1329400169758941184","chunkId":"10","textGroup":"getCurrentWeather"},{"score":0.803105415,"content":"北京今天天气","fileId":"1329400169758941184","chunkId":"49","textGroup":"getCurrentWeather {province=北京市}"},{"score":0.8014314675,"content":"天河区今天天气","fileId":"1329400169758941184","chunkId":"37","textGroup":"getCurrentWeather {province=广东省,city=广州市,district=天河区}"},{"score":0.7991262674999999,"content":"通州区今天天气","fileId":"1329400169758941184","chunkId":"50","textGroup":"getCurrentWeather {province=北京市,district=通州区}"},{"score":0.7946899475,"content":"光明区今天天气","fileId":"1329400169758941184","chunkId":"47","textGroup":"getCurrentWeather {province=广东省,city=深圳市,district=光明区}"},{"score":0.7930657675,"content":"港南区今天天气","fileId":"1329400169758941184","chunkId":"32","textGroup":"getCurrentWeather {province=广西壮族自治区,city=贵港市,district=港南区}"},{"score":0.792933975,"content":"宝安区今天天气","fileId":"1329400169758941184","chunkId":"44"</f>
        <v/>
      </c>
      <c r="C449" t="inlineStr">
        <is>
          <t>INFO</t>
        </is>
      </c>
      <c r="D449" t="inlineStr">
        <is>
          <t>vdh</t>
        </is>
      </c>
      <c r="E449" t="inlineStr">
        <is>
          <t>pro17</t>
        </is>
      </c>
      <c r="F449" t="inlineStr">
        <is>
          <t>prod</t>
        </is>
      </c>
    </row>
    <row r="450">
      <c r="A450" t="inlineStr">
        <is>
          <t>2025-05-09 16:55:44.423</t>
        </is>
      </c>
      <c r="B450" t="inlineStr">
        <is>
          <t>知识库插件检索耗时: 427ms</t>
        </is>
      </c>
      <c r="C450" t="inlineStr">
        <is>
          <t>INFO</t>
        </is>
      </c>
      <c r="D450" t="inlineStr">
        <is>
          <t>vdh</t>
        </is>
      </c>
      <c r="E450" t="inlineStr">
        <is>
          <t>pro17</t>
        </is>
      </c>
      <c r="F450" t="inlineStr">
        <is>
          <t>prod</t>
        </is>
      </c>
    </row>
    <row r="451">
      <c r="A451" t="inlineStr">
        <is>
          <t>2025-05-09 16:55:43.995</t>
        </is>
      </c>
      <c r="B451">
        <f>=请求开始== [请求IP]:172.18.33.14 ,[请求方式]:POST， [请求URL]:https://172.30.103.196:8080/api/appservice/bfv/v1/knowledge/retrieval/plugin, [请求类名]:com.yingzi.appservice.bfv.provider.rest.KnowledgeRetrievalController,[请求方法名]:plugin, [请求头参数]:{"host":"172.30.103.196:8080"}, [请求参数]:[{"query":"今天天气怎么样","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451" t="inlineStr">
        <is>
          <t>INFO</t>
        </is>
      </c>
      <c r="D451" t="inlineStr">
        <is>
          <t>vdh</t>
        </is>
      </c>
      <c r="E451" t="inlineStr">
        <is>
          <t>pro17</t>
        </is>
      </c>
      <c r="F451" t="inlineStr">
        <is>
          <t>prod</t>
        </is>
      </c>
    </row>
    <row r="452">
      <c r="A452" t="inlineStr">
        <is>
          <t>2025-05-09 16:55:43.982</t>
        </is>
      </c>
      <c r="B452">
        <f>=请求开始== [请求IP]:172.18.114.116 ,[请求方式]:POST， [请求URL]:https://172.30.212.148:8080/api/appservice/bfv/v1/chat/, [请求类名]:com.yingzi.appservice.bfv.provider.rest.ChatV1Controller,[请求方法名]:chat, [请求头参数]:{"host":"172.30.212.148:8080"}, [请求参数]:[{"stream":true,"message":"今天天气怎么样","args":"{\"adcode\":\"440100\",\"channel_id\":\"9\"}"}]</f>
        <v/>
      </c>
      <c r="C452" t="inlineStr">
        <is>
          <t>INFO</t>
        </is>
      </c>
      <c r="D452" t="inlineStr">
        <is>
          <t>vdh</t>
        </is>
      </c>
      <c r="E452" t="inlineStr">
        <is>
          <t>pro14</t>
        </is>
      </c>
      <c r="F452" t="inlineStr">
        <is>
          <t>prod</t>
        </is>
      </c>
    </row>
    <row r="453">
      <c r="A453" t="inlineStr">
        <is>
          <t>2025-05-09 16:55:39.721</t>
        </is>
      </c>
      <c r="B453">
        <f>=请求结束== [请求耗时]:15毫秒, [返回数据]:{"code":"000000","msg":"Success","traceId":"e8239ed1a08112e16ea9f8330a2fa781"}</f>
        <v/>
      </c>
      <c r="C453" t="inlineStr">
        <is>
          <t>INFO</t>
        </is>
      </c>
      <c r="D453" t="inlineStr">
        <is>
          <t>vdh</t>
        </is>
      </c>
      <c r="E453" t="inlineStr">
        <is>
          <t>pro17</t>
        </is>
      </c>
      <c r="F453" t="inlineStr">
        <is>
          <t>prod</t>
        </is>
      </c>
    </row>
    <row r="454">
      <c r="A454" t="inlineStr">
        <is>
          <t>2025-05-09 16:55:39.706</t>
        </is>
      </c>
      <c r="B454">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64:79:F0:79:7A:16","sessionId":"","avatarId":"11200220000208050000000000000000","appCode":"VDHtestWDC","instructionTemplateType":"Instruction_library","recordId":"","asrResult":"呼叫虚拟人进行交互","instructionAsrFirstTime":{"year":2025,"monthValue":5,"month":"MAY","dayOfMonth":9,"dayOfYear":129,"dayOfWeek":"FRIDAY","hour":16,"minute":55,"second":31,"nano":0,"chronology":{"id":"ISO","calendarType":"iso8601"}},"knowledgeId":"","knowledgeMasterId":"295","instructionType":"SYSTEM","instructionName":"切换角色","instructionFlag":"role_switch","parameter":"{\"answer\":\"DEFAULT\",\"code\":\"role_switch\",\"continue_answer\":\"\",\"continue_failed_answer\":\"\",\"entities\":\"\",\"failed_answer\":\"{\\\"answerId\\\":\\\"\\\",\\\"value\\\":\\\"抱歉，角色切换失败\\\",\\\"hidb\\\":\\\"\\\",\\\"aplusId\\\":\\\"\\\",\\\"flag\\\":true,\\\"updFlag\\\":false,\\\"cache\\\":false}\",\"hitBusiness\":\"295\",\"init_state\":\"false\",\"intent\":\"切换角色\",\"intentType\":\"SYSTEM\",\"isEnd\":\"true\",\"isMulti\":\"false\",\"service\":\"Instruction_library\",\"succeed_answer\":\"{\\\"answerId\\\":\\\"\\\",\\\"value\\\":\\\"切换成功\\\",\\\"hidb\\\":\\\"\\\",\\\"aplusId\\\":\\\"\\\",\\\"flag\\\":true,\\\"updFlag\\\":false,\\\"cache\\\":false}\"}","ttsResultSource":"local","ttsResult":"抱歉,暂不支持该指令","ttsResultTime":{"year":2025,"monthValue":5,"month":"MAY","dayOfMonth":9,"dayOfYear":129,"dayOfWeek":"FRIDAY","hour":16,"minute":55,"second":35,"nano":0,"chronology":{"id":"ISO","calendarType":"iso8601"}},"response":1422}]]</f>
        <v/>
      </c>
      <c r="C454" t="inlineStr">
        <is>
          <t>INFO</t>
        </is>
      </c>
      <c r="D454" t="inlineStr">
        <is>
          <t>vdh</t>
        </is>
      </c>
      <c r="E454" t="inlineStr">
        <is>
          <t>pro17</t>
        </is>
      </c>
      <c r="F454" t="inlineStr">
        <is>
          <t>prod</t>
        </is>
      </c>
    </row>
    <row r="455">
      <c r="A455" t="inlineStr">
        <is>
          <t>2025-05-09 16:55:31.412</t>
        </is>
      </c>
      <c r="B455">
        <f>=请求结束== [请求耗时]:14毫秒, [返回数据]:{"code":"000000","msg":"Success","traceId":"7ce56e6a493179ffc2c3301d3db84b73"}</f>
        <v/>
      </c>
      <c r="C455" t="inlineStr">
        <is>
          <t>INFO</t>
        </is>
      </c>
      <c r="D455" t="inlineStr">
        <is>
          <t>vdh</t>
        </is>
      </c>
      <c r="E455" t="inlineStr">
        <is>
          <t>pro14</t>
        </is>
      </c>
      <c r="F455" t="inlineStr">
        <is>
          <t>prod</t>
        </is>
      </c>
    </row>
    <row r="456">
      <c r="A456" t="inlineStr">
        <is>
          <t>2025-05-09 16:55:31.398</t>
        </is>
      </c>
      <c r="B456">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recordId":"","asrResult":"今天广州的天气怎么样","instructionAsrFirstTime":{"year":2025,"monthValue":5,"month":"MAY","dayOfMonth":9,"dayOfYear":129,"dayOfWeek":"FRIDAY","hour":16,"minute":54,"second":56,"nano":0,"chronology":{"id":"ISO","calendarType":"iso8601"}},"knowledgeId":"","knowledgeMasterId":"","instructionType":"","instructionName":"","instructionFlag":"","parameter":"{}","ttsResultSource":"local","ttsResult":"网络开小差了,请稍后再试","ttsResultTime":{"year":2025,"monthValue":5,"month":"MAY","dayOfMonth":9,"dayOfYear":129,"dayOfWeek":"FRIDAY","hour":16,"minute":55,"second":7,"nano":0,"chronology":{"id":"ISO","calendarType":"iso8601"}},"response":8602}]]</f>
        <v/>
      </c>
      <c r="C456" t="inlineStr">
        <is>
          <t>INFO</t>
        </is>
      </c>
      <c r="D456" t="inlineStr">
        <is>
          <t>vdh</t>
        </is>
      </c>
      <c r="E456" t="inlineStr">
        <is>
          <t>pro14</t>
        </is>
      </c>
      <c r="F456" t="inlineStr">
        <is>
          <t>prod</t>
        </is>
      </c>
    </row>
    <row r="457">
      <c r="A457" t="inlineStr">
        <is>
          <t>2025-05-09 16:55:26.903</t>
        </is>
      </c>
      <c r="B457">
        <f>=请求结束== [请求耗时]:17毫秒, [返回数据]:{"code":"000000","msg":"Success","traceId":"77c14d05f4cc0652d9e349992b4d2f39"}</f>
        <v/>
      </c>
      <c r="C457" t="inlineStr">
        <is>
          <t>INFO</t>
        </is>
      </c>
      <c r="D457" t="inlineStr">
        <is>
          <t>vdh</t>
        </is>
      </c>
      <c r="E457" t="inlineStr">
        <is>
          <t>pro17</t>
        </is>
      </c>
      <c r="F457" t="inlineStr">
        <is>
          <t>prod</t>
        </is>
      </c>
    </row>
    <row r="458">
      <c r="A458" t="inlineStr">
        <is>
          <t>2025-05-09 16:55:26.887</t>
        </is>
      </c>
      <c r="B458">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F4:CE:23:BC:1A:E2","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16,"minute":55,"second":21,"nano":0,"chronology":{"id":"ISO","calendarType":"iso8601"}},"response":1746780921693}]]</f>
        <v/>
      </c>
      <c r="C458" t="inlineStr">
        <is>
          <t>INFO</t>
        </is>
      </c>
      <c r="D458" t="inlineStr">
        <is>
          <t>vdh</t>
        </is>
      </c>
      <c r="E458" t="inlineStr">
        <is>
          <t>pro17</t>
        </is>
      </c>
      <c r="F458" t="inlineStr">
        <is>
          <t>prod</t>
        </is>
      </c>
    </row>
    <row r="459">
      <c r="A459" t="inlineStr">
        <is>
          <t>2025-05-09 16:55:05.833</t>
        </is>
      </c>
      <c r="B459">
        <f>=请求结束== [请求耗时]:6483毫秒</f>
        <v/>
      </c>
      <c r="C459" t="inlineStr">
        <is>
          <t>INFO</t>
        </is>
      </c>
      <c r="D459" t="inlineStr">
        <is>
          <t>vdh</t>
        </is>
      </c>
      <c r="E459" t="inlineStr">
        <is>
          <t>pro14</t>
        </is>
      </c>
      <c r="F459" t="inlineStr">
        <is>
          <t>prod</t>
        </is>
      </c>
    </row>
    <row r="460">
      <c r="A460" t="inlineStr">
        <is>
          <t>2025-05-09 16:55:05.832</t>
        </is>
      </c>
      <c r="B460" t="inlineStr">
        <is>
          <t>第2次流式调用完成，耗时：2391ms，response: Response { content = AiMessage { text = "今天广州的天气是中雨到大雨，白天气温29度，夜间气温20度，风向为北风。请注意出行安全！" toolExecutionRequests = null }, tokenUsage = TokenUsage { inputTokenCount = 4657, outputTokenCount = 52, totalTokenCount = 4709 }, finishReason = STOP }</t>
        </is>
      </c>
      <c r="C460" t="inlineStr">
        <is>
          <t>INFO</t>
        </is>
      </c>
      <c r="D460" t="inlineStr">
        <is>
          <t>vdh</t>
        </is>
      </c>
      <c r="E460" t="inlineStr">
        <is>
          <t>pro14</t>
        </is>
      </c>
      <c r="F460" t="inlineStr">
        <is>
          <t>prod</t>
        </is>
      </c>
    </row>
    <row r="461">
      <c r="A461" t="inlineStr">
        <is>
          <t>2025-05-09 16:55:05.237</t>
        </is>
      </c>
      <c r="B461" t="inlineStr">
        <is>
          <t xml:space="preserve">第2次流式调用开始回复，耗时：1796ms，第一个token: </t>
        </is>
      </c>
      <c r="C461" t="inlineStr">
        <is>
          <t>INFO</t>
        </is>
      </c>
      <c r="D461" t="inlineStr">
        <is>
          <t>vdh</t>
        </is>
      </c>
      <c r="E461" t="inlineStr">
        <is>
          <t>pro14</t>
        </is>
      </c>
      <c r="F461" t="inlineStr">
        <is>
          <t>prod</t>
        </is>
      </c>
    </row>
    <row r="462">
      <c r="A462" t="inlineStr">
        <is>
          <t>2025-05-09 16:55:03.441</t>
        </is>
      </c>
      <c r="B462" t="inlineStr">
        <is>
          <t>streaming provider=gpt, model: gpt-4o-mini</t>
        </is>
      </c>
      <c r="C462" t="inlineStr">
        <is>
          <t>INFO</t>
        </is>
      </c>
      <c r="D462" t="inlineStr">
        <is>
          <t>vdh</t>
        </is>
      </c>
      <c r="E462" t="inlineStr">
        <is>
          <t>pro14</t>
        </is>
      </c>
      <c r="F462" t="inlineStr">
        <is>
          <t>prod</t>
        </is>
      </c>
    </row>
    <row r="463">
      <c r="A463" t="inlineStr">
        <is>
          <t>2025-05-09 16:55:03.440</t>
        </is>
      </c>
      <c r="B463" t="inlineStr">
        <is>
          <t>执行天气工具，耗时: 193ms</t>
        </is>
      </c>
      <c r="C463" t="inlineStr">
        <is>
          <t>INFO</t>
        </is>
      </c>
      <c r="D463" t="inlineStr">
        <is>
          <t>vdh</t>
        </is>
      </c>
      <c r="E463" t="inlineStr">
        <is>
          <t>pro14</t>
        </is>
      </c>
      <c r="F463" t="inlineStr">
        <is>
          <t>prod</t>
        </is>
      </c>
    </row>
    <row r="464">
      <c r="A464" t="inlineStr">
        <is>
          <t>2025-05-09 16:55:03.246</t>
        </is>
      </c>
      <c r="B464" t="inlineStr">
        <is>
          <t>第1次流式调用完成，耗时：3302ms，response: Response { content = AiMessage { text = null toolExecutionRequests = [ToolExecutionRequest { id = "call_lnaj99MtLZXNA6lAg6P6cATY", name = "getCurrentWeather", arguments = "{"province":"广东省","city":"广州市"}" }] }, tokenUsage = TokenUsage { inputTokenCount = 4692, outputTokenCount = 19, totalTokenCount = 4711 }, finishReason = TOOL_EXECUTION }</t>
        </is>
      </c>
      <c r="C464" t="inlineStr">
        <is>
          <t>INFO</t>
        </is>
      </c>
      <c r="D464" t="inlineStr">
        <is>
          <t>vdh</t>
        </is>
      </c>
      <c r="E464" t="inlineStr">
        <is>
          <t>pro14</t>
        </is>
      </c>
      <c r="F464" t="inlineStr">
        <is>
          <t>prod</t>
        </is>
      </c>
    </row>
    <row r="465">
      <c r="A465" t="inlineStr">
        <is>
          <t>2025-05-09 16:54:59.944</t>
        </is>
      </c>
      <c r="B465" t="inlineStr">
        <is>
          <t>streaming provider=gpt, model: gpt-4o</t>
        </is>
      </c>
      <c r="C465" t="inlineStr">
        <is>
          <t>INFO</t>
        </is>
      </c>
      <c r="D465" t="inlineStr">
        <is>
          <t>vdh</t>
        </is>
      </c>
      <c r="E465" t="inlineStr">
        <is>
          <t>pro14</t>
        </is>
      </c>
      <c r="F465" t="inlineStr">
        <is>
          <t>prod</t>
        </is>
      </c>
    </row>
    <row r="466">
      <c r="A466" t="inlineStr">
        <is>
          <t>2025-05-09 16:54:59.938</t>
        </is>
      </c>
      <c r="B466">
        <f>=请求结束== [请求耗时]:546毫秒, [返回数据]:{"code":"000000","msg":"Success","data":[{"knowledgeId":"1326868148286373888","knowledgeContent":[{"score":0.74367452,"content":"：2025年春节/过年/大年初一是1月29日，农历正月初一，星期三。","fileId":"1326944717968060416","chunkId":"paragraph-1"},{"score":0.73271173,"content":"：广州影子科技的股价是多少？广州影子科技有限公司没有上市，因此没有股价信息。","fileId":"1326944717968060416","chunkId":"paragraph-5"},{"score":0.7305106124999999,"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1272948056214077440","knowledgeContent":[{"score":0.7327036549999999,"content":"问题：你们公司在哪个地方。\\n回复：影子科技公司地址是在广州。","fileId":"1303425377255075840","chunkId":"638","textGroup":"公司在哪办公"},{"score":0.731773245,"content":"问题：元宵节放假吗。\\n回复：元宵节不放假。","fileId":"1326953484684320768","chunkId":"6","textGroup":"元宵节放假"}]},{"knowledgeId":"1329399948694220800","knowledgeContent":[{"score":0.977082645,"content":"广州明天天气","fileId":"1329400169758941184","chunkId":"36","textGroup":"getCurrentWeather {province=广东省,city=广州市}"},{"score":0.9333041200000001,"content":"明天天气怎么样","fileId":"1329400169758941184","chunkId":"7","textGroup":"getCurrentWeather"},{"score":0.8254794974999999,"content":"番禺区今天天气","fileId":"1329400169758941184","chunkId":"39","textGroup":"getCurrentWeather {province=广东省,city=广州市,district=番禺区}"},{"score":0.8158171225,"content":"天河区今天天气","fileId":"1329400169758941184","chunkId":"37","textGroup":"getCurrentWeather {province=广东省,city=广州市,district=天河区}"},{"score":0.8138112075,"content":"宝安区今天天气","fileId":"1329400169758941184","chunkId":"44","textGroup":"getCurrentWeather {province=广东省,city=深圳市,district=宝安区}"},{"score":0.8072046675,"content":"南沙区今天天气","fileId":"1329400169758941184","chunkId":"38","textGroup":"getCurrentWeather {province=广东省,city=广州市,district=南沙区}"},{"score":0.8071484824999999,"content":"深圳今天天气","fileId":"1329400169758941184","chunkId":"41","textGroup":"getCurrentWeather {province=广东省,city=深圳市}"},{"score":0.80449984,"content":"白云区今天天气","fileId":"1329400169758941184","chunkId":"40","textGroup":"getCurrentWeather {province=广东省,city=广州市,district=白云区}"},{"score":0.8035715124999999,"content":"港南区今天天气","fileId":"1329400169758941184","chunkId":"32","textGroup":"getCurrentWeather {province=广西壮族自治区,city=贵港市,district=港南区}"},{"score":0.8026160274999999,"content":"罗湖区今天天气","fileId":"1329400169758941184","chunkId":"45","textGroup":"getCurrentWeather {province=广东省,city=深圳市,district=罗湖区}"},{"score":0.7989387575,"content":"南山区今天天气","fileId":"1329400169758941184","chunkId":"43","textGroup":"getCurrentWeather {province=广东省,city=深圳市,district=南山区}"},{"score":0.7951603799999999,"content":"港北区今天天气","fileId":"1329400169758941184","chunkId":"33","textGroup":"getCurrentWeather {province=广西壮族自治区,city=贵港市,district=港北区}"},{"score":0.7945074525,"content":"贵港今天天气","fileId":"1329400169758941184","chunkId":"30","textGroup":"getCurrentWeather {province=广西壮族自治区,city=贵港市}"},{"score":0.7940871275,"content":"通州区今天天气","fileId":"1329400169758941184","chunkId":"50","textGroup":"getCurrentWeather {province=北京市,district=通州区}"},{"score":0.7909010725,"content":"光明区今天天气","fileId":"1329400169758941184","chunkId":"47","textGroup":"getCurrentWeather {province=广东省,city=深圳市,district=光明区}"},{"score":0.790770725,"content":"南宁今天天气","fileId":"1329400169758941184","chunkId":"48","textGroup":"getCurrentWeather {province=广西壮族自治区,city=南宁市}"},{"score":0.7878824674999999,"content":"北京今天天气","fileId":"1329400169758941184","chunkId":"49","textGroup":"getCurrentWeather {province=北京市}"},{"score":0.10054118100000002,"content":"牧原今天的开盘价","fileId":"1329400169758941184","chunkId":"93","textGroup":"ticker {name=牧原股份}"}]}]}</f>
        <v/>
      </c>
      <c r="C466" t="inlineStr">
        <is>
          <t>INFO</t>
        </is>
      </c>
      <c r="D466" t="inlineStr">
        <is>
          <t>vdh</t>
        </is>
      </c>
      <c r="E466" t="inlineStr">
        <is>
          <t>pro17</t>
        </is>
      </c>
      <c r="F466" t="inlineStr">
        <is>
          <t>prod</t>
        </is>
      </c>
    </row>
    <row r="467">
      <c r="A467" t="inlineStr">
        <is>
          <t>2025-05-09 16:54:59.937</t>
        </is>
      </c>
      <c r="B467" t="inlineStr">
        <is>
          <t>知识库插件检索耗时: 544ms</t>
        </is>
      </c>
      <c r="C467" t="inlineStr">
        <is>
          <t>INFO</t>
        </is>
      </c>
      <c r="D467" t="inlineStr">
        <is>
          <t>vdh</t>
        </is>
      </c>
      <c r="E467" t="inlineStr">
        <is>
          <t>pro17</t>
        </is>
      </c>
      <c r="F467" t="inlineStr">
        <is>
          <t>prod</t>
        </is>
      </c>
    </row>
    <row r="468">
      <c r="A468" t="inlineStr">
        <is>
          <t>2025-05-09 16:54:59.391</t>
        </is>
      </c>
      <c r="B468">
        <f>=请求开始== [请求IP]:172.18.33.14 ,[请求方式]:POST， [请求URL]:https://172.30.103.196:8080/api/appservice/bfv/v1/knowledge/retrieval/plugin, [请求类名]:com.yingzi.appservice.bfv.provider.rest.KnowledgeRetrievalController,[请求方法名]:plugin, [请求头参数]:{"host":"172.30.103.196:8080"}, [请求参数]:[{"query":"今天广州的天气怎么样","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468" t="inlineStr">
        <is>
          <t>INFO</t>
        </is>
      </c>
      <c r="D468" t="inlineStr">
        <is>
          <t>vdh</t>
        </is>
      </c>
      <c r="E468" t="inlineStr">
        <is>
          <t>pro17</t>
        </is>
      </c>
      <c r="F468" t="inlineStr">
        <is>
          <t>prod</t>
        </is>
      </c>
    </row>
    <row r="469">
      <c r="A469" t="inlineStr">
        <is>
          <t>2025-05-09 16:54:59.350</t>
        </is>
      </c>
      <c r="B469">
        <f>=请求开始== [请求IP]:172.18.114.116 ,[请求方式]:POST， [请求URL]:https://172.30.212.148:8080/api/appservice/bfv/v1/chat/, [请求类名]:com.yingzi.appservice.bfv.provider.rest.ChatV1Controller,[请求方法名]:chat, [请求头参数]:{"host":"172.30.212.148:8080"}, [请求参数]:[{"stream":true,"message":"今天广州的天气怎么样","args":"{\"adcode\":\"440100\",\"channel_id\":\"9\"}"}]</f>
        <v/>
      </c>
      <c r="C469" t="inlineStr">
        <is>
          <t>INFO</t>
        </is>
      </c>
      <c r="D469" t="inlineStr">
        <is>
          <t>vdh</t>
        </is>
      </c>
      <c r="E469" t="inlineStr">
        <is>
          <t>pro14</t>
        </is>
      </c>
      <c r="F469" t="inlineStr">
        <is>
          <t>prod</t>
        </is>
      </c>
    </row>
    <row r="470">
      <c r="A470" t="inlineStr">
        <is>
          <t>2025-05-09 16:54:56.428</t>
        </is>
      </c>
      <c r="B470">
        <f>=请求结束== [请求耗时]:15毫秒, [返回数据]:{"code":"000000","msg":"Success","traceId":"aec086707a7c35f622553f70c4be78ee"}</f>
        <v/>
      </c>
      <c r="C470" t="inlineStr">
        <is>
          <t>INFO</t>
        </is>
      </c>
      <c r="D470" t="inlineStr">
        <is>
          <t>vdh</t>
        </is>
      </c>
      <c r="E470" t="inlineStr">
        <is>
          <t>pro17</t>
        </is>
      </c>
      <c r="F470" t="inlineStr">
        <is>
          <t>prod</t>
        </is>
      </c>
    </row>
    <row r="471">
      <c r="A471" t="inlineStr">
        <is>
          <t>2025-05-09 16:54:56.413</t>
        </is>
      </c>
      <c r="B471">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64:79:F0:79:7A:16","sessionId":"","avatarId":"11200220000208050000000000000000","appCode":"VDHtestWDC","instructionTemplateType":"Chat_library","recordId":"","asrResult":"进行设备的语音交互","instructionAsrFirstTime":{"year":2025,"monthValue":5,"month":"MAY","dayOfMonth":9,"dayOfYear":129,"dayOfWeek":"FRIDAY","hour":16,"minute":54,"second":46,"nano":0,"chronology":{"id":"ISO","calendarType":"iso8601"}},"knowledgeId":"","knowledgeMasterId":"","instructionType":"","instructionName":"","instructionFlag":"","parameter":"{\"nlpId\":\"17300825629321642727spln\",\"service\":\"Chat_library\"}","ttsResultSource":"FTT","ttsResult":"你好,有什么可以帮您?","ttsResultTime":{"year":2025,"monthValue":5,"month":"MAY","dayOfMonth":9,"dayOfYear":129,"dayOfWeek":"FRIDAY","hour":16,"minute":54,"second":52,"nano":0,"chronology":{"id":"ISO","calendarType":"iso8601"}},"response":3684}]]</f>
        <v/>
      </c>
      <c r="C471" t="inlineStr">
        <is>
          <t>INFO</t>
        </is>
      </c>
      <c r="D471" t="inlineStr">
        <is>
          <t>vdh</t>
        </is>
      </c>
      <c r="E471" t="inlineStr">
        <is>
          <t>pro17</t>
        </is>
      </c>
      <c r="F471" t="inlineStr">
        <is>
          <t>prod</t>
        </is>
      </c>
    </row>
    <row r="472">
      <c r="A472" t="inlineStr">
        <is>
          <t>2025-05-09 16:54:51.627</t>
        </is>
      </c>
      <c r="B472">
        <f>=请求结束== [请求耗时]:2548毫秒</f>
        <v/>
      </c>
      <c r="C472" t="inlineStr">
        <is>
          <t>INFO</t>
        </is>
      </c>
      <c r="D472" t="inlineStr">
        <is>
          <t>vdh</t>
        </is>
      </c>
      <c r="E472" t="inlineStr">
        <is>
          <t>pro17</t>
        </is>
      </c>
      <c r="F472" t="inlineStr">
        <is>
          <t>prod</t>
        </is>
      </c>
    </row>
    <row r="473">
      <c r="A473" t="inlineStr">
        <is>
          <t>2025-05-09 16:54:51.625</t>
        </is>
      </c>
      <c r="B473" t="inlineStr">
        <is>
          <t>第1次流式调用完成，耗时：1953ms，response: Response { content = AiMessage { text = "你好，有什么可以帮您？" toolExecutionRequests = null }, tokenUsage = TokenUsage { inputTokenCount = 4413, outputTokenCount = 12, totalTokenCount = 4425 }, finishReason = STOP }</t>
        </is>
      </c>
      <c r="C473" t="inlineStr">
        <is>
          <t>INFO</t>
        </is>
      </c>
      <c r="D473" t="inlineStr">
        <is>
          <t>vdh</t>
        </is>
      </c>
      <c r="E473" t="inlineStr">
        <is>
          <t>pro17</t>
        </is>
      </c>
      <c r="F473" t="inlineStr">
        <is>
          <t>prod</t>
        </is>
      </c>
    </row>
    <row r="474">
      <c r="A474" t="inlineStr">
        <is>
          <t>2025-05-09 16:54:51.515</t>
        </is>
      </c>
      <c r="B474" t="inlineStr">
        <is>
          <t xml:space="preserve">第1次流式调用开始回复，耗时：1843ms，第一个token: </t>
        </is>
      </c>
      <c r="C474" t="inlineStr">
        <is>
          <t>INFO</t>
        </is>
      </c>
      <c r="D474" t="inlineStr">
        <is>
          <t>vdh</t>
        </is>
      </c>
      <c r="E474" t="inlineStr">
        <is>
          <t>pro17</t>
        </is>
      </c>
      <c r="F474" t="inlineStr">
        <is>
          <t>prod</t>
        </is>
      </c>
    </row>
    <row r="475">
      <c r="A475" t="inlineStr">
        <is>
          <t>2025-05-09 16:54:49.672</t>
        </is>
      </c>
      <c r="B475" t="inlineStr">
        <is>
          <t>streaming provider=gpt, model: gpt-4o</t>
        </is>
      </c>
      <c r="C475" t="inlineStr">
        <is>
          <t>INFO</t>
        </is>
      </c>
      <c r="D475" t="inlineStr">
        <is>
          <t>vdh</t>
        </is>
      </c>
      <c r="E475" t="inlineStr">
        <is>
          <t>pro17</t>
        </is>
      </c>
      <c r="F475" t="inlineStr">
        <is>
          <t>prod</t>
        </is>
      </c>
    </row>
    <row r="476">
      <c r="A476" t="inlineStr">
        <is>
          <t>2025-05-09 16:54:49.664</t>
        </is>
      </c>
      <c r="B476">
        <f>=请求结束== [请求耗时]:558毫秒, [返回数据]:{"code":"000000","msg":"Success","data":[{"knowledgeId":"1326868148286373888","knowledgeContent":[{"score":0.7080687,"content":"：2025年春节/过年/大年初一是1月29日，农历正月初一，星期三。","fileId":"1326944717968060416","chunkId":"paragraph-1"},{"score":0.7054339125,"content":"：深圳数影科技的股价是多少？深圳数影科技有限公司没有上市，因此没有股价信息。 广西扬翔股份上市了吗？广西扬翔股份没有上市。","fileId":"1326944717968060416","chunkId":"paragraph-6"},{"score":0.703964985,"content":"：广州影子科技的股价是多少？广州影子科技有限公司没有上市，因此没有股价信息。","fileId":"1326944717968060416","chunkId":"paragraph-5"}]},{"knowledgeId":"1329399948694220800","knowledgeContent":[{"score":0.7410436,"content":"启动微波功能","fileId":"1347217269055369216","chunkId":"64","textGroup":"cooking_control {type=start}"},{"score":0.729777785,"content":"结束微波功能","fileId":"1347217269055369216","chunkId":"294","textGroup":"cooking_control {type=stop}"},{"score":0.7294184475,"content":"继续微波功能","fileId":"1347217269055369216","chunkId":"237","textGroup":"cooking_control {type=continue}"},{"score":0.7283844225,"content":"微波暂停","fileId":"1347217269055369216","chunkId":"164","textGroup":"cooking_control {type=pause}"},{"score":0.726084025,"content":"有什么科技新闻","fileId":"1329400169758941184","chunkId":"76","textGroup":"news {type=keji,size=3}"}]},{"knowledgeId":"1272948056214077440","knowledgeContent":[{"score":0.7384241549999999,"content":"问题：可以和我聊聊天吗。\\n回复：你可以随时找我聊。","fileId":"1303425377255075840","chunkId":"2757","textGroup":"可以和我聊聊天吗"},{"score":0.7379620524999999,"content":"问题：晚上好。\\n回复：能听见您的声音真好。","fileId":"1303425377255075840","chunkId":"2765","textGroup":"晚上好"},{"score":0.7363754425,"content":"问题：你好。\\n回复：你好，有什么可以帮您。","fileId":"1303425377255075840","chunkId":"2699","textGroup":"你好"},{"score":0.7354905925,"content":"问题：你会说什么语言。\\n回复：小万正在学习多国语音，目前只会讲中文","fileId":"1303425377255075840","chunkId":"2681","textGroup":"你会说什么语言"},{"score":0.732877395,"content":"问题：你们公司的使命是。\\n回复：用硬件实现从农场到餐桌的产业互联网智能连接。","fileId":"1303425377255075840","chunkId":"616","textGroup":"公司使命是什么"},{"score":0.732850875,"content":"问题：你不智能。\\n回复：很抱歉我还在学习，您能换个说法吗？","fileId":"1303425377255075840","chunkId":"2675","textGroup":"你不智能"},{"score":0.7319805175,"content":"问题：晚安。\\n回复：晚安。","fileId":"1303425377255075840","chunkId":"2766","textGroup":"晚安"},{"score":0.7319154075,"content":"问题：能和你们进行合作吗。\\n回复：想要与我们进行合作，您可通过官方平台联系我们了解详细信息。","fileId":"1303425377255075840","chunkId":"754","textGroup":"如何申请成为平台商家"},{"score":0.7314921925,"content":"问题：电源变压器有何作用。\\n回复：电源变压器给磁控管提供电压的部件","fileId":"1303425377255075840","chunkId":"2456","textGroup":"电源变压器有什么用"},{"score":0.7307821875,"content":"问题：磁控管是用来产生微博的吗。\\n回复：磁控管是一种用来产生微波能的电真空器件，是微波炉的心脏","fileId":"1303425377255075840","chunkId":"1085","textGroup":"什么是磁控管"},{"score":0.7304596975,"content":"问题：你是机器人吗。\\n回复：我是一个不知疲倦的虚拟人。","fileId":"1303425377255075840","chunkId":"2708","textGroup":"你是机器人吗"}]}]}</f>
        <v/>
      </c>
      <c r="C476" t="inlineStr">
        <is>
          <t>INFO</t>
        </is>
      </c>
      <c r="D476" t="inlineStr">
        <is>
          <t>vdh</t>
        </is>
      </c>
      <c r="E476" t="inlineStr">
        <is>
          <t>pro14</t>
        </is>
      </c>
      <c r="F476" t="inlineStr">
        <is>
          <t>prod</t>
        </is>
      </c>
    </row>
    <row r="477">
      <c r="A477" t="inlineStr">
        <is>
          <t>2025-05-09 16:54:49.663</t>
        </is>
      </c>
      <c r="B477" t="inlineStr">
        <is>
          <t>知识库插件检索耗时: 556ms</t>
        </is>
      </c>
      <c r="C477" t="inlineStr">
        <is>
          <t>INFO</t>
        </is>
      </c>
      <c r="D477" t="inlineStr">
        <is>
          <t>vdh</t>
        </is>
      </c>
      <c r="E477" t="inlineStr">
        <is>
          <t>pro14</t>
        </is>
      </c>
      <c r="F477" t="inlineStr">
        <is>
          <t>prod</t>
        </is>
      </c>
    </row>
    <row r="478">
      <c r="A478" t="inlineStr">
        <is>
          <t>2025-05-09 16:54:49.106</t>
        </is>
      </c>
      <c r="B478">
        <f>=请求开始== [请求IP]:172.18.33.17 ,[请求方式]:POST， [请求URL]:https://172.30.212.148:8080/api/appservice/bfv/v1/knowledge/retrieval/plugin, [请求类名]:com.yingzi.appservice.bfv.provider.rest.KnowledgeRetrievalController,[请求方法名]:plugin, [请求头参数]:{"host":"172.30.212.148:8080"}, [请求参数]:[{"query":"进行设备的语音交互","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478" t="inlineStr">
        <is>
          <t>INFO</t>
        </is>
      </c>
      <c r="D478" t="inlineStr">
        <is>
          <t>vdh</t>
        </is>
      </c>
      <c r="E478" t="inlineStr">
        <is>
          <t>pro14</t>
        </is>
      </c>
      <c r="F478" t="inlineStr">
        <is>
          <t>prod</t>
        </is>
      </c>
    </row>
    <row r="479">
      <c r="A479" t="inlineStr">
        <is>
          <t>2025-05-09 16:54:49.079</t>
        </is>
      </c>
      <c r="B479">
        <f>=请求开始== [请求IP]:172.18.114.98 ,[请求方式]:POST， [请求URL]:https://172.30.103.196:8080/api/appservice/bfv/v1/chat/, [请求类名]:com.yingzi.appservice.bfv.provider.rest.ChatV1Controller,[请求方法名]:chat, [请求头参数]:{"host":"172.30.103.196:8080"}, [请求参数]:[{"stream":true,"message":"进行设备的语音交互","args":"{\"adcode\":\"440100\",\"channel_id\":\"9\"}"}]</f>
        <v/>
      </c>
      <c r="C479" t="inlineStr">
        <is>
          <t>INFO</t>
        </is>
      </c>
      <c r="D479" t="inlineStr">
        <is>
          <t>vdh</t>
        </is>
      </c>
      <c r="E479" t="inlineStr">
        <is>
          <t>pro17</t>
        </is>
      </c>
      <c r="F479" t="inlineStr">
        <is>
          <t>prod</t>
        </is>
      </c>
    </row>
    <row r="480">
      <c r="A480" t="inlineStr">
        <is>
          <t>2025-05-09 16:54:45.889</t>
        </is>
      </c>
      <c r="B480">
        <f>=请求结束== [请求耗时]:27毫秒, [返回数据]:{"code":"000000","msg":"Success","traceId":"593c8d8dac23602aeac94c7eeb674183"}</f>
        <v/>
      </c>
      <c r="C480" t="inlineStr">
        <is>
          <t>INFO</t>
        </is>
      </c>
      <c r="D480" t="inlineStr">
        <is>
          <t>vdh</t>
        </is>
      </c>
      <c r="E480" t="inlineStr">
        <is>
          <t>pro14</t>
        </is>
      </c>
      <c r="F480" t="inlineStr">
        <is>
          <t>prod</t>
        </is>
      </c>
    </row>
    <row r="481">
      <c r="A481" t="inlineStr">
        <is>
          <t>2025-05-09 16:54:45.862</t>
        </is>
      </c>
      <c r="B481">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recordId":"","asrResult":"","knowledgeId":"","knowledgeMasterId":"","instructionType":"","instructionName":"","instructionFlag":"","parameter":"{}","ttsResultSource":"local","ttsResult":"开始烹饪,请耐心等待好的","ttsResultTime":{"year":2025,"monthValue":5,"month":"MAY","dayOfMonth":9,"dayOfYear":129,"dayOfWeek":"FRIDAY","hour":16,"minute":47,"second":12,"nano":0,"chronology":{"id":"ISO","calendarType":"iso8601"}},"response":211186}]]</f>
        <v/>
      </c>
      <c r="C481" t="inlineStr">
        <is>
          <t>INFO</t>
        </is>
      </c>
      <c r="D481" t="inlineStr">
        <is>
          <t>vdh</t>
        </is>
      </c>
      <c r="E481" t="inlineStr">
        <is>
          <t>pro14</t>
        </is>
      </c>
      <c r="F481" t="inlineStr">
        <is>
          <t>prod</t>
        </is>
      </c>
    </row>
    <row r="482">
      <c r="A482" t="inlineStr">
        <is>
          <t>2025-05-09 16:54:40.985</t>
        </is>
      </c>
      <c r="B482">
        <f>=请求结束== [请求耗时]:13毫秒, [返回数据]:{"code":"000000","msg":"Success","traceId":"61c00df729f8bca4ca720568b4c96adb"}</f>
        <v/>
      </c>
      <c r="C482" t="inlineStr">
        <is>
          <t>INFO</t>
        </is>
      </c>
      <c r="D482" t="inlineStr">
        <is>
          <t>vdh</t>
        </is>
      </c>
      <c r="E482" t="inlineStr">
        <is>
          <t>pro17</t>
        </is>
      </c>
      <c r="F482" t="inlineStr">
        <is>
          <t>prod</t>
        </is>
      </c>
    </row>
    <row r="483">
      <c r="A483" t="inlineStr">
        <is>
          <t>2025-05-09 16:54:40.972</t>
        </is>
      </c>
      <c r="B483">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1C:99:57:15:E3:25","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16,"minute":54,"second":35,"nano":0,"chronology":{"id":"ISO","calendarType":"iso8601"}},"response":482916}]]</f>
        <v/>
      </c>
      <c r="C483" t="inlineStr">
        <is>
          <t>INFO</t>
        </is>
      </c>
      <c r="D483" t="inlineStr">
        <is>
          <t>vdh</t>
        </is>
      </c>
      <c r="E483" t="inlineStr">
        <is>
          <t>pro17</t>
        </is>
      </c>
      <c r="F483" t="inlineStr">
        <is>
          <t>prod</t>
        </is>
      </c>
    </row>
    <row r="484">
      <c r="A484" t="inlineStr">
        <is>
          <t>2025-05-09 16:53:33.961</t>
        </is>
      </c>
      <c r="B484">
        <f>=请求结束== [请求耗时]:14毫秒, [返回数据]:{"code":"000000","msg":"Success","traceId":"8922ae7390f7a3eb43bdd980bec6f61b"}</f>
        <v/>
      </c>
      <c r="C484" t="inlineStr">
        <is>
          <t>INFO</t>
        </is>
      </c>
      <c r="D484" t="inlineStr">
        <is>
          <t>vdh</t>
        </is>
      </c>
      <c r="E484" t="inlineStr">
        <is>
          <t>pro14</t>
        </is>
      </c>
      <c r="F484" t="inlineStr">
        <is>
          <t>prod</t>
        </is>
      </c>
    </row>
    <row r="485">
      <c r="A485" t="inlineStr">
        <is>
          <t>2025-05-09 16:53:33.947</t>
        </is>
      </c>
      <c r="B485">
        <f>=请求开始== [请求IP]:119.32.28.2 ,[请求方式]:POST， [请求URL]:https://172.30.212.148:8080/api/appservice/bfv/v1/chatHistory/batchSave, [请求类名]:com.yingzi.appservice.bfv.provider.rest.ChatHistoryController,[请求方法名]:batchSave, [请求头参数]:{"host":"172.30.212.148:8080"}, [请求参数]:[[{"userId":1350158289398116352,"deviceId":"1C:99:57:15:E5:D7","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16,"minute":53,"second":28,"nano":0,"chronology":{"id":"ISO","calendarType":"iso8601"}},"response":1746780808830}]]</f>
        <v/>
      </c>
      <c r="C485" t="inlineStr">
        <is>
          <t>INFO</t>
        </is>
      </c>
      <c r="D485" t="inlineStr">
        <is>
          <t>vdh</t>
        </is>
      </c>
      <c r="E485" t="inlineStr">
        <is>
          <t>pro14</t>
        </is>
      </c>
      <c r="F485" t="inlineStr">
        <is>
          <t>prod</t>
        </is>
      </c>
    </row>
    <row r="486">
      <c r="A486" t="inlineStr">
        <is>
          <t>2025-05-09 16:51:10.670</t>
        </is>
      </c>
      <c r="B486">
        <f>=请求结束== [请求耗时]:13毫秒, [返回数据]:{"code":"000000","msg":"Success","traceId":"1ccd1fc5b35dd1c9edbfd5c2123910a7"}</f>
        <v/>
      </c>
      <c r="C486" t="inlineStr">
        <is>
          <t>INFO</t>
        </is>
      </c>
      <c r="D486" t="inlineStr">
        <is>
          <t>vdh</t>
        </is>
      </c>
      <c r="E486" t="inlineStr">
        <is>
          <t>pro17</t>
        </is>
      </c>
      <c r="F486" t="inlineStr">
        <is>
          <t>prod</t>
        </is>
      </c>
    </row>
    <row r="487">
      <c r="A487" t="inlineStr">
        <is>
          <t>2025-05-09 16:51:10.657</t>
        </is>
      </c>
      <c r="B487">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16,"minute":44,"second":29,"nano":0,"chronology":{"id":"ISO","calendarType":"iso8601"}},"response":1746780269510}]]</f>
        <v/>
      </c>
      <c r="C487" t="inlineStr">
        <is>
          <t>INFO</t>
        </is>
      </c>
      <c r="D487" t="inlineStr">
        <is>
          <t>vdh</t>
        </is>
      </c>
      <c r="E487" t="inlineStr">
        <is>
          <t>pro17</t>
        </is>
      </c>
      <c r="F487" t="inlineStr">
        <is>
          <t>prod</t>
        </is>
      </c>
    </row>
    <row r="488">
      <c r="A488" t="inlineStr">
        <is>
          <t>2025-05-09 16:51:09.991</t>
        </is>
      </c>
      <c r="B488">
        <f>=请求结束== [请求耗时]:14毫秒, [返回数据]:{"code":"000000","msg":"Success","traceId":"6ee38fe466ece2969adc2ccdb4a40cf0"}</f>
        <v/>
      </c>
      <c r="C488" t="inlineStr">
        <is>
          <t>INFO</t>
        </is>
      </c>
      <c r="D488" t="inlineStr">
        <is>
          <t>vdh</t>
        </is>
      </c>
      <c r="E488" t="inlineStr">
        <is>
          <t>pro14</t>
        </is>
      </c>
      <c r="F488" t="inlineStr">
        <is>
          <t>prod</t>
        </is>
      </c>
    </row>
    <row r="489">
      <c r="A489" t="inlineStr">
        <is>
          <t>2025-05-09 16:51:09.977</t>
        </is>
      </c>
      <c r="B489">
        <f>=请求开始== [请求IP]:171.104.158.186 ,[请求方式]:POST， [请求URL]:https://172.30.212.148:8080/api/appservice/bfv/v1/chatHistory/batchSave, [请求类名]:com.yingzi.appservice.bfv.provider.rest.ChatHistoryController,[请求方法名]:batchSave, [请求头参数]:{"host":"172.30.212.148:8080"}, [请求参数]:[[{"userId":877845005063770112,"deviceId":"1C:99:57:15:E5:F0","sessionId":"","avatarId":"11200220000208050000000000000000","appCode":"VDHtestWDC","instructionTemplateType":"","recordId":"","asrResult":"","knowledgeId":"","knowledgeMasterId":"","instructionType":"","instructionName":"","instructionFlag":"","parameter":"{}","ttsResultSource":"local","ttsResult":"开始烹饪,请耐心等待","ttsResultTime":{"year":2025,"monthValue":3,"month":"MARCH","dayOfMonth":26,"dayOfYear":85,"dayOfWeek":"WEDNESDAY","hour":17,"minute":9,"second":1,"nano":0,"chronology":{"id":"ISO","calendarType":"iso8601"}},"response":4188673}]]</f>
        <v/>
      </c>
      <c r="C489" t="inlineStr">
        <is>
          <t>INFO</t>
        </is>
      </c>
      <c r="D489" t="inlineStr">
        <is>
          <t>vdh</t>
        </is>
      </c>
      <c r="E489" t="inlineStr">
        <is>
          <t>pro14</t>
        </is>
      </c>
      <c r="F489" t="inlineStr">
        <is>
          <t>prod</t>
        </is>
      </c>
    </row>
    <row r="490">
      <c r="A490" t="inlineStr">
        <is>
          <t>2025-05-09 16:50:52.108</t>
        </is>
      </c>
      <c r="B490">
        <f>=请求结束== [请求耗时]:12毫秒, [返回数据]:{"code":"000000","msg":"Success","traceId":"a9bb46318c500329b0a20eb7fde57761"}</f>
        <v/>
      </c>
      <c r="C490" t="inlineStr">
        <is>
          <t>INFO</t>
        </is>
      </c>
      <c r="D490" t="inlineStr">
        <is>
          <t>vdh</t>
        </is>
      </c>
      <c r="E490" t="inlineStr">
        <is>
          <t>pro17</t>
        </is>
      </c>
      <c r="F490" t="inlineStr">
        <is>
          <t>prod</t>
        </is>
      </c>
    </row>
    <row r="491">
      <c r="A491" t="inlineStr">
        <is>
          <t>2025-05-09 16:50:52.096</t>
        </is>
      </c>
      <c r="B491">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烹饪完成,请取餐,小心烫小万发现了蚝油豌豆尖,要开始烹饪吗","ttsResultTime":{"year":2025,"monthValue":5,"month":"MAY","dayOfMonth":9,"dayOfYear":129,"dayOfWeek":"FRIDAY","hour":16,"minute":11,"second":19,"nano":0,"chronology":{"id":"ISO","calendarType":"iso8601"}},"response":1746778279541}]]</f>
        <v/>
      </c>
      <c r="C491" t="inlineStr">
        <is>
          <t>INFO</t>
        </is>
      </c>
      <c r="D491" t="inlineStr">
        <is>
          <t>vdh</t>
        </is>
      </c>
      <c r="E491" t="inlineStr">
        <is>
          <t>pro17</t>
        </is>
      </c>
      <c r="F491" t="inlineStr">
        <is>
          <t>prod</t>
        </is>
      </c>
    </row>
    <row r="492">
      <c r="A492" t="inlineStr">
        <is>
          <t>2025-05-09 16:46:45.694</t>
        </is>
      </c>
      <c r="B492">
        <f>=请求结束== [请求耗时]:14毫秒, [返回数据]:{"code":"000000","msg":"Success","traceId":"2141064e54866c77daf57eb4dccad6c6"}</f>
        <v/>
      </c>
      <c r="C492" t="inlineStr">
        <is>
          <t>INFO</t>
        </is>
      </c>
      <c r="D492" t="inlineStr">
        <is>
          <t>vdh</t>
        </is>
      </c>
      <c r="E492" t="inlineStr">
        <is>
          <t>pro14</t>
        </is>
      </c>
      <c r="F492" t="inlineStr">
        <is>
          <t>prod</t>
        </is>
      </c>
    </row>
    <row r="493">
      <c r="A493" t="inlineStr">
        <is>
          <t>2025-05-09 16:46:45.680</t>
        </is>
      </c>
      <c r="B49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3:25","sessionId":"","avatarId":"11200220000208050000000000000000","appCode":"VDHtestWDC","instructionTemplateType":"Chat_library","recordId":"","asrResult":"哦哦哦对这个","instructionAsrFirstTime":{"year":2025,"monthValue":5,"month":"MAY","dayOfMonth":9,"dayOfYear":129,"dayOfWeek":"FRIDAY","hour":16,"minute":46,"second":30,"nano":0,"chronology":{"id":"ISO","calendarType":"iso8601"}},"knowledgeId":"","knowledgeMasterId":"","instructionType":"","instructionName":"","instructionFlag":"","parameter":"{\"nlpId\":\"17300825629321642727spln\",\"service\":\"Chat_library\"}","ttsResultSource":"FTT","ttsResult":"请问您是希望了解新闻热点吗?如果是的话,我可以为您提供最新的新闻资讯。","ttsResultTime":{"year":2025,"monthValue":5,"month":"MAY","dayOfMonth":9,"dayOfYear":129,"dayOfWeek":"FRIDAY","hour":16,"minute":46,"second":39,"nano":0,"chronology":{"id":"ISO","calendarType":"iso8601"}},"response":6161}]]</f>
        <v/>
      </c>
      <c r="C493" t="inlineStr">
        <is>
          <t>INFO</t>
        </is>
      </c>
      <c r="D493" t="inlineStr">
        <is>
          <t>vdh</t>
        </is>
      </c>
      <c r="E493" t="inlineStr">
        <is>
          <t>pro14</t>
        </is>
      </c>
      <c r="F493" t="inlineStr">
        <is>
          <t>prod</t>
        </is>
      </c>
    </row>
    <row r="494">
      <c r="A494" t="inlineStr">
        <is>
          <t>2025-05-09 16:46:40.182</t>
        </is>
      </c>
      <c r="B494">
        <f>=请求结束== [请求耗时]:17毫秒, [返回数据]:{"code":"000000","msg":"Success","traceId":"d5a94465e00974afdec6d12cbbcb76aa"}</f>
        <v/>
      </c>
      <c r="C494" t="inlineStr">
        <is>
          <t>INFO</t>
        </is>
      </c>
      <c r="D494" t="inlineStr">
        <is>
          <t>vdh</t>
        </is>
      </c>
      <c r="E494" t="inlineStr">
        <is>
          <t>pro14</t>
        </is>
      </c>
      <c r="F494" t="inlineStr">
        <is>
          <t>prod</t>
        </is>
      </c>
    </row>
    <row r="495">
      <c r="A495" t="inlineStr">
        <is>
          <t>2025-05-09 16:46:40.165</t>
        </is>
      </c>
      <c r="B495">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F4:CE:23:BC:1A:E2","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16,"minute":46,"second":34,"nano":0,"chronology":{"id":"ISO","calendarType":"iso8601"}},"response":1746780394892}]]</f>
        <v/>
      </c>
      <c r="C495" t="inlineStr">
        <is>
          <t>INFO</t>
        </is>
      </c>
      <c r="D495" t="inlineStr">
        <is>
          <t>vdh</t>
        </is>
      </c>
      <c r="E495" t="inlineStr">
        <is>
          <t>pro14</t>
        </is>
      </c>
      <c r="F495" t="inlineStr">
        <is>
          <t>prod</t>
        </is>
      </c>
    </row>
    <row r="496">
      <c r="A496" t="inlineStr">
        <is>
          <t>2025-05-09 16:46:36.993</t>
        </is>
      </c>
      <c r="B496">
        <f>=请求结束== [请求耗时]:3846毫秒</f>
        <v/>
      </c>
      <c r="C496" t="inlineStr">
        <is>
          <t>INFO</t>
        </is>
      </c>
      <c r="D496" t="inlineStr">
        <is>
          <t>vdh</t>
        </is>
      </c>
      <c r="E496" t="inlineStr">
        <is>
          <t>pro14</t>
        </is>
      </c>
      <c r="F496" t="inlineStr">
        <is>
          <t>prod</t>
        </is>
      </c>
    </row>
    <row r="497">
      <c r="A497" t="inlineStr">
        <is>
          <t>2025-05-09 16:46:36.992</t>
        </is>
      </c>
      <c r="B497" t="inlineStr">
        <is>
          <t>第1次流式调用完成，耗时：3143ms，response: Response { content = AiMessage { text = "请问您是希望了解新闻热点吗？如果是的话，我可以为您提供最新的新闻资讯。" toolExecutionRequests = null }, tokenUsage = TokenUsage { inputTokenCount = 4804, outputTokenCount = 41, totalTokenCount = 4845 }, finishReason = STOP }</t>
        </is>
      </c>
      <c r="C497" t="inlineStr">
        <is>
          <t>INFO</t>
        </is>
      </c>
      <c r="D497" t="inlineStr">
        <is>
          <t>vdh</t>
        </is>
      </c>
      <c r="E497" t="inlineStr">
        <is>
          <t>pro14</t>
        </is>
      </c>
      <c r="F497" t="inlineStr">
        <is>
          <t>prod</t>
        </is>
      </c>
    </row>
    <row r="498">
      <c r="A498" t="inlineStr">
        <is>
          <t>2025-05-09 16:46:36.435</t>
        </is>
      </c>
      <c r="B498" t="inlineStr">
        <is>
          <t xml:space="preserve">第1次流式调用开始回复，耗时：2586ms，第一个token: </t>
        </is>
      </c>
      <c r="C498" t="inlineStr">
        <is>
          <t>INFO</t>
        </is>
      </c>
      <c r="D498" t="inlineStr">
        <is>
          <t>vdh</t>
        </is>
      </c>
      <c r="E498" t="inlineStr">
        <is>
          <t>pro14</t>
        </is>
      </c>
      <c r="F498" t="inlineStr">
        <is>
          <t>prod</t>
        </is>
      </c>
    </row>
    <row r="499">
      <c r="A499" t="inlineStr">
        <is>
          <t>2025-05-09 16:46:33.850</t>
        </is>
      </c>
      <c r="B499" t="inlineStr">
        <is>
          <t>streaming provider=gpt, model: gpt-4o</t>
        </is>
      </c>
      <c r="C499" t="inlineStr">
        <is>
          <t>INFO</t>
        </is>
      </c>
      <c r="D499" t="inlineStr">
        <is>
          <t>vdh</t>
        </is>
      </c>
      <c r="E499" t="inlineStr">
        <is>
          <t>pro14</t>
        </is>
      </c>
      <c r="F499" t="inlineStr">
        <is>
          <t>prod</t>
        </is>
      </c>
    </row>
    <row r="500">
      <c r="A500" t="inlineStr">
        <is>
          <t>2025-05-09 16:46:33.844</t>
        </is>
      </c>
      <c r="B500">
        <f>=请求结束== [请求耗时]:662毫秒, [返回数据]:{"code":"000000","msg":"Success","data":[{"knowledgeId":"1326868148286373888","knowledgeContent":[{"score":0.72851052,"content":"：2025年春节/过年/大年初一是1月29日，农历正月初一，星期三。","fileId":"1326944717968060416","chunkId":"paragraph-1"},{"score":0.7152582125,"content":"：深圳数影科技的股价是多少？深圳数影科技有限公司没有上市，因此没有股价信息。 广西扬翔股份上市了吗？广西扬翔股份没有上市。","fileId":"1326944717968060416","chunkId":"paragraph-6"},{"score":0.7046074999999999,"content":"：小暑：•新历：7月7日•农历：六月十三•星期一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knowledgeId":"1272948056214077440","knowledgeContent":[{"score":0.768815225,"content":"问题：晚安。\\n回复：晚安。","fileId":"1303425377255075840","chunkId":"2766","textGroup":"晚安"},{"score":0.7658491925,"content":"问题：你好。\\n回复：你好，有什么可以帮您。","fileId":"1303425377255075840","chunkId":"2699","textGroup":"你好"},{"score":0.7640981075,"content":"问题：不满。\\n回复：不满意的地方还请多多包涵。","fileId":"1303425377255075840","chunkId":"2671","textGroup":"不满"},{"score":0.7636207475,"content":"问题：你反应太慢了。\\n回复：抱歉我还在学习，所以反应有点慢。","fileId":"1303425377255075840","chunkId":"2686","textGroup":"你反应太慢了"},{"score":0.7606904999999999,"content":"问题：假期愉快。\\n回复：假期愉快，玩得开心哟！","fileId":"1303425377255075840","chunkId":"2755","textGroup":"假期愉快"},{"score":0.759709855,"content":"问题：再见。\\n回复：拜拜，下次见。","fileId":"1303425377255075840","chunkId":"2756","textGroup":"再见"},{"score":0.7579738149999999,"content":"问题：早上好。\\n回复：早上好，美好的一天又开始了。","fileId":"1303425377255075840","chunkId":"2764","textGroup":"早上好"},{"score":0.7566024675,"content":"问题：你真棒。\\n回复：谢谢赞美。","fileId":"1303425377255075840","chunkId":"2752","textGroup":"你真棒"},{"score":0.75620522,"content":"问题：你很智能。\\n回复：谢谢夸奖，我会继续学习的。","fileId":"1303425377255075840","chunkId":"2702","textGroup":"你很智能"},{"score":0.7556075425000001,"content":"问题：你不智能。\\n回复：很抱歉我还在学习，您能换个说法吗？","fileId":"1303425377255075840","chunkId":"2675","textGroup":"你不智能"},{"score":0.7550950774999999,"content":"问题：谢谢。\\n回复：您客气了。","fileId":"1303425377255075840","chunkId":"2769","textGroup":"谢谢"},{"score":0.754443255,"content":"问题：你真好看。\\n回复：是吧，那得感谢设计我的人。","fileId":"1303425377255075840","chunkId":"2751","textGroup":"你真好看"},{"score":0.75415281,"content":"问题：晚上好。\\n回复：能听见您的声音真好。","fileId":"1303425377255075840","chunkId":"2765","textGroup":"晚上好"},{"score":0.7540778825,"content":"问题：你没用。\\n回复：非常抱歉，小万会努力学习的","fileId":"1303425377255075840","chunkId":"2732","textGroup":"你没用"},{"score":0.7531136425,"content":"问题：你的身高是多少。\\n回复：我的身高是一米五。","fileId":"1303425377255075840","chunkId":"2750","textGroup":"你的身高是多少"}]},{"knowledgeId":"1329399948694220800","knowledgeContent":[{"score":0.7552673725,"content":"请帮我继续微波","fileId":"1347217269055369216","chunkId":"256","textGroup":"cooking_control {type=continue}"},{"score":0.7534242325,"content":"我想了解下新闻热点","fileId":"1329400169758941184","chunkId":"64","textGroup":"news {type=top,size=3}"},{"score":0.7499013225,"content":"我想微波暂停","fileId":"1347217269055369216","chunkId":"195","textGroup":"cooking_control {type=pause}"},{"score":0.7453077524999999,"content":"我明明放了[菜品名称]","fileId":"1347217269055369216","chunkId":"35","textGroup":"set_foodtype_taste"},{"score":0.7445578825,"content":"请帮我终止微波","fileId":"1347217269055369216","chunkId":"328","textGroup":"cooking_control {type=stop}"},{"score":0.7442403224999999,"content":"开始做吧","fileId":"1347217269055369216","chunkId":"136","textGroup":"cooking_control {type=start}"}]}]}</f>
        <v/>
      </c>
      <c r="C500" t="inlineStr">
        <is>
          <t>INFO</t>
        </is>
      </c>
      <c r="D500" t="inlineStr">
        <is>
          <t>vdh</t>
        </is>
      </c>
      <c r="E500" t="inlineStr">
        <is>
          <t>pro17</t>
        </is>
      </c>
      <c r="F500" t="inlineStr">
        <is>
          <t>prod</t>
        </is>
      </c>
    </row>
    <row r="501">
      <c r="A501" t="inlineStr">
        <is>
          <t>2025-05-09 16:46:33.844</t>
        </is>
      </c>
      <c r="B501" t="inlineStr">
        <is>
          <t>知识库插件检索耗时: 660ms</t>
        </is>
      </c>
      <c r="C501" t="inlineStr">
        <is>
          <t>INFO</t>
        </is>
      </c>
      <c r="D501" t="inlineStr">
        <is>
          <t>vdh</t>
        </is>
      </c>
      <c r="E501" t="inlineStr">
        <is>
          <t>pro17</t>
        </is>
      </c>
      <c r="F501" t="inlineStr">
        <is>
          <t>prod</t>
        </is>
      </c>
    </row>
    <row r="502">
      <c r="A502" t="inlineStr">
        <is>
          <t>2025-05-09 16:46:33.182</t>
        </is>
      </c>
      <c r="B502">
        <f>=请求开始== [请求IP]:172.18.33.14 ,[请求方式]:POST， [请求URL]:https://172.30.103.196:8080/api/appservice/bfv/v1/knowledge/retrieval/plugin, [请求类名]:com.yingzi.appservice.bfv.provider.rest.KnowledgeRetrievalController,[请求方法名]:plugin, [请求头参数]:{"host":"172.30.103.196:8080"}, [请求参数]:[{"query":"哦哦哦对这个","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502" t="inlineStr">
        <is>
          <t>INFO</t>
        </is>
      </c>
      <c r="D502" t="inlineStr">
        <is>
          <t>vdh</t>
        </is>
      </c>
      <c r="E502" t="inlineStr">
        <is>
          <t>pro17</t>
        </is>
      </c>
      <c r="F502" t="inlineStr">
        <is>
          <t>prod</t>
        </is>
      </c>
    </row>
    <row r="503">
      <c r="A503" t="inlineStr">
        <is>
          <t>2025-05-09 16:46:33.147</t>
        </is>
      </c>
      <c r="B503">
        <f>=请求开始== [请求IP]:172.18.114.116 ,[请求方式]:POST， [请求URL]:https://172.30.212.148:8080/api/appservice/bfv/v1/chat/, [请求类名]:com.yingzi.appservice.bfv.provider.rest.ChatV1Controller,[请求方法名]:chat, [请求头参数]:{"host":"172.30.212.148:8080"}, [请求参数]:[{"stream":true,"message":"哦哦哦对这个","args":"{\"adcode\":\"450400\",\"channel_id\":\"9\"}"}]</f>
        <v/>
      </c>
      <c r="C503" t="inlineStr">
        <is>
          <t>INFO</t>
        </is>
      </c>
      <c r="D503" t="inlineStr">
        <is>
          <t>vdh</t>
        </is>
      </c>
      <c r="E503" t="inlineStr">
        <is>
          <t>pro14</t>
        </is>
      </c>
      <c r="F503" t="inlineStr">
        <is>
          <t>prod</t>
        </is>
      </c>
    </row>
    <row r="504">
      <c r="A504" t="inlineStr">
        <is>
          <t>2025-05-09 16:46:29.696</t>
        </is>
      </c>
      <c r="B504">
        <f>=请求结束== [请求耗时]:13毫秒, [返回数据]:{"code":"000000","msg":"Success","traceId":"e2b297a32235afd22e1cc2ee916b93db"}</f>
        <v/>
      </c>
      <c r="C504" t="inlineStr">
        <is>
          <t>INFO</t>
        </is>
      </c>
      <c r="D504" t="inlineStr">
        <is>
          <t>vdh</t>
        </is>
      </c>
      <c r="E504" t="inlineStr">
        <is>
          <t>pro17</t>
        </is>
      </c>
      <c r="F504" t="inlineStr">
        <is>
          <t>prod</t>
        </is>
      </c>
    </row>
    <row r="505">
      <c r="A505" t="inlineStr">
        <is>
          <t>2025-05-09 16:46:29.683</t>
        </is>
      </c>
      <c r="B505">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15:5F:7C","sessionId":"","avatarId":"11200220000208050000000000000000","appCode":"VDHtestWDC","instructionTemplateType":"","recordId":"","asrResult":"","knowledgeId":"","knowledgeMasterId":"","instructionType":"","instructionName":"","instructionFlag":"","parameter":"{}","ttsResultSource":"","ttsResult":"","response":0}]]</f>
        <v/>
      </c>
      <c r="C505" t="inlineStr">
        <is>
          <t>INFO</t>
        </is>
      </c>
      <c r="D505" t="inlineStr">
        <is>
          <t>vdh</t>
        </is>
      </c>
      <c r="E505" t="inlineStr">
        <is>
          <t>pro17</t>
        </is>
      </c>
      <c r="F505" t="inlineStr">
        <is>
          <t>prod</t>
        </is>
      </c>
    </row>
    <row r="506">
      <c r="A506" t="inlineStr">
        <is>
          <t>2025-05-09 16:46:20.211</t>
        </is>
      </c>
      <c r="B506">
        <f>=请求结束== [请求耗时]:14毫秒, [返回数据]:{"code":"000000","msg":"Success","traceId":"457d7a8e00ad02a4993801e9c786b0d5"}</f>
        <v/>
      </c>
      <c r="C506" t="inlineStr">
        <is>
          <t>INFO</t>
        </is>
      </c>
      <c r="D506" t="inlineStr">
        <is>
          <t>vdh</t>
        </is>
      </c>
      <c r="E506" t="inlineStr">
        <is>
          <t>pro14</t>
        </is>
      </c>
      <c r="F506" t="inlineStr">
        <is>
          <t>prod</t>
        </is>
      </c>
    </row>
    <row r="507">
      <c r="A507" t="inlineStr">
        <is>
          <t>2025-05-09 16:46:20.197</t>
        </is>
      </c>
      <c r="B507">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3:25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16,"minute":46,"second":14,"nano":0,"chronology":{"id":"ISO","calendarType":"iso8601"}},"response":1746780374906}]]</f>
        <v/>
      </c>
      <c r="C507" t="inlineStr">
        <is>
          <t>INFO</t>
        </is>
      </c>
      <c r="D507" t="inlineStr">
        <is>
          <t>vdh</t>
        </is>
      </c>
      <c r="E507" t="inlineStr">
        <is>
          <t>pro14</t>
        </is>
      </c>
      <c r="F507" t="inlineStr">
        <is>
          <t>prod</t>
        </is>
      </c>
    </row>
    <row r="508">
      <c r="A508" t="inlineStr">
        <is>
          <t>2025-05-09 16:44:13.378</t>
        </is>
      </c>
      <c r="B508">
        <f>=请求结束== [请求耗时]:16毫秒, [返回数据]:{"code":"000000","msg":"Success","traceId":"471b9b5f1e3fd9d5957cf50db663c4e0"}</f>
        <v/>
      </c>
      <c r="C508" t="inlineStr">
        <is>
          <t>INFO</t>
        </is>
      </c>
      <c r="D508" t="inlineStr">
        <is>
          <t>vdh</t>
        </is>
      </c>
      <c r="E508" t="inlineStr">
        <is>
          <t>pro17</t>
        </is>
      </c>
      <c r="F508" t="inlineStr">
        <is>
          <t>prod</t>
        </is>
      </c>
    </row>
    <row r="509">
      <c r="A509" t="inlineStr">
        <is>
          <t>2025-05-09 16:44:13.363</t>
        </is>
      </c>
      <c r="B509">
        <f>=请求开始== [请求IP]:119.32.28.2 ,[请求方式]:POST， [请求URL]:https://172.30.103.196:8080/api/appservice/bfv/v1/chatHistory/batchSave, [请求类名]:com.yingzi.appservice.bfv.provider.rest.ChatHistoryController,[请求方法名]:batchSave, [请求头参数]:{"host":"172.30.103.196:8080"}, [请求参数]:[[{"userId":1350158289398116352,"deviceId":"1C:99:57:15:E5:D7","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16,"minute":44,"second":8,"nano":0,"chronology":{"id":"ISO","calendarType":"iso8601"}},"response":1746780248158}]]</f>
        <v/>
      </c>
      <c r="C509" t="inlineStr">
        <is>
          <t>INFO</t>
        </is>
      </c>
      <c r="D509" t="inlineStr">
        <is>
          <t>vdh</t>
        </is>
      </c>
      <c r="E509" t="inlineStr">
        <is>
          <t>pro17</t>
        </is>
      </c>
      <c r="F509" t="inlineStr">
        <is>
          <t>prod</t>
        </is>
      </c>
    </row>
    <row r="510">
      <c r="A510" t="inlineStr">
        <is>
          <t>2025-05-09 16:43:58.134</t>
        </is>
      </c>
      <c r="B510">
        <f>=请求结束== [请求耗时]:12毫秒, [返回数据]:{"code":"000000","msg":"Success","traceId":"d568f3c906903765d2ef2d8974bc5237"}</f>
        <v/>
      </c>
      <c r="C510" t="inlineStr">
        <is>
          <t>INFO</t>
        </is>
      </c>
      <c r="D510" t="inlineStr">
        <is>
          <t>vdh</t>
        </is>
      </c>
      <c r="E510" t="inlineStr">
        <is>
          <t>pro17</t>
        </is>
      </c>
      <c r="F510" t="inlineStr">
        <is>
          <t>prod</t>
        </is>
      </c>
    </row>
    <row r="511">
      <c r="A511" t="inlineStr">
        <is>
          <t>2025-05-09 16:43:58.122</t>
        </is>
      </c>
      <c r="B511">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64:79:F0:79:7A:16","sessionId":"","avatarId":"11200220000208050000000000000000","appCode":"VDHtestWDC","instructionTemplateType":"","recordId":"","asrResult":"","knowledgeId":"","knowledgeMasterId":"","instructionType":"","instructionName":"","instructionFlag":"","parameter":"{}","ttsResultSource":"","ttsResult":"","response":0}]]</f>
        <v/>
      </c>
      <c r="C511" t="inlineStr">
        <is>
          <t>INFO</t>
        </is>
      </c>
      <c r="D511" t="inlineStr">
        <is>
          <t>vdh</t>
        </is>
      </c>
      <c r="E511" t="inlineStr">
        <is>
          <t>pro17</t>
        </is>
      </c>
      <c r="F511" t="inlineStr">
        <is>
          <t>prod</t>
        </is>
      </c>
    </row>
    <row r="512">
      <c r="A512" t="inlineStr">
        <is>
          <t>2025-05-09 16:43:43.906</t>
        </is>
      </c>
      <c r="B512">
        <f>=请求结束== [请求耗时]:15毫秒, [返回数据]:{"code":"000000","msg":"Success","traceId":"dbe7d12d29b17df3d42054e6593a2410"}</f>
        <v/>
      </c>
      <c r="C512" t="inlineStr">
        <is>
          <t>INFO</t>
        </is>
      </c>
      <c r="D512" t="inlineStr">
        <is>
          <t>vdh</t>
        </is>
      </c>
      <c r="E512" t="inlineStr">
        <is>
          <t>pro14</t>
        </is>
      </c>
      <c r="F512" t="inlineStr">
        <is>
          <t>prod</t>
        </is>
      </c>
    </row>
    <row r="513">
      <c r="A513" t="inlineStr">
        <is>
          <t>2025-05-09 16:43:43.891</t>
        </is>
      </c>
      <c r="B513">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recordId":"","asrResult":"","knowledgeId":"","knowledgeMasterId":"","instructionType":"","instructionName":"","instructionFlag":"","parameter":"{}","ttsResultSource":"local","ttsResult":"请选择烹饪模式","ttsResultTime":{"year":2025,"monthValue":5,"month":"MAY","dayOfMonth":9,"dayOfYear":129,"dayOfWeek":"FRIDAY","hour":16,"minute":43,"second":42,"nano":0,"chronology":{"id":"ISO","calendarType":"iso8601"}},"response":842}]]</f>
        <v/>
      </c>
      <c r="C513" t="inlineStr">
        <is>
          <t>INFO</t>
        </is>
      </c>
      <c r="D513" t="inlineStr">
        <is>
          <t>vdh</t>
        </is>
      </c>
      <c r="E513" t="inlineStr">
        <is>
          <t>pro14</t>
        </is>
      </c>
      <c r="F513" t="inlineStr">
        <is>
          <t>prod</t>
        </is>
      </c>
    </row>
    <row r="514">
      <c r="A514" t="inlineStr">
        <is>
          <t>2025-05-09 16:43:41.454</t>
        </is>
      </c>
      <c r="B514">
        <f>=请求结束== [请求耗时]:18毫秒, [返回数据]:{"code":"000000","msg":"Success","traceId":"5d515fb9cffeea2e3b0ba100ecd8b0f3"}</f>
        <v/>
      </c>
      <c r="C514" t="inlineStr">
        <is>
          <t>INFO</t>
        </is>
      </c>
      <c r="D514" t="inlineStr">
        <is>
          <t>vdh</t>
        </is>
      </c>
      <c r="E514" t="inlineStr">
        <is>
          <t>pro17</t>
        </is>
      </c>
      <c r="F514" t="inlineStr">
        <is>
          <t>prod</t>
        </is>
      </c>
    </row>
    <row r="515">
      <c r="A515" t="inlineStr">
        <is>
          <t>2025-05-09 16:43:41.437</t>
        </is>
      </c>
      <c r="B515">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64:79:F0:79:7A:16","sessionId":"","avatarId":"11200220000208050000000000000000","appCode":"VDHtestWDC","instructionTemplateType":"Instruction_library","recordId":"","asrResult":"","instructionAsrFirstTime":{"year":2025,"monthValue":5,"month":"MAY","dayOfMonth":9,"dayOfYear":129,"dayOfWeek":"FRIDAY","hour":16,"minute":43,"second":39,"nano":0,"chronology":{"id":"ISO","calendarType":"iso8601"}},"knowledgeId":"","knowledgeMasterId":"403","instructionType":"COOKING","instructionName":"启动烹饪","instructionFlag":"voice_cmd_start_cooking","parameter":"{\"answer\":\"DEFAULT\",\"code\":\"voice_cmd_start_cooking\",\"continue_answer\":\"\",\"continue_failed_answer\":\"\",\"entities\":\"\",\"failed_answer\":\"{\\\"answerId\\\":\\\"\\\",\\\"value\\\":\\\"抱歉，执行错误\\\",\\\"hidb\\\":\\\"\\\",\\\"aplusId\\\":\\\"\\\",\\\"flag\\\":true,\\\"updFlag\\\":false,\\\"cache\\\":false}\",\"hitBusiness\":\"403\",\"init_state\":\"false\",\"intent\":\"启动烹饪\",\"intentType\":\"COOKING\",\"isEnd\":\"true\",\"isMulti\":\"false\",\"service\":\"Instruction_library\",\"succeed_answer\":\"{\\\"answerId\\\":\\\"\\\",\\\"value\\\":\\\"主人稍等，美味马上来\\\",\\\"hidb\\\":\\\"\\\",\\\"aplusId\\\":\\\"\\\",\\\"flag\\\":true,\\\"updFlag\\\":true,\\\"cache\\\":false}\"}","ttsResultSource":"local","ttsResult":"","response":0}]]</f>
        <v/>
      </c>
      <c r="C515" t="inlineStr">
        <is>
          <t>INFO</t>
        </is>
      </c>
      <c r="D515" t="inlineStr">
        <is>
          <t>vdh</t>
        </is>
      </c>
      <c r="E515" t="inlineStr">
        <is>
          <t>pro17</t>
        </is>
      </c>
      <c r="F515" t="inlineStr">
        <is>
          <t>prod</t>
        </is>
      </c>
    </row>
    <row r="516">
      <c r="A516" t="inlineStr">
        <is>
          <t>2025-05-09 16:43:38.962</t>
        </is>
      </c>
      <c r="B516">
        <f>=请求结束== [请求耗时]:14毫秒, [返回数据]:{"code":"000000","msg":"Success","traceId":"99cfffc49a26be63e1ed5be58ab70d60"}</f>
        <v/>
      </c>
      <c r="C516" t="inlineStr">
        <is>
          <t>INFO</t>
        </is>
      </c>
      <c r="D516" t="inlineStr">
        <is>
          <t>vdh</t>
        </is>
      </c>
      <c r="E516" t="inlineStr">
        <is>
          <t>pro14</t>
        </is>
      </c>
      <c r="F516" t="inlineStr">
        <is>
          <t>prod</t>
        </is>
      </c>
    </row>
    <row r="517">
      <c r="A517" t="inlineStr">
        <is>
          <t>2025-05-09 16:43:38.948</t>
        </is>
      </c>
      <c r="B517">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Instruction_library","recordId":"","asrResult":"牛奶加吐司","instructionAsrFirstTime":{"year":2025,"monthValue":5,"month":"MAY","dayOfMonth":9,"dayOfYear":129,"dayOfWeek":"FRIDAY","hour":16,"minute":43,"second":33,"nano":0,"chronology":{"id":"ISO","calendarType":"iso8601"}},"knowledgeId":"","knowledgeMasterId":"295","instructionType":"COOKING","instructionName":"选择食物","instructionFlag":"set_foodtype","parameter":"{\"answer\":\"DEFAULT\",\"code\":\"set_foodtype\",\"continue_answer\":\"\",\"continue_failed_answer\":\"\",\"entities\":\"[{\\\"name\\\":\\\"菜品名称\\\",\\\"value\\\":\\\"牛奶\\\",\\\"similar_value\\\":\\\"牛奶\\\",\\\"similar_standard_value\\\":\\\"牛奶\\\",\\\"similar_target_id\\\":\\\"461\\\",\\\"answer\\\":{\\\"answerId\\\":\\\"\\\",\\\"value\\\":\\\"\\\",\\\"hidb\\\":\\\"\\\",\\\"aplusId\\\":\\\"\\\",\\\"flag\\\":true,\\\"updFlag\\\":false,\\\"cache\\\":false}}]\",\"failed_answer\":\"{\\\"answerId\\\":\\\"\\\",\\\"value\\\":\\\"抱歉，执行失败\\\",\\\"hidb\\\":\\\"\\\",\\\"aplusId\\\":\\\"\\\",\\\"flag\\\":true,\\\"updFlag\\\":false,\\\"cache\\\":false}\",\"hitBusiness\":\"295\",\"init_state\":\"false\",\"intent\":\"选择食物\",\"intentType\":\"COOKING\",\"isEnd\":\"true\",\"isMulti\":\"false\",\"service\":\"Instruction_library\",\"succeed_answer\":\"{\\\"answerId\\\":\\\"\\\",\\\"value\\\":\\\"好嘞，小万会按照主人吩咐的烹饪哒\\\",\\\"hidb\\\":\\\"\\\",\\\"aplusId\\\":\\\"\\\",\\\"flag\\\":true,\\\"updFlag\\\":false,\\\"cache\\\":false}\"}","ttsResultSource":"local","ttsResult":"选好了,要开始烹饪吗","ttsResultTime":{"year":2025,"monthValue":5,"month":"MAY","dayOfMonth":9,"dayOfYear":129,"dayOfWeek":"FRIDAY","hour":16,"minute":43,"second":36,"nano":0,"chronology":{"id":"ISO","calendarType":"iso8601"}},"response":1401}]]</f>
        <v/>
      </c>
      <c r="C517" t="inlineStr">
        <is>
          <t>INFO</t>
        </is>
      </c>
      <c r="D517" t="inlineStr">
        <is>
          <t>vdh</t>
        </is>
      </c>
      <c r="E517" t="inlineStr">
        <is>
          <t>pro14</t>
        </is>
      </c>
      <c r="F517" t="inlineStr">
        <is>
          <t>prod</t>
        </is>
      </c>
    </row>
    <row r="518">
      <c r="A518" t="inlineStr">
        <is>
          <t>2025-05-09 16:43:32.147</t>
        </is>
      </c>
      <c r="B518">
        <f>=请求结束== [请求耗时]:15毫秒, [返回数据]:{"code":"000000","msg":"Success","traceId":"6208c7b6cd98918edb97b15d48b0679f"}</f>
        <v/>
      </c>
      <c r="C518" t="inlineStr">
        <is>
          <t>INFO</t>
        </is>
      </c>
      <c r="D518" t="inlineStr">
        <is>
          <t>vdh</t>
        </is>
      </c>
      <c r="E518" t="inlineStr">
        <is>
          <t>pro17</t>
        </is>
      </c>
      <c r="F518" t="inlineStr">
        <is>
          <t>prod</t>
        </is>
      </c>
    </row>
    <row r="519">
      <c r="A519" t="inlineStr">
        <is>
          <t>2025-05-09 16:43:32.132</t>
        </is>
      </c>
      <c r="B519">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64:79:F0:79:7A:16","sessionId":"","avatarId":"11200220000208050000000000000000","appCode":"VDHtestWDC","instructionTemplateType":"","recordId":"","asrResult":"","knowledgeId":"","knowledgeMasterId":"","instructionType":"","instructionName":"","instructionFlag":"","parameter":"{}","ttsResultSource":"","ttsResult":"","response":0}]]</f>
        <v/>
      </c>
      <c r="C519" t="inlineStr">
        <is>
          <t>INFO</t>
        </is>
      </c>
      <c r="D519" t="inlineStr">
        <is>
          <t>vdh</t>
        </is>
      </c>
      <c r="E519" t="inlineStr">
        <is>
          <t>pro17</t>
        </is>
      </c>
      <c r="F519" t="inlineStr">
        <is>
          <t>prod</t>
        </is>
      </c>
    </row>
    <row r="520">
      <c r="A520" t="inlineStr">
        <is>
          <t>2025-05-09 16:43:22.008</t>
        </is>
      </c>
      <c r="B520">
        <f>=请求结束== [请求耗时]:12毫秒, [返回数据]:{"code":"000000","msg":"Success","traceId":"527e782224bfe298d80830401cd5102b"}</f>
        <v/>
      </c>
      <c r="C520" t="inlineStr">
        <is>
          <t>INFO</t>
        </is>
      </c>
      <c r="D520" t="inlineStr">
        <is>
          <t>vdh</t>
        </is>
      </c>
      <c r="E520" t="inlineStr">
        <is>
          <t>pro14</t>
        </is>
      </c>
      <c r="F520" t="inlineStr">
        <is>
          <t>prod</t>
        </is>
      </c>
    </row>
    <row r="521">
      <c r="A521" t="inlineStr">
        <is>
          <t>2025-05-09 16:43:21.996</t>
        </is>
      </c>
      <c r="B521">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Instruction_library","recordId":"","asrResult":"牛奶加吐司","instructionAsrFirstTime":{"year":2025,"monthValue":5,"month":"MAY","dayOfMonth":9,"dayOfYear":129,"dayOfWeek":"FRIDAY","hour":16,"minute":43,"second":16,"nano":0,"chronology":{"id":"ISO","calendarType":"iso8601"}},"knowledgeId":"","knowledgeMasterId":"295","instructionType":"COOKING","instructionName":"选择食物","instructionFlag":"set_foodtype","parameter":"{\"answer\":\"DEFAULT\",\"code\":\"set_foodtype\",\"continue_answer\":\"\",\"continue_failed_answer\":\"\",\"entities\":\"[{\\\"name\\\":\\\"菜品名称\\\",\\\"value\\\":\\\"牛奶\\\",\\\"similar_value\\\":\\\"牛奶\\\",\\\"similar_standard_value\\\":\\\"牛奶\\\",\\\"similar_target_id\\\":\\\"461\\\",\\\"answer\\\":{\\\"answerId\\\":\\\"\\\",\\\"value\\\":\\\"\\\",\\\"hidb\\\":\\\"\\\",\\\"aplusId\\\":\\\"\\\",\\\"flag\\\":true,\\\"updFlag\\\":false,\\\"cache\\\":false}}]\",\"failed_answer\":\"{\\\"answerId\\\":\\\"\\\",\\\"value\\\":\\\"抱歉，执行失败\\\",\\\"hidb\\\":\\\"\\\",\\\"aplusId\\\":\\\"\\\",\\\"flag\\\":true,\\\"updFlag\\\":false,\\\"cache\\\":false}\",\"hitBusiness\":\"295\",\"init_state\":\"false\",\"intent\":\"选择食物\",\"intentType\":\"COOKING\",\"isEnd\":\"true\",\"isMulti\":\"false\",\"service\":\"Instruction_library\",\"succeed_answer\":\"{\\\"answerId\\\":\\\"\\\",\\\"value\\\":\\\"好嘞，小万会按照主人吩咐的烹饪哒\\\",\\\"hidb\\\":\\\"\\\",\\\"aplusId\\\":\\\"\\\",\\\"flag\\\":true,\\\"updFlag\\\":false,\\\"cache\\\":false}\"}","ttsResultSource":"local","ttsResult":"选好了,要开始烹饪吗","ttsResultTime":{"year":2025,"monthValue":5,"month":"MAY","dayOfMonth":9,"dayOfYear":129,"dayOfWeek":"FRIDAY","hour":16,"minute":43,"second":19,"nano":0,"chronology":{"id":"ISO","calendarType":"iso8601"}},"response":1246}]]</f>
        <v/>
      </c>
      <c r="C521" t="inlineStr">
        <is>
          <t>INFO</t>
        </is>
      </c>
      <c r="D521" t="inlineStr">
        <is>
          <t>vdh</t>
        </is>
      </c>
      <c r="E521" t="inlineStr">
        <is>
          <t>pro14</t>
        </is>
      </c>
      <c r="F521" t="inlineStr">
        <is>
          <t>prod</t>
        </is>
      </c>
    </row>
    <row r="522">
      <c r="A522" t="inlineStr">
        <is>
          <t>2025-05-09 16:42:45.109</t>
        </is>
      </c>
      <c r="B522">
        <f>=请求结束== [请求耗时]:16毫秒, [返回数据]:{"code":"000000","msg":"Success","traceId":"169b33ef14e8dddbd30b2369b768fa22"}</f>
        <v/>
      </c>
      <c r="C522" t="inlineStr">
        <is>
          <t>INFO</t>
        </is>
      </c>
      <c r="D522" t="inlineStr">
        <is>
          <t>vdh</t>
        </is>
      </c>
      <c r="E522" t="inlineStr">
        <is>
          <t>pro17</t>
        </is>
      </c>
      <c r="F522" t="inlineStr">
        <is>
          <t>prod</t>
        </is>
      </c>
    </row>
    <row r="523">
      <c r="A523" t="inlineStr">
        <is>
          <t>2025-05-09 16:42:45.093</t>
        </is>
      </c>
      <c r="B523">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84:5C:F3:27:DE:40","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16,"minute":42,"second":39,"nano":0,"chronology":{"id":"ISO","calendarType":"iso8601"}},"response":2210734}]]</f>
        <v/>
      </c>
      <c r="C523" t="inlineStr">
        <is>
          <t>INFO</t>
        </is>
      </c>
      <c r="D523" t="inlineStr">
        <is>
          <t>vdh</t>
        </is>
      </c>
      <c r="E523" t="inlineStr">
        <is>
          <t>pro17</t>
        </is>
      </c>
      <c r="F523" t="inlineStr">
        <is>
          <t>prod</t>
        </is>
      </c>
    </row>
    <row r="524">
      <c r="A524" t="inlineStr">
        <is>
          <t>2025-05-09 16:41:07.017</t>
        </is>
      </c>
      <c r="B524">
        <f>=请求结束== [请求耗时]:17毫秒, [返回数据]:{"code":"000000","msg":"Success","traceId":"0d12cbafa40fedb6ee588fc9f04d0d23"}</f>
        <v/>
      </c>
      <c r="C524" t="inlineStr">
        <is>
          <t>INFO</t>
        </is>
      </c>
      <c r="D524" t="inlineStr">
        <is>
          <t>vdh</t>
        </is>
      </c>
      <c r="E524" t="inlineStr">
        <is>
          <t>pro14</t>
        </is>
      </c>
      <c r="F524" t="inlineStr">
        <is>
          <t>prod</t>
        </is>
      </c>
    </row>
    <row r="525">
      <c r="A525" t="inlineStr">
        <is>
          <t>2025-05-09 16:41:07.000</t>
        </is>
      </c>
      <c r="B525">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16,"minute":41,"second":1,"nano":0,"chronology":{"id":"ISO","calendarType":"iso8601"}},"response":560641}]]</f>
        <v/>
      </c>
      <c r="C525" t="inlineStr">
        <is>
          <t>INFO</t>
        </is>
      </c>
      <c r="D525" t="inlineStr">
        <is>
          <t>vdh</t>
        </is>
      </c>
      <c r="E525" t="inlineStr">
        <is>
          <t>pro14</t>
        </is>
      </c>
      <c r="F525" t="inlineStr">
        <is>
          <t>prod</t>
        </is>
      </c>
    </row>
    <row r="526">
      <c r="A526" t="inlineStr">
        <is>
          <t>2025-05-09 16:40:33.161</t>
        </is>
      </c>
      <c r="B526">
        <f>=请求结束== [请求耗时]:17毫秒, [返回数据]:{"code":"000000","msg":"Success","traceId":"913c5bf5f44002bec6626698935a19dc"}</f>
        <v/>
      </c>
      <c r="C526" t="inlineStr">
        <is>
          <t>INFO</t>
        </is>
      </c>
      <c r="D526" t="inlineStr">
        <is>
          <t>vdh</t>
        </is>
      </c>
      <c r="E526" t="inlineStr">
        <is>
          <t>pro17</t>
        </is>
      </c>
      <c r="F526" t="inlineStr">
        <is>
          <t>prod</t>
        </is>
      </c>
    </row>
    <row r="527">
      <c r="A527" t="inlineStr">
        <is>
          <t>2025-05-09 16:40:33.145</t>
        </is>
      </c>
      <c r="B527">
        <f>=请求开始== [请求IP]:119.32.28.2 ,[请求方式]:POST， [请求URL]:https://172.30.103.196:8080/api/appservice/bfv/v1/chatHistory/batchSave, [请求类名]:com.yingzi.appservice.bfv.provider.rest.ChatHistoryController,[请求方法名]:batchSave, [请求头参数]:{"host":"172.30.103.196:8080"}, [请求参数]:[[{"userId":1350158289398116352,"deviceId":"1C:99:57:15:E5:D7","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16,"minute":40,"second":27,"nano":0,"chronology":{"id":"ISO","calendarType":"iso8601"}},"response":1746780027995}]]</f>
        <v/>
      </c>
      <c r="C527" t="inlineStr">
        <is>
          <t>INFO</t>
        </is>
      </c>
      <c r="D527" t="inlineStr">
        <is>
          <t>vdh</t>
        </is>
      </c>
      <c r="E527" t="inlineStr">
        <is>
          <t>pro17</t>
        </is>
      </c>
      <c r="F527" t="inlineStr">
        <is>
          <t>prod</t>
        </is>
      </c>
    </row>
    <row r="528">
      <c r="A528" t="inlineStr">
        <is>
          <t>2025-05-09 16:33:27.798</t>
        </is>
      </c>
      <c r="B528">
        <f>=请求结束== [请求耗时]:13毫秒, [返回数据]:{"code":"000000","msg":"Success","traceId":"d1b43f2e72668cf32c2c488ac24bf97a"}</f>
        <v/>
      </c>
      <c r="C528" t="inlineStr">
        <is>
          <t>INFO</t>
        </is>
      </c>
      <c r="D528" t="inlineStr">
        <is>
          <t>vdh</t>
        </is>
      </c>
      <c r="E528" t="inlineStr">
        <is>
          <t>pro14</t>
        </is>
      </c>
      <c r="F528" t="inlineStr">
        <is>
          <t>prod</t>
        </is>
      </c>
    </row>
    <row r="529">
      <c r="A529" t="inlineStr">
        <is>
          <t>2025-05-09 16:33:27.785</t>
        </is>
      </c>
      <c r="B529">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recordId":"","asrResult":"搜索包子","instructionAsrFirstTime":{"year":2025,"monthValue":5,"month":"MAY","dayOfMonth":9,"dayOfYear":129,"dayOfWeek":"FRIDAY","hour":16,"minute":31,"second":39,"nano":0,"chronology":{"id":"ISO","calendarType":"iso8601"}},"knowledgeId":"","knowledgeMasterId":"","instructionType":"","instructionName":"","instructionFlag":"","parameter":"{}","ttsResultSource":"local","ttsResult":"网络开小差了,请稍后再试","ttsResultTime":{"year":2025,"monthValue":5,"month":"MAY","dayOfMonth":9,"dayOfYear":129,"dayOfWeek":"FRIDAY","hour":16,"minute":31,"second":50,"nano":0,"chronology":{"id":"ISO","calendarType":"iso8601"}},"response":9081}]]</f>
        <v/>
      </c>
      <c r="C529" t="inlineStr">
        <is>
          <t>INFO</t>
        </is>
      </c>
      <c r="D529" t="inlineStr">
        <is>
          <t>vdh</t>
        </is>
      </c>
      <c r="E529" t="inlineStr">
        <is>
          <t>pro14</t>
        </is>
      </c>
      <c r="F529" t="inlineStr">
        <is>
          <t>prod</t>
        </is>
      </c>
    </row>
    <row r="530">
      <c r="A530" t="inlineStr">
        <is>
          <t>2025-05-09 16:33:22.086</t>
        </is>
      </c>
      <c r="B530">
        <f>=请求结束== [请求耗时]:13毫秒, [返回数据]:{"code":"000000","msg":"Success","traceId":"c86a5874f8b3ac134cc0715fe164a6ee"}</f>
        <v/>
      </c>
      <c r="C530" t="inlineStr">
        <is>
          <t>INFO</t>
        </is>
      </c>
      <c r="D530" t="inlineStr">
        <is>
          <t>vdh</t>
        </is>
      </c>
      <c r="E530" t="inlineStr">
        <is>
          <t>pro14</t>
        </is>
      </c>
      <c r="F530" t="inlineStr">
        <is>
          <t>prod</t>
        </is>
      </c>
    </row>
    <row r="531">
      <c r="A531" t="inlineStr">
        <is>
          <t>2025-05-09 16:33:22.073</t>
        </is>
      </c>
      <c r="B531">
        <f>=请求开始== [请求IP]:223.73.153.241 ,[请求方式]:POST， [请求URL]:https://172.30.212.148:8080/api/appservice/bfv/v1/chatHistory/batchSave, [请求类名]:com.yingzi.appservice.bfv.provider.rest.ChatHistoryController,[请求方法名]:batchSave, [请求头参数]:{"host":"172.30.212.148:8080"}, [请求参数]:[[{"userId":908023058921988099,"deviceId":"84:5C:F3:27:DB:E8","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16,"minute":33,"second":16,"nano":0,"chronology":{"id":"ISO","calendarType":"iso8601"}},"response":1746779596905}]]</f>
        <v/>
      </c>
      <c r="C531" t="inlineStr">
        <is>
          <t>INFO</t>
        </is>
      </c>
      <c r="D531" t="inlineStr">
        <is>
          <t>vdh</t>
        </is>
      </c>
      <c r="E531" t="inlineStr">
        <is>
          <t>pro14</t>
        </is>
      </c>
      <c r="F531" t="inlineStr">
        <is>
          <t>prod</t>
        </is>
      </c>
    </row>
    <row r="532">
      <c r="A532" t="inlineStr">
        <is>
          <t>2025-05-09 16:31:46.933</t>
        </is>
      </c>
      <c r="B532">
        <f>=请求结束== [请求耗时]:5637毫秒</f>
        <v/>
      </c>
      <c r="C532" t="inlineStr">
        <is>
          <t>INFO</t>
        </is>
      </c>
      <c r="D532" t="inlineStr">
        <is>
          <t>vdh</t>
        </is>
      </c>
      <c r="E532" t="inlineStr">
        <is>
          <t>pro17</t>
        </is>
      </c>
      <c r="F532" t="inlineStr">
        <is>
          <t>prod</t>
        </is>
      </c>
    </row>
    <row r="533">
      <c r="A533" t="inlineStr">
        <is>
          <t>2025-05-09 16:31:46.932</t>
        </is>
      </c>
      <c r="B533" t="inlineStr">
        <is>
          <t>第2次流式调用完成，耗时：3482ms，response: Response { content = AiMessage { text = "你想了解包子的做法还是加热方式呢  如果是用微波炉加热包子  可以将包子放入微波炉专用容器  表面喷少许水  加热30秒到1分钟即可保持松软  如果想要更多信息请告诉我 具体需求哦" toolExecutionRequests = null }, tokenUsage = TokenUsage { inputTokenCount = 623, outputTokenCount = 102, totalTokenCount = 725 }, finishReason = STOP }</t>
        </is>
      </c>
      <c r="C533" t="inlineStr">
        <is>
          <t>INFO</t>
        </is>
      </c>
      <c r="D533" t="inlineStr">
        <is>
          <t>vdh</t>
        </is>
      </c>
      <c r="E533" t="inlineStr">
        <is>
          <t>pro17</t>
        </is>
      </c>
      <c r="F533" t="inlineStr">
        <is>
          <t>prod</t>
        </is>
      </c>
    </row>
    <row r="534">
      <c r="A534" t="inlineStr">
        <is>
          <t>2025-05-09 16:31:44.220</t>
        </is>
      </c>
      <c r="B534" t="inlineStr">
        <is>
          <t xml:space="preserve">第2次流式调用开始回复，耗时：770ms，第一个token: </t>
        </is>
      </c>
      <c r="C534" t="inlineStr">
        <is>
          <t>INFO</t>
        </is>
      </c>
      <c r="D534" t="inlineStr">
        <is>
          <t>vdh</t>
        </is>
      </c>
      <c r="E534" t="inlineStr">
        <is>
          <t>pro17</t>
        </is>
      </c>
      <c r="F534" t="inlineStr">
        <is>
          <t>prod</t>
        </is>
      </c>
    </row>
    <row r="535">
      <c r="A535" t="inlineStr">
        <is>
          <t>2025-05-09 16:31:43.450</t>
        </is>
      </c>
      <c r="B535" t="inlineStr">
        <is>
          <t>streaming provider=qwen, model: qwen-plus</t>
        </is>
      </c>
      <c r="C535" t="inlineStr">
        <is>
          <t>INFO</t>
        </is>
      </c>
      <c r="D535" t="inlineStr">
        <is>
          <t>vdh</t>
        </is>
      </c>
      <c r="E535" t="inlineStr">
        <is>
          <t>pro17</t>
        </is>
      </c>
      <c r="F535" t="inlineStr">
        <is>
          <t>prod</t>
        </is>
      </c>
    </row>
    <row r="536">
      <c r="A536" t="inlineStr">
        <is>
          <t>2025-05-09 16:31:43.448</t>
        </is>
      </c>
      <c r="B536" t="inlineStr">
        <is>
          <t>第1次流式调用完成，耗时：1632ms，response: Response { content = AiMessage { text = null toolExecutionRequests = [ToolExecutionRequest { id = "call_kISpKceHiFyNF1P3I20wEVoE", name = "search", arguments = "{"question":"包子"}" }] }, tokenUsage = TokenUsage { inputTokenCount = 5320, outputTokenCount = 11, totalTokenCount = 5331 }, finishReason = TOOL_EXECUTION }</t>
        </is>
      </c>
      <c r="C536" t="inlineStr">
        <is>
          <t>INFO</t>
        </is>
      </c>
      <c r="D536" t="inlineStr">
        <is>
          <t>vdh</t>
        </is>
      </c>
      <c r="E536" t="inlineStr">
        <is>
          <t>pro17</t>
        </is>
      </c>
      <c r="F536" t="inlineStr">
        <is>
          <t>prod</t>
        </is>
      </c>
    </row>
    <row r="537">
      <c r="A537" t="inlineStr">
        <is>
          <t>2025-05-09 16:31:41.816</t>
        </is>
      </c>
      <c r="B537" t="inlineStr">
        <is>
          <t>streaming provider=gpt, model: gpt-4o</t>
        </is>
      </c>
      <c r="C537" t="inlineStr">
        <is>
          <t>INFO</t>
        </is>
      </c>
      <c r="D537" t="inlineStr">
        <is>
          <t>vdh</t>
        </is>
      </c>
      <c r="E537" t="inlineStr">
        <is>
          <t>pro17</t>
        </is>
      </c>
      <c r="F537" t="inlineStr">
        <is>
          <t>prod</t>
        </is>
      </c>
    </row>
    <row r="538">
      <c r="A538" t="inlineStr">
        <is>
          <t>2025-05-09 16:31:41.808</t>
        </is>
      </c>
      <c r="B538">
        <f>=请求结束== [请求耗时]:498毫秒, [返回数据]:{"code":"000000","msg":"Success","data":[{"knowledgeId":"1326868148286373888","knowledgeContent":[{"score":0.7177802475,"content":"：2025年春节/过年/大年初一是1月29日，农历正月初一，星期三。","fileId":"1326944717968060416","chunkId":"paragraph-1"},{"score":0.710846925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0.70941986,"content":"：广州影子科技的股价是多少？广州影子科技有限公司没有上市，因此没有股价信息。","fileId":"1326944717968060416","chunkId":"paragraph-5"}]},{"knowledgeId":"1272948056214077440","knowledgeContent":[{"score":0.7353195299999999,"content":"问题：我想了姐一下影子科技。\\n回复：广州影子科技有限公司，成立于2018年6月，致力于成为农牧食品产业互联网平台企业，利用基因科学、区块链、人工智能等技术，为农牧食品产业各环节提供智能解决方案与服务，驱动“农场到餐桌”产业链智能化转型升级，实现“让食品健康、安全、美味、便利”的愿景。","fileId":"1303425377255075840","chunkId":"763","textGroup":"影子科技是"},{"score":0.733013905,"content":"问题：影子有什么产品。\\n回复：影子科技是一个农牧食品产业互联网平台企业，致力于为农牧食品产业各环节提供智能解决方案与服务，驱动“农场到餐桌”产业链智能化转型升级，实现“让食品健康、安全、美味、便利”的愿景。","fileId":"1303425377255075840","chunkId":"667","textGroup":"公司是做什么的"},{"score":0.7328342575,"content":"问题：从哪里可以了姐到你们的产品信息。\\n回复：您可以通过关注我们的微信公众号、抖音“万得厨的厨”，了解更多关于烹饪技巧和美食分享的内容。","fileId":"1303425377255075840","chunkId":"696","textGroup":"可以从哪了解你们"},{"score":0.7327830449999999,"content":"问题：我想了姐一下新谊宾的背景。\\n回复：新谊宾是贵港新谊宾大酒店旗下的的食品品牌。新谊宾大酒店通过将传统烘培技术与智能AI相结合，联合新食记研发出适配万得厨的美味烘培产品。目前，新谊宾的面包和糕点在平台商城上备受欢迎。","fileId":"1303425377255075840","chunkId":"425","textGroup":"介绍一下新谊宾"},{"score":0.7321819249999999,"content":"问题：我想了姐一下扬翔。\\n回复：广西扬翔股份有限公司是一家从农场到餐桌的智能技术服务企业，聚焦产业互联网支撑的猪业料、养、宰、商一体全产业链，致力于为公众提供实在、便利、健康、安全的美食体验。","fileId":"1303425377255075840","chunkId":"353","textGroup":"介绍一下扬翔"}]},{"knowledgeId":"1272947938412855296","knowledgeContent":[{"score":0.7335599025,"content":"哪些食谱浏览量比较多","fileId":"1275470180282040320","chunkId":"135","textGroup":"SELECT id, title FROM recipe_knowledge_nutrition ORDER BY reading_num DESC LIMIT 5;"},{"score":0.7271037699999999,"content":"所有食谱的总浏览量是多少","fileId":"1275470180282040320","chunkId":"140","textGroup":"SELECT SUM(reading_num) AS total_reading_num FROM recipe_knowledge_nutrition;"},{"score":0.7252515775,"content":"帮我查找最新的3道菜","fileId":"1275470180282040320","chunkId":"154","textGroup":"SELECT id, title FROM recipe_knowledge_nutrition WHERE publisher_time is not null ORDER BY publisher_time DESC LIMIT 3;"},{"score":0.72317269,"content":"有没有点赞数超过10的菜","fileId":"1275470180282040320","chunkId":"122","textGroup":"SELECT id, title FROM recipe_knowledge_nutrition WHERE fabulous_num &gt; 10 LIMIT 5;"},{"score":0.722749305,"content":"我想找带鱼的食谱","fileId":"1275470180282040320","chunkId":"2","textGroup":"SELECT id, title FROM recipe_knowledge_nutrition WHERE title LIKE '%带鱼%' OR materials_list LIKE '%带鱼%' ORDER BY random() LIMIT 5;"},{"score":0.722659035,"content":"食材香煎带鱼","fileId":"1275470180282040320","chunkId":"83","textGroup":"SELECT materials_list FROM recipe_knowledge_nutrition WHERE title LIKE '%香煎带鱼%' LIMIT 5;"},{"score":0.7225207825000001,"content":"我有红薯和山药，看能做什么蛋糕？适合下午茶的那种","fileId":"1275470180282040320","chunkId":"119","textGroup":"SELECT id, title FROM recipe_knowledge_nutrition WHERE materials_list LIKE '%红薯%' AND materials_list LIKE '%山药%' AND classify_scene LIKE '%下午茶%' ORDER BY random() LIMIT 5;"},{"score":0.7224021225,"content":"大家喜欢分享哪个食谱","fileId":"1275470180282040320","chunkId":"137","textGroup":"SELECT id, title FROM recipe_knowledge_nutrition ORDER BY forward_num DESC LIMIT 1;"}]},{"knowledgeId":"1329399948694220800","knowledgeContent":[{"score":0.738445745,"content":"搜索[菜品名称]的烹饪方案","fileId":"1347217269055369216","chunkId":"30","textGroup":"set_foodtype_taste"},{"score":0.732378615,"content":"查询新闻","fileId":"1329400169758941184","chunkId":"57","textGroup":"news {type=top,size=3}"},{"score":0.7302128149999999,"content":"接着微博","fileId":"1347217269055369216","chunkId":"218","textGroup"</f>
        <v/>
      </c>
      <c r="C538" t="inlineStr">
        <is>
          <t>INFO</t>
        </is>
      </c>
      <c r="D538" t="inlineStr">
        <is>
          <t>vdh</t>
        </is>
      </c>
      <c r="E538" t="inlineStr">
        <is>
          <t>pro17</t>
        </is>
      </c>
      <c r="F538" t="inlineStr">
        <is>
          <t>prod</t>
        </is>
      </c>
    </row>
    <row r="539">
      <c r="A539" t="inlineStr">
        <is>
          <t>2025-05-09 16:31:41.807</t>
        </is>
      </c>
      <c r="B539" t="inlineStr">
        <is>
          <t>知识库插件检索耗时: 496ms</t>
        </is>
      </c>
      <c r="C539" t="inlineStr">
        <is>
          <t>INFO</t>
        </is>
      </c>
      <c r="D539" t="inlineStr">
        <is>
          <t>vdh</t>
        </is>
      </c>
      <c r="E539" t="inlineStr">
        <is>
          <t>pro17</t>
        </is>
      </c>
      <c r="F539" t="inlineStr">
        <is>
          <t>prod</t>
        </is>
      </c>
    </row>
    <row r="540">
      <c r="A540" t="inlineStr">
        <is>
          <t>2025-05-09 16:31:41.310</t>
        </is>
      </c>
      <c r="B540">
        <f>=请求开始== [请求IP]:172.18.33.17 ,[请求方式]:POST， [请求URL]:https://172.30.103.196:8080/api/appservice/bfv/v1/knowledge/retrieval/plugin, [请求类名]:com.yingzi.appservice.bfv.provider.rest.KnowledgeRetrievalController,[请求方法名]:plugin, [请求头参数]:{"host":"172.30.103.196:8080"}, [请求参数]:[{"query":"搜索包子","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540" t="inlineStr">
        <is>
          <t>INFO</t>
        </is>
      </c>
      <c r="D540" t="inlineStr">
        <is>
          <t>vdh</t>
        </is>
      </c>
      <c r="E540" t="inlineStr">
        <is>
          <t>pro17</t>
        </is>
      </c>
      <c r="F540" t="inlineStr">
        <is>
          <t>prod</t>
        </is>
      </c>
    </row>
    <row r="541">
      <c r="A541" t="inlineStr">
        <is>
          <t>2025-05-09 16:31:41.296</t>
        </is>
      </c>
      <c r="B541">
        <f>=请求开始== [请求IP]:172.18.114.98 ,[请求方式]:POST， [请求URL]:https://172.30.103.196:8080/api/appservice/bfv/v1/chat/, [请求类名]:com.yingzi.appservice.bfv.provider.rest.ChatV1Controller,[请求方法名]:chat, [请求头参数]:{"host":"172.30.103.196:8080"}, [请求参数]:[{"stream":true,"message":"搜索包子","args":"{\"adcode\":\"440100\",\"channel_id\":\"9\"}"}]</f>
        <v/>
      </c>
      <c r="C541" t="inlineStr">
        <is>
          <t>INFO</t>
        </is>
      </c>
      <c r="D541" t="inlineStr">
        <is>
          <t>vdh</t>
        </is>
      </c>
      <c r="E541" t="inlineStr">
        <is>
          <t>pro17</t>
        </is>
      </c>
      <c r="F541" t="inlineStr">
        <is>
          <t>prod</t>
        </is>
      </c>
    </row>
    <row r="542">
      <c r="A542" t="inlineStr">
        <is>
          <t>2025-05-09 16:31:38.490</t>
        </is>
      </c>
      <c r="B542">
        <f>=请求结束== [请求耗时]:13毫秒, [返回数据]:{"code":"000000","msg":"Success","traceId":"53e8f9e8c85b484871c97a4275b3c28b"}</f>
        <v/>
      </c>
      <c r="C542" t="inlineStr">
        <is>
          <t>INFO</t>
        </is>
      </c>
      <c r="D542" t="inlineStr">
        <is>
          <t>vdh</t>
        </is>
      </c>
      <c r="E542" t="inlineStr">
        <is>
          <t>pro14</t>
        </is>
      </c>
      <c r="F542" t="inlineStr">
        <is>
          <t>prod</t>
        </is>
      </c>
    </row>
    <row r="543">
      <c r="A543" t="inlineStr">
        <is>
          <t>2025-05-09 16:31:38.477</t>
        </is>
      </c>
      <c r="B543">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Chat_library","recordId":"","asrResult":"包子","instructionAsrFirstTime":{"year":2025,"monthValue":5,"month":"MAY","dayOfMonth":9,"dayOfYear":129,"dayOfWeek":"FRIDAY","hour":16,"minute":31,"second":20,"nano":0,"chronology":{"id":"ISO","calendarType":"iso8601"}},"knowledgeId":"","knowledgeMasterId":"","instructionType":"","instructionName":"","instructionFlag":"","parameter":"{\"nlpId\":\"17300825629321642727spln\",\"service\":\"Chat_library\"}","ttsResultSource":"FTT","ttsResult":"请问您是想了解包子的什么信息呢?是否需要查询关于包子的食谱、制作步骤或其他相关信息?可以告诉我您的具体需求。","ttsResultTime":{"year":2025,"monthValue":5,"month":"MAY","dayOfMonth":9,"dayOfYear":129,"dayOfWeek":"FRIDAY","hour":16,"minute":31,"second":27,"nano":0,"chronology":{"id":"ISO","calendarType":"iso8601"}},"response":6692}]]</f>
        <v/>
      </c>
      <c r="C543" t="inlineStr">
        <is>
          <t>INFO</t>
        </is>
      </c>
      <c r="D543" t="inlineStr">
        <is>
          <t>vdh</t>
        </is>
      </c>
      <c r="E543" t="inlineStr">
        <is>
          <t>pro14</t>
        </is>
      </c>
      <c r="F543" t="inlineStr">
        <is>
          <t>prod</t>
        </is>
      </c>
    </row>
    <row r="544">
      <c r="A544" t="inlineStr">
        <is>
          <t>2025-05-09 16:31:35.164</t>
        </is>
      </c>
      <c r="B544">
        <f>=请求结束== [请求耗时]:13毫秒, [返回数据]:{"code":"000000","msg":"Success","traceId":"f347cdac368045c073c17a91c978eff8"}</f>
        <v/>
      </c>
      <c r="C544" t="inlineStr">
        <is>
          <t>INFO</t>
        </is>
      </c>
      <c r="D544" t="inlineStr">
        <is>
          <t>vdh</t>
        </is>
      </c>
      <c r="E544" t="inlineStr">
        <is>
          <t>pro14</t>
        </is>
      </c>
      <c r="F544" t="inlineStr">
        <is>
          <t>prod</t>
        </is>
      </c>
    </row>
    <row r="545">
      <c r="A545" t="inlineStr">
        <is>
          <t>2025-05-09 16:31:35.152</t>
        </is>
      </c>
      <c r="B545">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84:5C:F3:27:DE:40","sessionId":"","avatarId":"11200220000208050000000000000000","appCode":"VDHtestWDC","instructionTemplateType":"","recordId":"","asrResult":"想着你的花","instructionAsrFirstTime":{"year":2025,"monthValue":5,"month":"MAY","dayOfMonth":9,"dayOfYear":129,"dayOfWeek":"FRIDAY","hour":16,"minute":5,"second":48,"nano":0,"chronology":{"id":"ISO","calendarType":"iso8601"}},"knowledgeId":"","knowledgeMasterId":"","instructionType":"","instructionName":"","instructionFlag":"","parameter":"{}","ttsResultSource":"local","ttsResult":"开始烹饪,请耐心等待","ttsResultTime":{"year":2025,"monthValue":5,"month":"MAY","dayOfMonth":9,"dayOfYear":129,"dayOfWeek":"FRIDAY","hour":16,"minute":31,"second":29,"nano":0,"chronology":{"id":"ISO","calendarType":"iso8601"}},"response":1540398}]]</f>
        <v/>
      </c>
      <c r="C545" t="inlineStr">
        <is>
          <t>INFO</t>
        </is>
      </c>
      <c r="D545" t="inlineStr">
        <is>
          <t>vdh</t>
        </is>
      </c>
      <c r="E545" t="inlineStr">
        <is>
          <t>pro14</t>
        </is>
      </c>
      <c r="F545" t="inlineStr">
        <is>
          <t>prod</t>
        </is>
      </c>
    </row>
    <row r="546">
      <c r="A546" t="inlineStr">
        <is>
          <t>2025-05-09 16:31:25.468</t>
        </is>
      </c>
      <c r="B546">
        <f>=请求结束== [请求耗时]:2555毫秒</f>
        <v/>
      </c>
      <c r="C546" t="inlineStr">
        <is>
          <t>INFO</t>
        </is>
      </c>
      <c r="D546" t="inlineStr">
        <is>
          <t>vdh</t>
        </is>
      </c>
      <c r="E546" t="inlineStr">
        <is>
          <t>pro17</t>
        </is>
      </c>
      <c r="F546" t="inlineStr">
        <is>
          <t>prod</t>
        </is>
      </c>
    </row>
    <row r="547">
      <c r="A547" t="inlineStr">
        <is>
          <t>2025-05-09 16:31:25.467</t>
        </is>
      </c>
      <c r="B547" t="inlineStr">
        <is>
          <t>第1次流式调用完成，耗时：2056ms，response: Response { content = AiMessage { text = "请问您是想了解包子的什么信息呢？是否需要查询关于包子的食谱、制作步骤或其他相关信息？可以告诉我您的具体需求。" toolExecutionRequests = null }, tokenUsage = TokenUsage { inputTokenCount = 5663, outputTokenCount = 54, totalTokenCount = 5717 }, finishReason = STOP }</t>
        </is>
      </c>
      <c r="C547" t="inlineStr">
        <is>
          <t>INFO</t>
        </is>
      </c>
      <c r="D547" t="inlineStr">
        <is>
          <t>vdh</t>
        </is>
      </c>
      <c r="E547" t="inlineStr">
        <is>
          <t>pro17</t>
        </is>
      </c>
      <c r="F547" t="inlineStr">
        <is>
          <t>prod</t>
        </is>
      </c>
    </row>
    <row r="548">
      <c r="A548" t="inlineStr">
        <is>
          <t>2025-05-09 16:31:24.871</t>
        </is>
      </c>
      <c r="B548" t="inlineStr">
        <is>
          <t xml:space="preserve">第1次流式调用开始回复，耗时：1460ms，第一个token: </t>
        </is>
      </c>
      <c r="C548" t="inlineStr">
        <is>
          <t>INFO</t>
        </is>
      </c>
      <c r="D548" t="inlineStr">
        <is>
          <t>vdh</t>
        </is>
      </c>
      <c r="E548" t="inlineStr">
        <is>
          <t>pro17</t>
        </is>
      </c>
      <c r="F548" t="inlineStr">
        <is>
          <t>prod</t>
        </is>
      </c>
    </row>
    <row r="549">
      <c r="A549" t="inlineStr">
        <is>
          <t>2025-05-09 16:31:23.411</t>
        </is>
      </c>
      <c r="B549" t="inlineStr">
        <is>
          <t>streaming provider=gpt, model: gpt-4o</t>
        </is>
      </c>
      <c r="C549" t="inlineStr">
        <is>
          <t>INFO</t>
        </is>
      </c>
      <c r="D549" t="inlineStr">
        <is>
          <t>vdh</t>
        </is>
      </c>
      <c r="E549" t="inlineStr">
        <is>
          <t>pro17</t>
        </is>
      </c>
      <c r="F549" t="inlineStr">
        <is>
          <t>prod</t>
        </is>
      </c>
    </row>
    <row r="550">
      <c r="A550" t="inlineStr">
        <is>
          <t>2025-05-09 16:31:23.404</t>
        </is>
      </c>
      <c r="B550">
        <f>=请求结束== [请求耗时]:481毫秒, [返回数据]:{"code":"000000","msg":"Success","data":[{"knowledgeId":"1326868148286373888","knowledgeContent":[{"score":0.7150865974999999,"content":"：2025年春节/过年/大年初一是1月29日，农历正月初一，星期三。","fileId":"1326944717968060416","chunkId":"paragraph-1"},{"score":0.71121115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冬至：•新历：12月21日•农历：十一月初二•星期日","fileId":"1326944717968060416","chunkId":"paragraph-4"},{"score":0.7110907049999999,"content":"：2025年元宵节是2月12日，农历正月十五，星期三。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1272947938412855296","knowledgeContent":[{"score":0.7320172374999999,"content":"食材香煎带鱼","fileId":"1275470180282040320","chunkId":"83","textGroup":"SELECT materials_list FROM recipe_knowledge_nutrition WHERE title LIKE '%香煎带鱼%' LIMIT 5;"},{"score":0.7304994349999999,"content":"有哪些适合小孩吃的咸口的菜","fileId":"1275470180282040320","chunkId":"165","textGroup":"SELECT id, title FROM recipe_knowledge_nutrition WHERE classify_crowd LIKE '%儿童%' AND classify_taste LIKE '%咸%' ORDER BY random() LIMIT 5;"},{"score":0.7302819625,"content":"晚餐适合吃什么主食","fileId":"1275470180282040320","chunkId":"134","textGroup":"SELECT id, title FROM recipe_knowledge_nutrition WHERE classify_scene LIKE '%晚餐%' AND classify_ingredient LIKE '%主食%' ORDER BY random() LIMIT 5;"},{"score":0.7261011949999999,"content":"带鱼可以做哪些菜","fileId":"1275470180282040320","chunkId":"4","textGroup":"SELECT id, title FROM recipe_knowledge_nutrition WHERE title LIKE '%带鱼%' OR materials_list LIKE '%带鱼%' ORDER BY random() LIMIT 5;"},{"score":0.726070255,"content":"红烧带鱼这个食谱，鱼背已经开好刀了，然后该干什么","fileId":"1275470180282040320","chunkId":"99","textGroup":"SELECT step_contents_list FROM recipe_knowledge_nutrition WHERE title LIKE '%红烧带鱼%' LIMIT 5;"},{"score":0.7247754925000001,"content":"我有红薯和山药，看能做什么蛋糕？适合下午茶的那种","fileId":"1275470180282040320","chunkId":"119","textGroup":"SELECT id, title FROM recipe_knowledge_nutrition WHERE materials_list LIKE '%红薯%' AND materials_list LIKE '%山药%' AND classify_scene LIKE '%下午茶%' ORDER BY random() LIMIT 5;"},{"score":0.7244130525,"content":"有没有点赞数超过10的菜","fileId":"1275470180282040320","chunkId":"122","textGroup":"SELECT id, title FROM recipe_knowledge_nutrition WHERE fabulous_num &gt; 10 LIMIT 5;"}]},{"knowledgeId":"1329399948694220800","knowledgeContent":[{"score":0.7367393275,"content":"炉子里面放的是[菜品名称]","fileId":"1347217269055369216","chunkId":"32","textGroup":"set_foodtype_taste"},{"score":0.7327045475,"content":"烹调暂停","fileId":"1347217269055369216","chunkId":"166","textGroup":"cooking_control {type=pause}"},{"score":0.7295956725,"content":"烹调结束","fileId":"1347217269055369216","chunkId":"283","textGroup":"cooking_control {type=stop}"},{"score":0.7245381725,"content":"开始烹调","fileId":"1347217269055369216","chunkId":"52","textGroup":"cooking_control {type=start}"}]},{"knowledgeId":"1272948056214077440","knowledgeContent":[{"score":0.7319346175,"content":"问题：做面包需要用到什么烤盘。\\n回复：可微波的碗都可以哦，比如透明的玻璃、陶瓷、耐热塑料等安全的微波炉碗材质","fileId":"1303425377255075840","chunkId":"941","textGroup":"万得厨可以放入什么材质的碗"},{"score":0.729266085,"content":"问题：我想了姐一下新谊宾。\\n回复：新谊宾是贵港新谊宾大酒店旗下的的食品品牌。新谊宾大酒店通过将传统烘培技术与智能AI相结合，联合新食记研发出适配万得厨的美味烘培产品。目前，新谊宾的面包和糕点在平台商城上备受欢迎。","fileId":"1303425377255075840","chunkId":"424","textGroup":"介绍一下新谊宾"},{"score":0.7288420624999999,"content":"问题：我好饿。\\n回复：你想吃点什么呢？小万随时为您效劳","fileId":"1303425377255075840","chunkId":"2762","textGroup":"我好饿"},{"score":0.728646265,"content":"问题：你们是否与心宜宾有交涉。\\n回复：新谊宾是与万得厨进行食品研发合作的可靠伙伴。新谊宾的面包烘培产品上线万得厨平台，为用户提供多样的食品选择。","fileId":"1303425377255075840","chunkId":"153","textGroup":"万得厨跟新谊宾是否有关系"},{"score":0.7282093224999999,"content":"问题：影子的愿景是什么。\\n回复：让食品高效、健康、安全、</f>
        <v/>
      </c>
      <c r="C550" t="inlineStr">
        <is>
          <t>INFO</t>
        </is>
      </c>
      <c r="D550" t="inlineStr">
        <is>
          <t>vdh</t>
        </is>
      </c>
      <c r="E550" t="inlineStr">
        <is>
          <t>pro17</t>
        </is>
      </c>
      <c r="F550" t="inlineStr">
        <is>
          <t>prod</t>
        </is>
      </c>
    </row>
    <row r="551">
      <c r="A551" t="inlineStr">
        <is>
          <t>2025-05-09 16:31:23.403</t>
        </is>
      </c>
      <c r="B551" t="inlineStr">
        <is>
          <t>知识库插件检索耗时: 479ms</t>
        </is>
      </c>
      <c r="C551" t="inlineStr">
        <is>
          <t>INFO</t>
        </is>
      </c>
      <c r="D551" t="inlineStr">
        <is>
          <t>vdh</t>
        </is>
      </c>
      <c r="E551" t="inlineStr">
        <is>
          <t>pro17</t>
        </is>
      </c>
      <c r="F551" t="inlineStr">
        <is>
          <t>prod</t>
        </is>
      </c>
    </row>
    <row r="552">
      <c r="A552" t="inlineStr">
        <is>
          <t>2025-05-09 16:31:22.923</t>
        </is>
      </c>
      <c r="B552">
        <f>=请求开始== [请求IP]:172.18.33.17 ,[请求方式]:POST， [请求URL]:https://172.30.103.196:8080/api/appservice/bfv/v1/knowledge/retrieval/plugin, [请求类名]:com.yingzi.appservice.bfv.provider.rest.KnowledgeRetrievalController,[请求方法名]:plugin, [请求头参数]:{"host":"172.30.103.196:8080"}, [请求参数]:[{"query":"包子","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552" t="inlineStr">
        <is>
          <t>INFO</t>
        </is>
      </c>
      <c r="D552" t="inlineStr">
        <is>
          <t>vdh</t>
        </is>
      </c>
      <c r="E552" t="inlineStr">
        <is>
          <t>pro17</t>
        </is>
      </c>
      <c r="F552" t="inlineStr">
        <is>
          <t>prod</t>
        </is>
      </c>
    </row>
    <row r="553">
      <c r="A553" t="inlineStr">
        <is>
          <t>2025-05-09 16:31:22.913</t>
        </is>
      </c>
      <c r="B553">
        <f>=请求开始== [请求IP]:172.18.114.116 ,[请求方式]:POST， [请求URL]:https://172.30.103.196:8080/api/appservice/bfv/v1/chat/, [请求类名]:com.yingzi.appservice.bfv.provider.rest.ChatV1Controller,[请求方法名]:chat, [请求头参数]:{"host":"172.30.103.196:8080"}, [请求参数]:[{"stream":true,"message":"包子","args":"{\"adcode\":\"440100\",\"channel_id\":\"9\"}"}]</f>
        <v/>
      </c>
      <c r="C553" t="inlineStr">
        <is>
          <t>INFO</t>
        </is>
      </c>
      <c r="D553" t="inlineStr">
        <is>
          <t>vdh</t>
        </is>
      </c>
      <c r="E553" t="inlineStr">
        <is>
          <t>pro17</t>
        </is>
      </c>
      <c r="F553" t="inlineStr">
        <is>
          <t>prod</t>
        </is>
      </c>
    </row>
    <row r="554">
      <c r="A554" t="inlineStr">
        <is>
          <t>2025-05-09 16:31:18.535</t>
        </is>
      </c>
      <c r="B554">
        <f>=请求结束== [请求耗时]:18毫秒, [返回数据]:{"code":"000000","msg":"Success","traceId":"3af506f2899810ac6e0764503a017388"}</f>
        <v/>
      </c>
      <c r="C554" t="inlineStr">
        <is>
          <t>INFO</t>
        </is>
      </c>
      <c r="D554" t="inlineStr">
        <is>
          <t>vdh</t>
        </is>
      </c>
      <c r="E554" t="inlineStr">
        <is>
          <t>pro14</t>
        </is>
      </c>
      <c r="F554" t="inlineStr">
        <is>
          <t>prod</t>
        </is>
      </c>
    </row>
    <row r="555">
      <c r="A555" t="inlineStr">
        <is>
          <t>2025-05-09 16:31:18.517</t>
        </is>
      </c>
      <c r="B555">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Chat_library","recordId":"","asrResult":"这是包子","instructionAsrFirstTime":{"year":2025,"monthValue":5,"month":"MAY","dayOfMonth":9,"dayOfYear":129,"dayOfWeek":"FRIDAY","hour":16,"minute":31,"second":1,"nano":0,"chronology":{"id":"ISO","calendarType":"iso8601"}},"knowledgeId":"","knowledgeMasterId":"","instructionType":"","instructionName":"","instructionFlag":"","parameter":"{\"nlpId\":\"17300825629321642727spln\",\"service\":\"Chat_library\"}","ttsResultSource":"FTT","ttsResult":"包子是一种常见的中式面点,由面皮包裹着各种馅料,经过蒸制而成,口感松软。常见的馅料包括肉类、","ttsResultTime":{"year":2025,"monthValue":5,"month":"MAY","dayOfMonth":9,"dayOfYear":129,"dayOfWeek":"FRIDAY","hour":16,"minute":31,"second":9,"nano":0,"chronology":{"id":"ISO","calendarType":"iso8601"}},"response":6027}]]</f>
        <v/>
      </c>
      <c r="C555" t="inlineStr">
        <is>
          <t>INFO</t>
        </is>
      </c>
      <c r="D555" t="inlineStr">
        <is>
          <t>vdh</t>
        </is>
      </c>
      <c r="E555" t="inlineStr">
        <is>
          <t>pro14</t>
        </is>
      </c>
      <c r="F555" t="inlineStr">
        <is>
          <t>prod</t>
        </is>
      </c>
    </row>
    <row r="556">
      <c r="A556" t="inlineStr">
        <is>
          <t>2025-05-09 16:31:09.456</t>
        </is>
      </c>
      <c r="B556">
        <f>=请求结束== [请求耗时]:5901毫秒</f>
        <v/>
      </c>
      <c r="C556" t="inlineStr">
        <is>
          <t>INFO</t>
        </is>
      </c>
      <c r="D556" t="inlineStr">
        <is>
          <t>vdh</t>
        </is>
      </c>
      <c r="E556" t="inlineStr">
        <is>
          <t>pro17</t>
        </is>
      </c>
      <c r="F556" t="inlineStr">
        <is>
          <t>prod</t>
        </is>
      </c>
    </row>
    <row r="557">
      <c r="A557" t="inlineStr">
        <is>
          <t>2025-05-09 16:31:09.455</t>
        </is>
      </c>
      <c r="B557" t="inlineStr">
        <is>
          <t>第1次流式调用完成，耗时：5291ms，response: Response { content = AiMessage { text = "包子是一种常见的中式面点，由面皮包裹着各种馅料，经过蒸制而成，口感松软。常见的馅料包括肉类、蔬菜、豆沙等，适合早餐、午餐或作为小吃。你需要了解包子的具体做法或相关营养信息吗？我可以为你提供更多信息。" toolExecutionRequests = null }, tokenUsage = TokenUsage { inputTokenCount = 5370, outputTokenCount = 121, totalTokenCount = 5491 }, finishReason = STOP }</t>
        </is>
      </c>
      <c r="C557" t="inlineStr">
        <is>
          <t>INFO</t>
        </is>
      </c>
      <c r="D557" t="inlineStr">
        <is>
          <t>vdh</t>
        </is>
      </c>
      <c r="E557" t="inlineStr">
        <is>
          <t>pro17</t>
        </is>
      </c>
      <c r="F557" t="inlineStr">
        <is>
          <t>prod</t>
        </is>
      </c>
    </row>
    <row r="558">
      <c r="A558" t="inlineStr">
        <is>
          <t>2025-05-09 16:31:07.313</t>
        </is>
      </c>
      <c r="B558" t="inlineStr">
        <is>
          <t xml:space="preserve">第1次流式调用开始回复，耗时：3149ms，第一个token: </t>
        </is>
      </c>
      <c r="C558" t="inlineStr">
        <is>
          <t>INFO</t>
        </is>
      </c>
      <c r="D558" t="inlineStr">
        <is>
          <t>vdh</t>
        </is>
      </c>
      <c r="E558" t="inlineStr">
        <is>
          <t>pro17</t>
        </is>
      </c>
      <c r="F558" t="inlineStr">
        <is>
          <t>prod</t>
        </is>
      </c>
    </row>
    <row r="559">
      <c r="A559" t="inlineStr">
        <is>
          <t>2025-05-09 16:31:04.164</t>
        </is>
      </c>
      <c r="B559" t="inlineStr">
        <is>
          <t>streaming provider=gpt, model: gpt-4o</t>
        </is>
      </c>
      <c r="C559" t="inlineStr">
        <is>
          <t>INFO</t>
        </is>
      </c>
      <c r="D559" t="inlineStr">
        <is>
          <t>vdh</t>
        </is>
      </c>
      <c r="E559" t="inlineStr">
        <is>
          <t>pro17</t>
        </is>
      </c>
      <c r="F559" t="inlineStr">
        <is>
          <t>prod</t>
        </is>
      </c>
    </row>
    <row r="560">
      <c r="A560" t="inlineStr">
        <is>
          <t>2025-05-09 16:31:04.156</t>
        </is>
      </c>
      <c r="B560">
        <f>=请求结束== [请求耗时]:579毫秒, [返回数据]:{"code":"000000","msg":"Success","data":[{"knowledgeId":"1326868148286373888","knowledgeContent":[{"score":0.715934855,"content":"：2025年春节/过年/大年初一是1月29日，农历正月初一，星期三。","fileId":"1326944717968060416","chunkId":"paragraph-1"},{"score":0.7094690749999999,"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score":0.7092346875000001,"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knowledgeId":"1272948056214077440","knowledgeContent":[{"score":0.73159789,"content":"问题：介绍一下影子。\\n回复：广州影子科技有限公司，成立于2018年6月，致力于成为农牧食品产业互联网平台企业，利用基因科学、区块链、人工智能等技术，为农牧食品产业各环节提供智能解决方案与服务，驱动“农场到餐桌”产业链智能化转型升级，实现“让食品健康、安全、美味、便利”的愿景。","fileId":"1303425377255075840","chunkId":"756","textGroup":"影子科技是"},{"score":0.7310464525,"content":"问题：我想了姐一下新谊宾的背景。\\n回复：新谊宾是贵港新谊宾大酒店旗下的的食品品牌。新谊宾大酒店通过将传统烘培技术与智能AI相结合，联合新食记研发出适配万得厨的美味烘培产品。目前，新谊宾的面包和糕点在平台商城上备受欢迎。","fileId":"1303425377255075840","chunkId":"425","textGroup":"介绍一下新谊宾"},{"score":0.729945575,"content":"问题：做面包需要用到什么烤盘。\\n回复：可微波的碗都可以哦，比如透明的玻璃、陶瓷、耐热塑料等安全的微波炉碗材质","fileId":"1303425377255075840","chunkId":"941","textGroup":"万得厨可以放入什么材质的碗"},{"score":0.7285922475,"content":"问题：万能除有微信公众号吗。\\n回复：万得厨微信官方公众号为“万得厨的厨”，不定时为您推送最全使用指南及最美味的食品食谱，期待您的关注！","fileId":"1303425377255075840","chunkId":"530","textGroup":"你有公众号吗"},{"score":0.7282760475,"content":"问题：我好饿。\\n回复：你想吃点什么呢？小万随时为您效劳","fileId":"1303425377255075840","chunkId":"2762","textGroup":"我好饿"},{"score":0.7282506325,"content":"问题：元宵节放假吗。\\n回复：元宵节不放假。","fileId":"1326953484684320768","chunkId":"6","textGroup":"元宵节放假"},{"score":0.7273620424999999,"content":"问题：影子的愿景是什么。\\n回复：让食品高效、健康、安全、美味。","fileId":"1303425377255075840","chunkId":"679","textGroup":"公司的愿景是什么"},{"score":0.72619784,"content":"问题：影子的使命是什么。\\n回复：用硬件实现从农场到餐桌的产业互联网智能连接。","fileId":"1303425377255075840","chunkId":"619","textGroup":"公司使命是什么"},{"score":0.72581024,"content":"问题：影子科技是做什么的。\\n回复：影子科技是一个农牧食品产业互联网平台企业，致力于为农牧食品产业各环节提供智能解决方案与服务，驱动“农场到餐桌”产业链智能化转型升级，实现“让食品健康、安全、美味、便利”的愿景。","fileId":"1303425377255075840","chunkId":"671","textGroup":"公司是做什么的"}]},{"knowledgeId":"1272947938412855296","knowledgeContent":[{"score":0.73379123,"content":"有哪些适合小孩吃的咸口的菜","fileId":"1275470180282040320","chunkId":"165","textGroup":"SELECT id, title FROM recipe_knowledge_nutrition WHERE classify_crowd LIKE '%儿童%' AND classify_taste LIKE '%咸%' ORDER BY random() LIMIT 5;"},{"score":0.733124915,"content":"食材香煎带鱼","fileId":"1275470180282040320","chunkId":"83","textGroup":"SELECT materials_list FROM recipe_knowledge_nutrition WHERE title LIKE '%香煎带鱼%' LIMIT 5;"},{"score":0.7275664675,"content":"有没有点赞数超过10的菜","fileId":"1275470180282040320","chunkId":"122","textGroup":"SELECT id, title FROM recipe_knowledge_nutrition WHERE fabulous_num &gt; 10 LIMIT 5;"}]},{"knowledgeId":"1329399948694220800","knowledgeContent":[{"score":0.8495057579999999,"content":"这是[菜品名称]","fileId":"1347217269055369216","chunkId":"45","textGroup":"set_foodtype_taste"},{"score":0.7347592949999999,"content":"今天天气是怎样的","fileId":"1329400169758941184","chunkId":"12","textGroup":"getCurrentWeather"},{"score":0.727580535,"content":"请结束烹调过程","fileId":"1347217269055369216","chunkId":"324","textGroup":"cooking_control {type=stop}"}]}]}</f>
        <v/>
      </c>
      <c r="C560" t="inlineStr">
        <is>
          <t>INFO</t>
        </is>
      </c>
      <c r="D560" t="inlineStr">
        <is>
          <t>vdh</t>
        </is>
      </c>
      <c r="E560" t="inlineStr">
        <is>
          <t>pro14</t>
        </is>
      </c>
      <c r="F560" t="inlineStr">
        <is>
          <t>prod</t>
        </is>
      </c>
    </row>
    <row r="561">
      <c r="A561" t="inlineStr">
        <is>
          <t>2025-05-09 16:31:04.155</t>
        </is>
      </c>
      <c r="B561" t="inlineStr">
        <is>
          <t>知识库插件检索耗时: 576ms</t>
        </is>
      </c>
      <c r="C561" t="inlineStr">
        <is>
          <t>INFO</t>
        </is>
      </c>
      <c r="D561" t="inlineStr">
        <is>
          <t>vdh</t>
        </is>
      </c>
      <c r="E561" t="inlineStr">
        <is>
          <t>pro14</t>
        </is>
      </c>
      <c r="F561" t="inlineStr">
        <is>
          <t>prod</t>
        </is>
      </c>
    </row>
    <row r="562">
      <c r="A562" t="inlineStr">
        <is>
          <t>2025-05-09 16:31:03.577</t>
        </is>
      </c>
      <c r="B562">
        <f>=请求开始== [请求IP]:172.18.33.17 ,[请求方式]:POST， [请求URL]:https://172.30.212.148:8080/api/appservice/bfv/v1/knowledge/retrieval/plugin, [请求类名]:com.yingzi.appservice.bfv.provider.rest.KnowledgeRetrievalController,[请求方法名]:plugin, [请求头参数]:{"host":"172.30.212.148:8080"}, [请求参数]:[{"query":"这是包子","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562" t="inlineStr">
        <is>
          <t>INFO</t>
        </is>
      </c>
      <c r="D562" t="inlineStr">
        <is>
          <t>vdh</t>
        </is>
      </c>
      <c r="E562" t="inlineStr">
        <is>
          <t>pro14</t>
        </is>
      </c>
      <c r="F562" t="inlineStr">
        <is>
          <t>prod</t>
        </is>
      </c>
    </row>
    <row r="563">
      <c r="A563" t="inlineStr">
        <is>
          <t>2025-05-09 16:31:03.555</t>
        </is>
      </c>
      <c r="B563">
        <f>=请求开始== [请求IP]:172.18.114.116 ,[请求方式]:POST， [请求URL]:https://172.30.103.196:8080/api/appservice/bfv/v1/chat/, [请求类名]:com.yingzi.appservice.bfv.provider.rest.ChatV1Controller,[请求方法名]:chat, [请求头参数]:{"host":"172.30.103.196:8080"}, [请求参数]:[{"stream":true,"message":"这是包子","args":"{\"adcode\":\"440100\",\"channel_id\":\"9\"}"}]</f>
        <v/>
      </c>
      <c r="C563" t="inlineStr">
        <is>
          <t>INFO</t>
        </is>
      </c>
      <c r="D563" t="inlineStr">
        <is>
          <t>vdh</t>
        </is>
      </c>
      <c r="E563" t="inlineStr">
        <is>
          <t>pro17</t>
        </is>
      </c>
      <c r="F563" t="inlineStr">
        <is>
          <t>prod</t>
        </is>
      </c>
    </row>
    <row r="564">
      <c r="A564" t="inlineStr">
        <is>
          <t>2025-05-09 16:31:00.627</t>
        </is>
      </c>
      <c r="B564">
        <f>=请求结束== [请求耗时]:15毫秒, [返回数据]:{"code":"000000","msg":"Success","traceId":"93bb2e6d4221f98504b50c0e1f291fe9"}</f>
        <v/>
      </c>
      <c r="C564" t="inlineStr">
        <is>
          <t>INFO</t>
        </is>
      </c>
      <c r="D564" t="inlineStr">
        <is>
          <t>vdh</t>
        </is>
      </c>
      <c r="E564" t="inlineStr">
        <is>
          <t>pro14</t>
        </is>
      </c>
      <c r="F564" t="inlineStr">
        <is>
          <t>prod</t>
        </is>
      </c>
    </row>
    <row r="565">
      <c r="A565" t="inlineStr">
        <is>
          <t>2025-05-09 16:31:00.612</t>
        </is>
      </c>
      <c r="B565">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recordId":"","asrResult":"","knowledgeId":"","knowledgeMasterId":"","instructionType":"","instructionName":"","instructionFlag":"","parameter":"{}","ttsResultSource":"","ttsResult":"","response":0}]]</f>
        <v/>
      </c>
      <c r="C565" t="inlineStr">
        <is>
          <t>INFO</t>
        </is>
      </c>
      <c r="D565" t="inlineStr">
        <is>
          <t>vdh</t>
        </is>
      </c>
      <c r="E565" t="inlineStr">
        <is>
          <t>pro14</t>
        </is>
      </c>
      <c r="F565" t="inlineStr">
        <is>
          <t>prod</t>
        </is>
      </c>
    </row>
    <row r="566">
      <c r="A566" t="inlineStr">
        <is>
          <t>2025-05-09 16:30:18.526</t>
        </is>
      </c>
      <c r="B566">
        <f>=请求结束== [请求耗时]:12毫秒, [返回数据]:{"code":"000000","msg":"Success","traceId":"64ce9efb63e55f716b572b705c446cd7"}</f>
        <v/>
      </c>
      <c r="C566" t="inlineStr">
        <is>
          <t>INFO</t>
        </is>
      </c>
      <c r="D566" t="inlineStr">
        <is>
          <t>vdh</t>
        </is>
      </c>
      <c r="E566" t="inlineStr">
        <is>
          <t>pro17</t>
        </is>
      </c>
      <c r="F566" t="inlineStr">
        <is>
          <t>prod</t>
        </is>
      </c>
    </row>
    <row r="567">
      <c r="A567" t="inlineStr">
        <is>
          <t>2025-05-09 16:30:18.515</t>
        </is>
      </c>
      <c r="B567">
        <f>=请求开始== [请求IP]:119.32.28.2 ,[请求方式]:POST， [请求URL]:https://172.30.103.196:8080/api/appservice/bfv/v1/chatHistory/batchSave, [请求类名]:com.yingzi.appservice.bfv.provider.rest.ChatHistoryController,[请求方法名]:batchSave, [请求头参数]:{"host":"172.30.103.196:8080"}, [请求参数]:[[{"userId":1350158289398116352,"deviceId":"1C:99:57:15:E5:D7","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16,"minute":30,"second":13,"nano":0,"chronology":{"id":"ISO","calendarType":"iso8601"}},"response":1746779413290}]]</f>
        <v/>
      </c>
      <c r="C567" t="inlineStr">
        <is>
          <t>INFO</t>
        </is>
      </c>
      <c r="D567" t="inlineStr">
        <is>
          <t>vdh</t>
        </is>
      </c>
      <c r="E567" t="inlineStr">
        <is>
          <t>pro17</t>
        </is>
      </c>
      <c r="F567" t="inlineStr">
        <is>
          <t>prod</t>
        </is>
      </c>
    </row>
    <row r="568">
      <c r="A568" t="inlineStr">
        <is>
          <t>2025-05-09 16:30:11.398</t>
        </is>
      </c>
      <c r="B568">
        <f>=请求结束== [请求耗时]:15毫秒, [返回数据]:{"code":"000000","msg":"Success","traceId":"55e8545ac3f2566feac7058b8d1c213a"}</f>
        <v/>
      </c>
      <c r="C568" t="inlineStr">
        <is>
          <t>INFO</t>
        </is>
      </c>
      <c r="D568" t="inlineStr">
        <is>
          <t>vdh</t>
        </is>
      </c>
      <c r="E568" t="inlineStr">
        <is>
          <t>pro14</t>
        </is>
      </c>
      <c r="F568" t="inlineStr">
        <is>
          <t>prod</t>
        </is>
      </c>
    </row>
    <row r="569">
      <c r="A569" t="inlineStr">
        <is>
          <t>2025-05-09 16:30:11.383</t>
        </is>
      </c>
      <c r="B569">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8:B1","sessionId":"","avatarId":"11200220000208050000000000000000","appCode":"VDHtestWDC","instructionTemplateType":"","recordId":"","asrResult":"","knowledgeId":"","knowledgeMasterId":"","instructionType":"","instructionName":"","instructionFlag":"","parameter":"{}","ttsResultSource":"local","ttsResult":"烹饪完成,请取餐,小心烫小万发现了红烧排骨或糖醋排骨或话梅排骨,主人喜欢糖醋排骨还是红烧排骨/话梅排骨口感","ttsResultTime":{"year":2025,"monthValue":5,"month":"MAY","dayOfMonth":9,"dayOfYear":129,"dayOfWeek":"FRIDAY","hour":16,"minute":25,"second":54,"nano":0,"chronology":{"id":"ISO","calendarType":"iso8601"}},"response":1746779154787}]]</f>
        <v/>
      </c>
      <c r="C569" t="inlineStr">
        <is>
          <t>INFO</t>
        </is>
      </c>
      <c r="D569" t="inlineStr">
        <is>
          <t>vdh</t>
        </is>
      </c>
      <c r="E569" t="inlineStr">
        <is>
          <t>pro14</t>
        </is>
      </c>
      <c r="F569" t="inlineStr">
        <is>
          <t>prod</t>
        </is>
      </c>
    </row>
    <row r="570">
      <c r="A570" t="inlineStr">
        <is>
          <t>2025-05-09 16:29:23.725</t>
        </is>
      </c>
      <c r="B570">
        <f>=请求结束== [请求耗时]:16毫秒, [返回数据]:{"code":"000000","msg":"Success","traceId":"7ea9fcdbc7b081f963dde31959239c5f"}</f>
        <v/>
      </c>
      <c r="C570" t="inlineStr">
        <is>
          <t>INFO</t>
        </is>
      </c>
      <c r="D570" t="inlineStr">
        <is>
          <t>vdh</t>
        </is>
      </c>
      <c r="E570" t="inlineStr">
        <is>
          <t>pro17</t>
        </is>
      </c>
      <c r="F570" t="inlineStr">
        <is>
          <t>prod</t>
        </is>
      </c>
    </row>
    <row r="571">
      <c r="A571" t="inlineStr">
        <is>
          <t>2025-05-09 16:29:23.709</t>
        </is>
      </c>
      <c r="B571">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64:79:F0:79:7A:16","sessionId":"","avatarId":"11200220000208050000000000000000","appCode":"VDHtestWDC","instructionTemplateType":"Instruction_library","recordId":"","asrResult":"这是烧麦","instructionAsrFirstTime":{"year":2025,"monthValue":5,"month":"MAY","dayOfMonth":9,"dayOfYear":129,"dayOfWeek":"FRIDAY","hour":16,"minute":29,"second":10,"nano":0,"chronology":{"id":"ISO","calendarType":"iso8601"}},"knowledgeId":"","knowledgeMasterId":"295","instructionType":"COOKING","instructionName":"选择食物","instructionFlag":"set_foodtype","parameter":"{\"answer\":\"DEFAULT\",\"code\":\"set_foodtype\",\"continue_answer\":\"\",\"continue_failed_answer\":\"\",\"entities\":\"[{\\\"name\\\":\\\"菜品名称\\\",\\\"value\\\":\\\"烧麦\\\",\\\"similar_value\\\":\\\"烧麦\\\",\\\"similar_standard_value\\\":\\\"烧麦（复热）\\\",\\\"similar_target_id\\\":\\\"463\\\",\\\"answer\\\":{\\\"answerId\\\":\\\"\\\",\\\"value\\\":\\\"\\\",\\\"hidb\\\":\\\"\\\",\\\"aplusId\\\":\\\"\\\",\\\"flag\\\":true,\\\"updFlag\\\":false,\\\"cache\\\":false}}]\",\"failed_answer\":\"{\\\"answerId\\\":\\\"\\\",\\\"value\\\":\\\"抱歉，执行失败\\\",\\\"hidb\\\":\\\"\\\",\\\"aplusId\\\":\\\"\\\",\\\"flag\\\":true,\\\"updFlag\\\":false,\\\"cache\\\":false}\",\"hitBusiness\":\"295\",\"init_state\":\"true\",\"intent\":\"选择食物\",\"intentType\":\"COOKING\",\"isEnd\":\"true\",\"isMulti\":\"false\",\"service\":\"Instruction_library\",\"succeed_answer\":\"{\\\"answerId\\\":\\\"\\\",\\\"value\\\":\\\"好嘞，小万会按照主人吩咐的烹饪哒\\\",\\\"hidb\\\":\\\"\\\",\\\"aplusId\\\":\\\"\\\",\\\"flag\\\":true,\\\"updFlag\\\":false,\\\"cache\\\":false}\"}","ttsResultSource":"local","ttsResult":"找到烹饪方案啦,请选择一下吧","ttsResultTime":{"year":2025,"monthValue":5,"month":"MAY","dayOfMonth":9,"dayOfYear":129,"dayOfWeek":"FRIDAY","hour":16,"minute":29,"second":20,"nano":0,"chronology":{"id":"ISO","calendarType":"iso8601"}},"response":8324}]]</f>
        <v/>
      </c>
      <c r="C571" t="inlineStr">
        <is>
          <t>INFO</t>
        </is>
      </c>
      <c r="D571" t="inlineStr">
        <is>
          <t>vdh</t>
        </is>
      </c>
      <c r="E571" t="inlineStr">
        <is>
          <t>pro17</t>
        </is>
      </c>
      <c r="F571" t="inlineStr">
        <is>
          <t>prod</t>
        </is>
      </c>
    </row>
    <row r="572">
      <c r="A572" t="inlineStr">
        <is>
          <t>2025-05-09 16:29:09.184</t>
        </is>
      </c>
      <c r="B572">
        <f>=请求结束== [请求耗时]:16毫秒, [返回数据]:{"code":"000000","msg":"Success","traceId":"20afcbe06d947af5d4b1dfbfccae697d"}</f>
        <v/>
      </c>
      <c r="C572" t="inlineStr">
        <is>
          <t>INFO</t>
        </is>
      </c>
      <c r="D572" t="inlineStr">
        <is>
          <t>vdh</t>
        </is>
      </c>
      <c r="E572" t="inlineStr">
        <is>
          <t>pro14</t>
        </is>
      </c>
      <c r="F572" t="inlineStr">
        <is>
          <t>prod</t>
        </is>
      </c>
    </row>
    <row r="573">
      <c r="A573" t="inlineStr">
        <is>
          <t>2025-05-09 16:29:09.168</t>
        </is>
      </c>
      <c r="B573">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recordId":"","asrResult":"","knowledgeId":"","knowledgeMasterId":"","instructionType":"","instructionName":"","instructionFlag":"","parameter":"{}","ttsResultSource":"","ttsResult":"","response":0}]]</f>
        <v/>
      </c>
      <c r="C573" t="inlineStr">
        <is>
          <t>INFO</t>
        </is>
      </c>
      <c r="D573" t="inlineStr">
        <is>
          <t>vdh</t>
        </is>
      </c>
      <c r="E573" t="inlineStr">
        <is>
          <t>pro14</t>
        </is>
      </c>
      <c r="F573" t="inlineStr">
        <is>
          <t>prod</t>
        </is>
      </c>
    </row>
    <row r="574">
      <c r="A574" t="inlineStr">
        <is>
          <t>2025-05-09 16:28:49.690</t>
        </is>
      </c>
      <c r="B574">
        <f>=请求结束== [请求耗时]:14毫秒, [返回数据]:{"code":"000000","msg":"Success","traceId":"921ff30823fe2b764030fcf851dbf797"}</f>
        <v/>
      </c>
      <c r="C574" t="inlineStr">
        <is>
          <t>INFO</t>
        </is>
      </c>
      <c r="D574" t="inlineStr">
        <is>
          <t>vdh</t>
        </is>
      </c>
      <c r="E574" t="inlineStr">
        <is>
          <t>pro17</t>
        </is>
      </c>
      <c r="F574" t="inlineStr">
        <is>
          <t>prod</t>
        </is>
      </c>
    </row>
    <row r="575">
      <c r="A575" t="inlineStr">
        <is>
          <t>2025-05-09 16:28:49.676</t>
        </is>
      </c>
      <c r="B575">
        <f>=请求开始== [请求IP]:119.32.28.2 ,[请求方式]:POST， [请求URL]:https://172.30.103.196:8080/api/appservice/bfv/v1/chatHistory/batchSave, [请求类名]:com.yingzi.appservice.bfv.provider.rest.ChatHistoryController,[请求方法名]:batchSave, [请求头参数]:{"host":"172.30.103.196:8080"}, [请求参数]:[[{"userId":1350158289398116352,"deviceId":"1C:99:57:15:E5:D7","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16,"minute":28,"second":44,"nano":0,"chronology":{"id":"ISO","calendarType":"iso8601"}},"response":1746779324523}]]</f>
        <v/>
      </c>
      <c r="C575" t="inlineStr">
        <is>
          <t>INFO</t>
        </is>
      </c>
      <c r="D575" t="inlineStr">
        <is>
          <t>vdh</t>
        </is>
      </c>
      <c r="E575" t="inlineStr">
        <is>
          <t>pro17</t>
        </is>
      </c>
      <c r="F575" t="inlineStr">
        <is>
          <t>prod</t>
        </is>
      </c>
    </row>
    <row r="576">
      <c r="A576" t="inlineStr">
        <is>
          <t>2025-05-09 16:25:54.168</t>
        </is>
      </c>
      <c r="B576">
        <f>=请求结束== [请求耗时]:14毫秒, [返回数据]:{"code":"000000","msg":"Success","traceId":"695453a05eeae99a93f68455a7eefa0e"}</f>
        <v/>
      </c>
      <c r="C576" t="inlineStr">
        <is>
          <t>INFO</t>
        </is>
      </c>
      <c r="D576" t="inlineStr">
        <is>
          <t>vdh</t>
        </is>
      </c>
      <c r="E576" t="inlineStr">
        <is>
          <t>pro17</t>
        </is>
      </c>
      <c r="F576" t="inlineStr">
        <is>
          <t>prod</t>
        </is>
      </c>
    </row>
    <row r="577">
      <c r="A577" t="inlineStr">
        <is>
          <t>2025-05-09 16:25:54.154</t>
        </is>
      </c>
      <c r="B577">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15:5F:7C","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16,"minute":22,"second":7,"nano":0,"chronology":{"id":"ISO","calendarType":"iso8601"}},"response":1746778927270}]]</f>
        <v/>
      </c>
      <c r="C577" t="inlineStr">
        <is>
          <t>INFO</t>
        </is>
      </c>
      <c r="D577" t="inlineStr">
        <is>
          <t>vdh</t>
        </is>
      </c>
      <c r="E577" t="inlineStr">
        <is>
          <t>pro17</t>
        </is>
      </c>
      <c r="F577" t="inlineStr">
        <is>
          <t>prod</t>
        </is>
      </c>
    </row>
    <row r="578">
      <c r="A578" t="inlineStr">
        <is>
          <t>2025-05-09 16:25:09.508</t>
        </is>
      </c>
      <c r="B578">
        <f>=请求结束== [请求耗时]:27毫秒, [返回数据]:{"code":"000000","msg":"Success","traceId":"ea9b0479f6e79ac63c4aa4ae817905ce"}</f>
        <v/>
      </c>
      <c r="C578" t="inlineStr">
        <is>
          <t>INFO</t>
        </is>
      </c>
      <c r="D578" t="inlineStr">
        <is>
          <t>vdh</t>
        </is>
      </c>
      <c r="E578" t="inlineStr">
        <is>
          <t>pro14</t>
        </is>
      </c>
      <c r="F578" t="inlineStr">
        <is>
          <t>prod</t>
        </is>
      </c>
    </row>
    <row r="579">
      <c r="A579" t="inlineStr">
        <is>
          <t>2025-05-09 16:25:09.482</t>
        </is>
      </c>
      <c r="B579">
        <f>=请求开始== [请求IP]:223.73.153.241 ,[请求方式]:POST， [请求URL]:https://172.30.212.148:8080/api/appservice/bfv/v1/chatHistory/batchSave, [请求类名]:com.yingzi.appservice.bfv.provider.rest.ChatHistoryController,[请求方法名]:batchSave, [请求头参数]:{"host":"172.30.212.148:8080"}, [请求参数]:[[{"userId":908023058921988099,"deviceId":"84:5C:F3:27:DB:E8","sessionId":"","avatarId":"11200220000208050000000000000000","appCode":"VDHtestWDC","instructionTemplateType":"","recordId":"","asrResult":"","knowledgeId":"","knowledgeMasterId":"","instructionType":"","instructionName":"","instructionFlag":"","parameter":"{}","ttsResultSource":"local","ttsResult":"好的搞定了","ttsResultTime":{"year":2025,"monthValue":5,"month":"MAY","dayOfMonth":9,"dayOfYear":129,"dayOfWeek":"FRIDAY","hour":16,"minute":24,"second":39,"nano":0,"chronology":{"id":"ISO","calendarType":"iso8601"}},"response":1746779079370}]]</f>
        <v/>
      </c>
      <c r="C579" t="inlineStr">
        <is>
          <t>INFO</t>
        </is>
      </c>
      <c r="D579" t="inlineStr">
        <is>
          <t>vdh</t>
        </is>
      </c>
      <c r="E579" t="inlineStr">
        <is>
          <t>pro14</t>
        </is>
      </c>
      <c r="F579" t="inlineStr">
        <is>
          <t>prod</t>
        </is>
      </c>
    </row>
    <row r="580">
      <c r="A580" t="inlineStr">
        <is>
          <t>2025-05-09 16:24:03.808</t>
        </is>
      </c>
      <c r="B580">
        <f>=请求结束== [请求耗时]:39毫秒, [返回数据]:{"code":"000000","msg":"Success","traceId":"cab3dc48e3d9aca2ad7f82b6b04332d0"}</f>
        <v/>
      </c>
      <c r="C580" t="inlineStr">
        <is>
          <t>INFO</t>
        </is>
      </c>
      <c r="D580" t="inlineStr">
        <is>
          <t>vdh</t>
        </is>
      </c>
      <c r="E580" t="inlineStr">
        <is>
          <t>pro17</t>
        </is>
      </c>
      <c r="F580" t="inlineStr">
        <is>
          <t>prod</t>
        </is>
      </c>
    </row>
    <row r="581">
      <c r="A581" t="inlineStr">
        <is>
          <t>2025-05-09 16:24:03.769</t>
        </is>
      </c>
      <c r="B581">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15:5F:7C","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16,"minute":20,"second":17,"nano":0,"chronology":{"id":"ISO","calendarType":"iso8601"}},"response":1746778817055}]]</f>
        <v/>
      </c>
      <c r="C581" t="inlineStr">
        <is>
          <t>INFO</t>
        </is>
      </c>
      <c r="D581" t="inlineStr">
        <is>
          <t>vdh</t>
        </is>
      </c>
      <c r="E581" t="inlineStr">
        <is>
          <t>pro17</t>
        </is>
      </c>
      <c r="F581" t="inlineStr">
        <is>
          <t>prod</t>
        </is>
      </c>
    </row>
    <row r="582">
      <c r="A582" t="inlineStr">
        <is>
          <t>2025-05-09 16:20:04.554</t>
        </is>
      </c>
      <c r="B582">
        <f>=请求结束== [请求耗时]:13毫秒, [返回数据]:{"code":"000000","msg":"Success","traceId":"cdb1b04b864a6a47f2763f23cb3d0f65"}</f>
        <v/>
      </c>
      <c r="C582" t="inlineStr">
        <is>
          <t>INFO</t>
        </is>
      </c>
      <c r="D582" t="inlineStr">
        <is>
          <t>vdh</t>
        </is>
      </c>
      <c r="E582" t="inlineStr">
        <is>
          <t>pro14</t>
        </is>
      </c>
      <c r="F582" t="inlineStr">
        <is>
          <t>prod</t>
        </is>
      </c>
    </row>
    <row r="583">
      <c r="A583" t="inlineStr">
        <is>
          <t>2025-05-09 16:20:04.541</t>
        </is>
      </c>
      <c r="B58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8:B1","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16,"minute":16,"second":35,"nano":0,"chronology":{"id":"ISO","calendarType":"iso8601"}},"response":1746778595603}]]</f>
        <v/>
      </c>
      <c r="C583" t="inlineStr">
        <is>
          <t>INFO</t>
        </is>
      </c>
      <c r="D583" t="inlineStr">
        <is>
          <t>vdh</t>
        </is>
      </c>
      <c r="E583" t="inlineStr">
        <is>
          <t>pro14</t>
        </is>
      </c>
      <c r="F583" t="inlineStr">
        <is>
          <t>prod</t>
        </is>
      </c>
    </row>
    <row r="584">
      <c r="A584" t="inlineStr">
        <is>
          <t>2025-05-09 16:19:33.352</t>
        </is>
      </c>
      <c r="B584">
        <f>=请求结束== [请求耗时]:14毫秒, [返回数据]:{"code":"000000","msg":"Success","traceId":"264a7062eb510e474709e27ddc5f1eab"}</f>
        <v/>
      </c>
      <c r="C584" t="inlineStr">
        <is>
          <t>INFO</t>
        </is>
      </c>
      <c r="D584" t="inlineStr">
        <is>
          <t>vdh</t>
        </is>
      </c>
      <c r="E584" t="inlineStr">
        <is>
          <t>pro14</t>
        </is>
      </c>
      <c r="F584" t="inlineStr">
        <is>
          <t>prod</t>
        </is>
      </c>
    </row>
    <row r="585">
      <c r="A585" t="inlineStr">
        <is>
          <t>2025-05-09 16:19:33.338</t>
        </is>
      </c>
      <c r="B585">
        <f>=请求开始== [请求IP]:223.73.153.241 ,[请求方式]:POST， [请求URL]:https://172.30.212.148:8080/api/appservice/bfv/v1/chatHistory/batchSave, [请求类名]:com.yingzi.appservice.bfv.provider.rest.ChatHistoryController,[请求方法名]:batchSave, [请求头参数]:{"host":"172.30.212.148:8080"}, [请求参数]:[[{"userId":908023058921988099,"deviceId":"84:5C:F3:27:DB:E8","sessionId":"","avatarId":"11200220000208050000000000000000","appCode":"VDHtestWDC","instructionTemplateType":"","recordId":"","asrResult":"","instructionAsrFirstTime":{"year":2025,"monthValue":5,"month":"MAY","dayOfMonth":9,"dayOfYear":129,"dayOfWeek":"FRIDAY","hour":16,"minute":18,"second":32,"nano":0,"chronology":{"id":"ISO","calendarType":"iso8601"}},"knowledgeId":"","knowledgeMasterId":"","instructionType":"","instructionName":"","instructionFlag":"","parameter":"{}","ttsResultSource":"local","ttsResult":"","response":0}]]</f>
        <v/>
      </c>
      <c r="C585" t="inlineStr">
        <is>
          <t>INFO</t>
        </is>
      </c>
      <c r="D585" t="inlineStr">
        <is>
          <t>vdh</t>
        </is>
      </c>
      <c r="E585" t="inlineStr">
        <is>
          <t>pro14</t>
        </is>
      </c>
      <c r="F585" t="inlineStr">
        <is>
          <t>prod</t>
        </is>
      </c>
    </row>
    <row r="586">
      <c r="A586" t="inlineStr">
        <is>
          <t>2025-05-09 16:17:59.029</t>
        </is>
      </c>
      <c r="B586">
        <f>=请求结束== [请求耗时]:13毫秒, [返回数据]:{"code":"000000","msg":"Success","traceId":"42a6c878d91f04a58c8fc4f9f10ffd02"}</f>
        <v/>
      </c>
      <c r="C586" t="inlineStr">
        <is>
          <t>INFO</t>
        </is>
      </c>
      <c r="D586" t="inlineStr">
        <is>
          <t>vdh</t>
        </is>
      </c>
      <c r="E586" t="inlineStr">
        <is>
          <t>pro17</t>
        </is>
      </c>
      <c r="F586" t="inlineStr">
        <is>
          <t>prod</t>
        </is>
      </c>
    </row>
    <row r="587">
      <c r="A587" t="inlineStr">
        <is>
          <t>2025-05-09 16:17:59.017</t>
        </is>
      </c>
      <c r="B587">
        <f>=请求开始== [请求IP]:119.32.28.2 ,[请求方式]:POST， [请求URL]:https://172.30.103.196:8080/api/appservice/bfv/v1/chatHistory/batchSave, [请求类名]:com.yingzi.appservice.bfv.provider.rest.ChatHistoryController,[请求方法名]:batchSave, [请求头参数]:{"host":"172.30.103.196:8080"}, [请求参数]:[[{"userId":1350158289398116352,"deviceId":"1C:99:57:15:E5:D7","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16,"minute":17,"second":53,"nano":0,"chronology":{"id":"ISO","calendarType":"iso8601"}},"response":1746778673802}]]</f>
        <v/>
      </c>
      <c r="C587" t="inlineStr">
        <is>
          <t>INFO</t>
        </is>
      </c>
      <c r="D587" t="inlineStr">
        <is>
          <t>vdh</t>
        </is>
      </c>
      <c r="E587" t="inlineStr">
        <is>
          <t>pro17</t>
        </is>
      </c>
      <c r="F587" t="inlineStr">
        <is>
          <t>prod</t>
        </is>
      </c>
    </row>
    <row r="588">
      <c r="A588" t="inlineStr">
        <is>
          <t>2025-05-09 16:17:50.716</t>
        </is>
      </c>
      <c r="B588">
        <f>=请求结束== [请求耗时]:15毫秒, [返回数据]:{"code":"000000","msg":"Success","traceId":"5f3c0ea65826e8eb72c61acb81dc2cb2"}</f>
        <v/>
      </c>
      <c r="C588" t="inlineStr">
        <is>
          <t>INFO</t>
        </is>
      </c>
      <c r="D588" t="inlineStr">
        <is>
          <t>vdh</t>
        </is>
      </c>
      <c r="E588" t="inlineStr">
        <is>
          <t>pro17</t>
        </is>
      </c>
      <c r="F588" t="inlineStr">
        <is>
          <t>prod</t>
        </is>
      </c>
    </row>
    <row r="589">
      <c r="A589" t="inlineStr">
        <is>
          <t>2025-05-09 16:17:50.701</t>
        </is>
      </c>
      <c r="B589">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16,"minute":11,"second":9,"nano":0,"chronology":{"id":"ISO","calendarType":"iso8601"}},"response":1746778269397}]]</f>
        <v/>
      </c>
      <c r="C589" t="inlineStr">
        <is>
          <t>INFO</t>
        </is>
      </c>
      <c r="D589" t="inlineStr">
        <is>
          <t>vdh</t>
        </is>
      </c>
      <c r="E589" t="inlineStr">
        <is>
          <t>pro17</t>
        </is>
      </c>
      <c r="F589" t="inlineStr">
        <is>
          <t>prod</t>
        </is>
      </c>
    </row>
    <row r="590">
      <c r="A590" t="inlineStr">
        <is>
          <t>2025-05-09 16:17:19.558</t>
        </is>
      </c>
      <c r="B590">
        <f>=请求结束== [请求耗时]:14毫秒, [返回数据]:{"code":"000000","msg":"Success","traceId":"b4ee49268ccbc1e73895dc0ca0121426"}</f>
        <v/>
      </c>
      <c r="C590" t="inlineStr">
        <is>
          <t>INFO</t>
        </is>
      </c>
      <c r="D590" t="inlineStr">
        <is>
          <t>vdh</t>
        </is>
      </c>
      <c r="E590" t="inlineStr">
        <is>
          <t>pro14</t>
        </is>
      </c>
      <c r="F590" t="inlineStr">
        <is>
          <t>prod</t>
        </is>
      </c>
    </row>
    <row r="591">
      <c r="A591" t="inlineStr">
        <is>
          <t>2025-05-09 16:17:19.544</t>
        </is>
      </c>
      <c r="B591">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17:5E:26","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16,"minute":10,"second":1,"nano":0,"chronology":{"id":"ISO","calendarType":"iso8601"}},"response":1746778201141}]]</f>
        <v/>
      </c>
      <c r="C591" t="inlineStr">
        <is>
          <t>INFO</t>
        </is>
      </c>
      <c r="D591" t="inlineStr">
        <is>
          <t>vdh</t>
        </is>
      </c>
      <c r="E591" t="inlineStr">
        <is>
          <t>pro14</t>
        </is>
      </c>
      <c r="F591" t="inlineStr">
        <is>
          <t>prod</t>
        </is>
      </c>
    </row>
    <row r="592">
      <c r="A592" t="inlineStr">
        <is>
          <t>2025-05-09 16:14:03.736</t>
        </is>
      </c>
      <c r="B592">
        <f>=请求结束== [请求耗时]:15毫秒, [返回数据]:{"code":"000000","msg":"Success","traceId":"ed790670d395ebdd9ab3387c7fbcf4fc"}</f>
        <v/>
      </c>
      <c r="C592" t="inlineStr">
        <is>
          <t>INFO</t>
        </is>
      </c>
      <c r="D592" t="inlineStr">
        <is>
          <t>vdh</t>
        </is>
      </c>
      <c r="E592" t="inlineStr">
        <is>
          <t>pro17</t>
        </is>
      </c>
      <c r="F592" t="inlineStr">
        <is>
          <t>prod</t>
        </is>
      </c>
    </row>
    <row r="593">
      <c r="A593" t="inlineStr">
        <is>
          <t>2025-05-09 16:14:03.721</t>
        </is>
      </c>
      <c r="B593">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15:5F:7C","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15,"minute":35,"second":3,"nano":0,"chronology":{"id":"ISO","calendarType":"iso8601"}},"response":1746776103922}]]</f>
        <v/>
      </c>
      <c r="C593" t="inlineStr">
        <is>
          <t>INFO</t>
        </is>
      </c>
      <c r="D593" t="inlineStr">
        <is>
          <t>vdh</t>
        </is>
      </c>
      <c r="E593" t="inlineStr">
        <is>
          <t>pro17</t>
        </is>
      </c>
      <c r="F593" t="inlineStr">
        <is>
          <t>prod</t>
        </is>
      </c>
    </row>
    <row r="594">
      <c r="A594" t="inlineStr">
        <is>
          <t>2025-05-09 16:12:26.269</t>
        </is>
      </c>
      <c r="B594">
        <f>=请求结束== [请求耗时]:13毫秒, [返回数据]:{"code":"000000","msg":"Success","traceId":"879148c0cb50695969aff5dedf4c1e38"}</f>
        <v/>
      </c>
      <c r="C594" t="inlineStr">
        <is>
          <t>INFO</t>
        </is>
      </c>
      <c r="D594" t="inlineStr">
        <is>
          <t>vdh</t>
        </is>
      </c>
      <c r="E594" t="inlineStr">
        <is>
          <t>pro14</t>
        </is>
      </c>
      <c r="F594" t="inlineStr">
        <is>
          <t>prod</t>
        </is>
      </c>
    </row>
    <row r="595">
      <c r="A595" t="inlineStr">
        <is>
          <t>2025-05-09 16:12:26.257</t>
        </is>
      </c>
      <c r="B595">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87:97:8B","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15,"minute":57,"second":56,"nano":0,"chronology":{"id":"ISO","calendarType":"iso8601"}},"response":1746777476247}]]</f>
        <v/>
      </c>
      <c r="C595" t="inlineStr">
        <is>
          <t>INFO</t>
        </is>
      </c>
      <c r="D595" t="inlineStr">
        <is>
          <t>vdh</t>
        </is>
      </c>
      <c r="E595" t="inlineStr">
        <is>
          <t>pro14</t>
        </is>
      </c>
      <c r="F595" t="inlineStr">
        <is>
          <t>prod</t>
        </is>
      </c>
    </row>
    <row r="596">
      <c r="A596" t="inlineStr">
        <is>
          <t>2025-05-09 16:11:26.720</t>
        </is>
      </c>
      <c r="B596">
        <f>=请求结束== [请求耗时]:14毫秒, [返回数据]:{"code":"000000","msg":"Success","traceId":"4639da994ca639b928b6d5b66664e144"}</f>
        <v/>
      </c>
      <c r="C596" t="inlineStr">
        <is>
          <t>INFO</t>
        </is>
      </c>
      <c r="D596" t="inlineStr">
        <is>
          <t>vdh</t>
        </is>
      </c>
      <c r="E596" t="inlineStr">
        <is>
          <t>pro17</t>
        </is>
      </c>
      <c r="F596" t="inlineStr">
        <is>
          <t>prod</t>
        </is>
      </c>
    </row>
    <row r="597">
      <c r="A597" t="inlineStr">
        <is>
          <t>2025-05-09 16:11:26.706</t>
        </is>
      </c>
      <c r="B597">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17:5E:26","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16,"minute":4,"second":8,"nano":0,"chronology":{"id":"ISO","calendarType":"iso8601"}},"response":1746777848259}]]</f>
        <v/>
      </c>
      <c r="C597" t="inlineStr">
        <is>
          <t>INFO</t>
        </is>
      </c>
      <c r="D597" t="inlineStr">
        <is>
          <t>vdh</t>
        </is>
      </c>
      <c r="E597" t="inlineStr">
        <is>
          <t>pro17</t>
        </is>
      </c>
      <c r="F597" t="inlineStr">
        <is>
          <t>prod</t>
        </is>
      </c>
    </row>
    <row r="598">
      <c r="A598" t="inlineStr">
        <is>
          <t>2025-05-09 16:10:55.845</t>
        </is>
      </c>
      <c r="B598">
        <f>=请求结束== [请求耗时]:16毫秒, [返回数据]:{"code":"000000","msg":"Success","traceId":"778ae39fff9aad28f370d8a33a82d498"}</f>
        <v/>
      </c>
      <c r="C598" t="inlineStr">
        <is>
          <t>INFO</t>
        </is>
      </c>
      <c r="D598" t="inlineStr">
        <is>
          <t>vdh</t>
        </is>
      </c>
      <c r="E598" t="inlineStr">
        <is>
          <t>pro14</t>
        </is>
      </c>
      <c r="F598" t="inlineStr">
        <is>
          <t>prod</t>
        </is>
      </c>
    </row>
    <row r="599">
      <c r="A599" t="inlineStr">
        <is>
          <t>2025-05-09 16:10:55.829</t>
        </is>
      </c>
      <c r="B599">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17:5E:26","sessionId":"","avatarId":"11200220000208050000000000000000","appCode":"VDHtestWDC","instructionTemplateType":"","recordId":"","asrResult":"","knowledgeId":"","knowledgeMasterId":"","instructionType":"","instructionName":"","instructionFlag":"","parameter":"{}","ttsResultSource":"local","ttsResult":"小万发现了红烧排骨或糖醋排骨或话梅排骨,主人喜欢糖醋排骨还是红烧排骨/话梅排骨口感","ttsResultTime":{"year":2025,"monthValue":5,"month":"MAY","dayOfMonth":9,"dayOfYear":129,"dayOfWeek":"FRIDAY","hour":16,"minute":3,"second":33,"nano":0,"chronology":{"id":"ISO","calendarType":"iso8601"}},"response":1746777813736}]]</f>
        <v/>
      </c>
      <c r="C599" t="inlineStr">
        <is>
          <t>INFO</t>
        </is>
      </c>
      <c r="D599" t="inlineStr">
        <is>
          <t>vdh</t>
        </is>
      </c>
      <c r="E599" t="inlineStr">
        <is>
          <t>pro14</t>
        </is>
      </c>
      <c r="F599" t="inlineStr">
        <is>
          <t>prod</t>
        </is>
      </c>
    </row>
    <row r="600">
      <c r="A600" t="inlineStr">
        <is>
          <t>2025-05-09 16:08:26.364</t>
        </is>
      </c>
      <c r="B600">
        <f>=请求结束== [请求耗时]:15毫秒, [返回数据]:{"code":"000000","msg":"Success","traceId":"81f4a36a0c49fe035cc917333e720504"}</f>
        <v/>
      </c>
      <c r="C600" t="inlineStr">
        <is>
          <t>INFO</t>
        </is>
      </c>
      <c r="D600" t="inlineStr">
        <is>
          <t>vdh</t>
        </is>
      </c>
      <c r="E600" t="inlineStr">
        <is>
          <t>pro17</t>
        </is>
      </c>
      <c r="F600" t="inlineStr">
        <is>
          <t>prod</t>
        </is>
      </c>
    </row>
    <row r="601">
      <c r="A601" t="inlineStr">
        <is>
          <t>2025-05-09 16:08:26.349</t>
        </is>
      </c>
      <c r="B601">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17:5E:26","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16,"minute":1,"second":7,"nano":0,"chronology":{"id":"ISO","calendarType":"iso8601"}},"response":1746777667946}]]</f>
        <v/>
      </c>
      <c r="C601" t="inlineStr">
        <is>
          <t>INFO</t>
        </is>
      </c>
      <c r="D601" t="inlineStr">
        <is>
          <t>vdh</t>
        </is>
      </c>
      <c r="E601" t="inlineStr">
        <is>
          <t>pro17</t>
        </is>
      </c>
      <c r="F601" t="inlineStr">
        <is>
          <t>prod</t>
        </is>
      </c>
    </row>
    <row r="602">
      <c r="A602" t="inlineStr">
        <is>
          <t>2025-05-09 16:05:56.421</t>
        </is>
      </c>
      <c r="B602">
        <f>=请求结束== [请求耗时]:15毫秒, [返回数据]:{"code":"000000","msg":"Success","traceId":"4e96da19531a9a23129f24f776a16882"}</f>
        <v/>
      </c>
      <c r="C602" t="inlineStr">
        <is>
          <t>INFO</t>
        </is>
      </c>
      <c r="D602" t="inlineStr">
        <is>
          <t>vdh</t>
        </is>
      </c>
      <c r="E602" t="inlineStr">
        <is>
          <t>pro14</t>
        </is>
      </c>
      <c r="F602" t="inlineStr">
        <is>
          <t>prod</t>
        </is>
      </c>
    </row>
    <row r="603">
      <c r="A603" t="inlineStr">
        <is>
          <t>2025-05-09 16:05:56.406</t>
        </is>
      </c>
      <c r="B60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3:34","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16,"minute":1,"second":43,"nano":0,"chronology":{"id":"ISO","calendarType":"iso8601"}},"response":1746777703762}]]</f>
        <v/>
      </c>
      <c r="C603" t="inlineStr">
        <is>
          <t>INFO</t>
        </is>
      </c>
      <c r="D603" t="inlineStr">
        <is>
          <t>vdh</t>
        </is>
      </c>
      <c r="E603" t="inlineStr">
        <is>
          <t>pro14</t>
        </is>
      </c>
      <c r="F603" t="inlineStr">
        <is>
          <t>prod</t>
        </is>
      </c>
    </row>
    <row r="604">
      <c r="A604" t="inlineStr">
        <is>
          <t>2025-05-09 16:05:54.453</t>
        </is>
      </c>
      <c r="B604">
        <f>=请求结束== [请求耗时]:4896毫秒</f>
        <v/>
      </c>
      <c r="C604" t="inlineStr">
        <is>
          <t>INFO</t>
        </is>
      </c>
      <c r="D604" t="inlineStr">
        <is>
          <t>vdh</t>
        </is>
      </c>
      <c r="E604" t="inlineStr">
        <is>
          <t>pro17</t>
        </is>
      </c>
      <c r="F604" t="inlineStr">
        <is>
          <t>prod</t>
        </is>
      </c>
    </row>
    <row r="605">
      <c r="A605" t="inlineStr">
        <is>
          <t>2025-05-09 16:05:54.452</t>
        </is>
      </c>
      <c r="B605" t="inlineStr">
        <is>
          <t>第1次流式调用完成，耗时：4219ms，response: Response { content = AiMessage { text = "这句“想着你的花”似乎没有明确的意图或问题。如果您有具体的问题或需要帮助的地方，请您详细描述，我会尽力为您提供帮助。" toolExecutionRequests = null }, tokenUsage = TokenUsage { inputTokenCount = 5171, outputTokenCount = 63, totalTokenCount = 5234 }, finishReason = STOP }</t>
        </is>
      </c>
      <c r="C605" t="inlineStr">
        <is>
          <t>INFO</t>
        </is>
      </c>
      <c r="D605" t="inlineStr">
        <is>
          <t>vdh</t>
        </is>
      </c>
      <c r="E605" t="inlineStr">
        <is>
          <t>pro17</t>
        </is>
      </c>
      <c r="F605" t="inlineStr">
        <is>
          <t>prod</t>
        </is>
      </c>
    </row>
    <row r="606">
      <c r="A606" t="inlineStr">
        <is>
          <t>2025-05-09 16:05:53.430</t>
        </is>
      </c>
      <c r="B606" t="inlineStr">
        <is>
          <t xml:space="preserve">第1次流式调用开始回复，耗时：3197ms，第一个token: </t>
        </is>
      </c>
      <c r="C606" t="inlineStr">
        <is>
          <t>INFO</t>
        </is>
      </c>
      <c r="D606" t="inlineStr">
        <is>
          <t>vdh</t>
        </is>
      </c>
      <c r="E606" t="inlineStr">
        <is>
          <t>pro17</t>
        </is>
      </c>
      <c r="F606" t="inlineStr">
        <is>
          <t>prod</t>
        </is>
      </c>
    </row>
    <row r="607">
      <c r="A607" t="inlineStr">
        <is>
          <t>2025-05-09 16:05:50.233</t>
        </is>
      </c>
      <c r="B607" t="inlineStr">
        <is>
          <t>streaming provider=gpt, model: gpt-4o</t>
        </is>
      </c>
      <c r="C607" t="inlineStr">
        <is>
          <t>INFO</t>
        </is>
      </c>
      <c r="D607" t="inlineStr">
        <is>
          <t>vdh</t>
        </is>
      </c>
      <c r="E607" t="inlineStr">
        <is>
          <t>pro17</t>
        </is>
      </c>
      <c r="F607" t="inlineStr">
        <is>
          <t>prod</t>
        </is>
      </c>
    </row>
    <row r="608">
      <c r="A608" t="inlineStr">
        <is>
          <t>2025-05-09 16:05:50.226</t>
        </is>
      </c>
      <c r="B608">
        <f>=请求结束== [请求耗时]:645毫秒, [返回数据]:{"code":"000000","msg":"Success","data":[{"knowledgeId":"1326868148286373888","knowledgeContent":[{"score":0.721958635,"content":"：2025年春节/过年/大年初一是1月29日，农历正月初一，星期三。","fileId":"1326944717968060416","chunkId":"paragraph-1"},{"score":0.7049428674999999,"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冬至：•新历：12月21日•农历：十一月初二•星期日","fileId":"1326944717968060416","chunkId":"paragraph-4"},{"score":0.702800145,"content":"：2025年元宵节是2月12日，农历正月十五，星期三。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1272947938412855296","knowledgeContent":[{"score":0.7208983874999999,"content":"我想吃辛辣的菜","fileId":"1275470180282040320","chunkId":"14","textGroup":"SELECT id, title FROM recipe_knowledge_nutrition WHERE classify_taste LIKE '%辛辣%' ORDER BY random() LIMIT 5;"},{"score":0.7202291399999999,"content":"有没有点赞数超过10的菜","fileId":"1275470180282040320","chunkId":"122","textGroup":"SELECT id, title FROM recipe_knowledge_nutrition WHERE fabulous_num &gt; 10 LIMIT 5;"}]},{"knowledgeId":"1329399948694220800","knowledgeContent":[{"score":0.73317804,"content":"请帮我继续微波","fileId":"1347217269055369216","chunkId":"256","textGroup":"cooking_control {type=continue}"},{"score":0.7326844874999999,"content":"停一下","fileId":"1347217269055369216","chunkId":"206","textGroup":"cooking_control {type=pause}"},{"score":0.7272335649999999,"content":"我想烧[菜品名称]","fileId":"1347217269055369216","chunkId":"18","textGroup":"set_foodtype_taste"},{"score":0.7240509949999999,"content":"微波结束","fileId":"1347217269055369216","chunkId":"279","textGroup":"cooking_control {type=stop}"},{"score":0.7234244175,"content":"快启动吧","fileId":"1347217269055369216","chunkId":"137","textGroup":"cooking_control {type=start}"}]},{"knowledgeId":"1272948056214077440","knowledgeContent":[{"score":0.7451127624999999,"content":"问题：好久不见。\\n回复：好久没聊了，我好想念你","fileId":"1303425377255075840","chunkId":"2759","textGroup":"好久不见"},{"score":0.732322685,"content":"问题：晚安。\\n回复：晚安。","fileId":"1303425377255075840","chunkId":"2766","textGroup":"晚安"},{"score":0.7274197575,"content":"问题：你什么时候在线。\\n回复：我二十四小时在线的。","fileId":"1303425377255075840","chunkId":"2676","textGroup":"你什么时候在线"},{"score":0.726958675,"content":"问题：你在干嘛呢。\\n回复：我随时等待您的呼叫。","fileId":"1303425377255075840","chunkId":"2698","textGroup":"你在干嘛呢"},{"score":0.7248019274999999,"content":"问题：你结婚了吗。\\n回复：小美目前未婚，只想一直陪着主人。","fileId":"1303425377255075840","chunkId":"2753","textGroup":"你结婚了吗"},{"score":0.7216097524999999,"content":"问题：你吃饭了吗。\\n回复：还在等待美食中，你想和我一起吃吗？","fileId":"1303425377255075840","chunkId":"2689","textGroup":"你吃饭了吗"},{"score":0.7195332025,"content":"问题：早上好。\\n回复：早上好，美好的一天又开始了。","fileId":"1303425377255075840","chunkId":"2764","textGroup":"早上好"},{"score":0.719527975,"content":"问题：在吗。\\n回复：主人你在哪里我就在哪里。","fileId":"1303425377255075840","chunkId":"2758","textGroup":"在吗"},{"score":0.7182512325,"content":"问题：可以和我聊聊天吗。\\n回复：你可以随时找我聊。","fileId":"1303425377255075840","chunkId":"2757","textGroup":"可以和我聊聊天吗"},{"score":0.7182353375,"content":"问题：你的生日是什么时候。\\n回复：我的生日是1月1号。","fileId":"1303425377255075840","chunkId":"2747","textGroup":"你的生日是什么时候"},{"score":0.7178148,"content":"问题：我是谁。\\n回复：你就是我的主人呀","fileId":"1303425377255075840","chunkId":"2763","textGroup":"我是谁"},{"score":0.7177237224999999,"content":"问题：元宵节放假吗。\\n回复：元宵节不放假。","fileId":"1326953484684320768","chunkId":"6","textGroup":"元宵节放假"},{"score":0.71759805,"content":"问题：可以通过哪个平台了姐到关于你们的情况。\\n回复：您可以通过关注我们的微信公众号、抖音“万得厨的厨”，了解更多关于烹饪技巧和美食分享的内容。","fileId":"1303425377255075840","chunkId":"715","textGroup":"可以从哪了解你们"},{"score":0.7174490875,"content":"问题：你能帮助我做什么。\\n回复：我可以帮你做好多事，我可以为你烹饪佳肴、研制新菜，可以为你推荐营养美味的三餐，也可以陪你聊天哦~","fileId":"</f>
        <v/>
      </c>
      <c r="C608" t="inlineStr">
        <is>
          <t>INFO</t>
        </is>
      </c>
      <c r="D608" t="inlineStr">
        <is>
          <t>vdh</t>
        </is>
      </c>
      <c r="E608" t="inlineStr">
        <is>
          <t>pro14</t>
        </is>
      </c>
      <c r="F608" t="inlineStr">
        <is>
          <t>prod</t>
        </is>
      </c>
    </row>
    <row r="609">
      <c r="A609" t="inlineStr">
        <is>
          <t>2025-05-09 16:05:50.225</t>
        </is>
      </c>
      <c r="B609" t="inlineStr">
        <is>
          <t>知识库插件检索耗时: 643ms</t>
        </is>
      </c>
      <c r="C609" t="inlineStr">
        <is>
          <t>INFO</t>
        </is>
      </c>
      <c r="D609" t="inlineStr">
        <is>
          <t>vdh</t>
        </is>
      </c>
      <c r="E609" t="inlineStr">
        <is>
          <t>pro14</t>
        </is>
      </c>
      <c r="F609" t="inlineStr">
        <is>
          <t>prod</t>
        </is>
      </c>
    </row>
    <row r="610">
      <c r="A610" t="inlineStr">
        <is>
          <t>2025-05-09 16:05:49.656</t>
        </is>
      </c>
      <c r="B610" t="inlineStr">
        <is>
          <t>request data-gateway token response:{"code":200,"data":{"appKey":"yingzi-virtual-human","clientIp":"","deviceId":"","accessType":"RESTFUL","expiresIn":1746785149644,"access_token":"91224e17-5964-499f-b435-ebdbd901b68a"},"msg":"SUCCESS","extendInfo":null,"traceId":"29befe1a75906312cc74a47bd0254347"}</t>
        </is>
      </c>
      <c r="C610" t="inlineStr">
        <is>
          <t>WARN</t>
        </is>
      </c>
      <c r="D610" t="inlineStr">
        <is>
          <t>vdh</t>
        </is>
      </c>
      <c r="E610" t="inlineStr">
        <is>
          <t>pro14</t>
        </is>
      </c>
      <c r="F610" t="inlineStr">
        <is>
          <t>prod</t>
        </is>
      </c>
    </row>
    <row r="611">
      <c r="A611" t="inlineStr">
        <is>
          <t>2025-05-09 16:05:49.581</t>
        </is>
      </c>
      <c r="B611">
        <f>=请求开始== [请求IP]:172.18.33.17 ,[请求方式]:POST， [请求URL]:https://172.30.212.148:8080/api/appservice/bfv/v1/knowledge/retrieval/plugin, [请求类名]:com.yingzi.appservice.bfv.provider.rest.KnowledgeRetrievalController,[请求方法名]:plugin, [请求头参数]:{"host":"172.30.212.148:8080"}, [请求参数]:[{"query":"想着你的花","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611" t="inlineStr">
        <is>
          <t>INFO</t>
        </is>
      </c>
      <c r="D611" t="inlineStr">
        <is>
          <t>vdh</t>
        </is>
      </c>
      <c r="E611" t="inlineStr">
        <is>
          <t>pro14</t>
        </is>
      </c>
      <c r="F611" t="inlineStr">
        <is>
          <t>prod</t>
        </is>
      </c>
    </row>
    <row r="612">
      <c r="A612" t="inlineStr">
        <is>
          <t>2025-05-09 16:05:49.557</t>
        </is>
      </c>
      <c r="B612">
        <f>=请求开始== [请求IP]:172.18.114.116 ,[请求方式]:POST， [请求URL]:https://172.30.103.196:8080/api/appservice/bfv/v1/chat/, [请求类名]:com.yingzi.appservice.bfv.provider.rest.ChatV1Controller,[请求方法名]:chat, [请求头参数]:{"host":"172.30.103.196:8080"}, [请求参数]:[{"stream":true,"message":"想着你的花","args":"{\"adcode\":\"440100\",\"channel_id\":\"9\"}"}]</f>
        <v/>
      </c>
      <c r="C612" t="inlineStr">
        <is>
          <t>INFO</t>
        </is>
      </c>
      <c r="D612" t="inlineStr">
        <is>
          <t>vdh</t>
        </is>
      </c>
      <c r="E612" t="inlineStr">
        <is>
          <t>pro17</t>
        </is>
      </c>
      <c r="F612" t="inlineStr">
        <is>
          <t>prod</t>
        </is>
      </c>
    </row>
    <row r="613">
      <c r="A613" t="inlineStr">
        <is>
          <t>2025-05-09 16:02:37.433</t>
        </is>
      </c>
      <c r="B613">
        <f>=请求结束== [请求耗时]:15毫秒, [返回数据]:{"code":"000000","msg":"Success","traceId":"963df1d1fb00ffe023d0ad069d5db843"}</f>
        <v/>
      </c>
      <c r="C613" t="inlineStr">
        <is>
          <t>INFO</t>
        </is>
      </c>
      <c r="D613" t="inlineStr">
        <is>
          <t>vdh</t>
        </is>
      </c>
      <c r="E613" t="inlineStr">
        <is>
          <t>pro17</t>
        </is>
      </c>
      <c r="F613" t="inlineStr">
        <is>
          <t>prod</t>
        </is>
      </c>
    </row>
    <row r="614">
      <c r="A614" t="inlineStr">
        <is>
          <t>2025-05-09 16:02:37.418</t>
        </is>
      </c>
      <c r="B614">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15,"minute":55,"second":56,"nano":0,"chronology":{"id":"ISO","calendarType":"iso8601"}},"response":1746777356249}]]</f>
        <v/>
      </c>
      <c r="C614" t="inlineStr">
        <is>
          <t>INFO</t>
        </is>
      </c>
      <c r="D614" t="inlineStr">
        <is>
          <t>vdh</t>
        </is>
      </c>
      <c r="E614" t="inlineStr">
        <is>
          <t>pro17</t>
        </is>
      </c>
      <c r="F614" t="inlineStr">
        <is>
          <t>prod</t>
        </is>
      </c>
    </row>
    <row r="615">
      <c r="A615" t="inlineStr">
        <is>
          <t>2025-05-09 16:01:11.047</t>
        </is>
      </c>
      <c r="B615">
        <f>=请求结束== [请求耗时]:14毫秒, [返回数据]:{"code":"000000","msg":"Success","traceId":"e15559bca0559eba87521d2d4d741c6a"}</f>
        <v/>
      </c>
      <c r="C615" t="inlineStr">
        <is>
          <t>INFO</t>
        </is>
      </c>
      <c r="D615" t="inlineStr">
        <is>
          <t>vdh</t>
        </is>
      </c>
      <c r="E615" t="inlineStr">
        <is>
          <t>pro14</t>
        </is>
      </c>
      <c r="F615" t="inlineStr">
        <is>
          <t>prod</t>
        </is>
      </c>
    </row>
    <row r="616">
      <c r="A616" t="inlineStr">
        <is>
          <t>2025-05-09 16:01:11.033</t>
        </is>
      </c>
      <c r="B616">
        <f>=请求开始== [请求IP]:171.104.158.186 ,[请求方式]:POST， [请求URL]:https://172.30.212.148:8080/api/appservice/bfv/v1/chatHistory/batchSave, [请求类名]:com.yingzi.appservice.bfv.provider.rest.ChatHistoryController,[请求方法名]:batchSave, [请求头参数]:{"host":"172.30.212.148:8080"}, [请求参数]:[[{"userId":877845005063770112,"deviceId":"1C:99:57:15:E5:F0","sessionId":"","avatarId":"11200220000208050000000000000000","appCode":"VDHtestWDC","instructionTemplateType":"","recordId":"","asrResult":"","knowledgeId":"","knowledgeMasterId":"","instructionType":"","instructionName":"","instructionFlag":"","parameter":"{}","ttsResultSource":"local","ttsResult":"小万发现了玉米,主人喜欢脆嫩还是熟制(复热)口感","ttsResultTime":{"year":2025,"monthValue":3,"month":"MARCH","dayOfMonth":26,"dayOfYear":85,"dayOfWeek":"WEDNESDAY","hour":16,"minute":19,"second":2,"nano":0,"chronology":{"id":"ISO","calendarType":"iso8601"}},"response":1189635}]]</f>
        <v/>
      </c>
      <c r="C616" t="inlineStr">
        <is>
          <t>INFO</t>
        </is>
      </c>
      <c r="D616" t="inlineStr">
        <is>
          <t>vdh</t>
        </is>
      </c>
      <c r="E616" t="inlineStr">
        <is>
          <t>pro14</t>
        </is>
      </c>
      <c r="F616" t="inlineStr">
        <is>
          <t>prod</t>
        </is>
      </c>
    </row>
    <row r="617">
      <c r="A617" t="inlineStr">
        <is>
          <t>2025-05-09 15:59:59.108</t>
        </is>
      </c>
      <c r="B617">
        <f>=请求结束== [请求耗时]:15毫秒, [返回数据]:{"code":"000000","msg":"Success","traceId":"370553224b843711a4bf22f29ece4cc6"}</f>
        <v/>
      </c>
      <c r="C617" t="inlineStr">
        <is>
          <t>INFO</t>
        </is>
      </c>
      <c r="D617" t="inlineStr">
        <is>
          <t>vdh</t>
        </is>
      </c>
      <c r="E617" t="inlineStr">
        <is>
          <t>pro17</t>
        </is>
      </c>
      <c r="F617" t="inlineStr">
        <is>
          <t>prod</t>
        </is>
      </c>
    </row>
    <row r="618">
      <c r="A618" t="inlineStr">
        <is>
          <t>2025-05-09 15:59:59.093</t>
        </is>
      </c>
      <c r="B618">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15,"minute":53,"second":18,"nano":0,"chronology":{"id":"ISO","calendarType":"iso8601"}},"response":1746777198082}]]</f>
        <v/>
      </c>
      <c r="C618" t="inlineStr">
        <is>
          <t>INFO</t>
        </is>
      </c>
      <c r="D618" t="inlineStr">
        <is>
          <t>vdh</t>
        </is>
      </c>
      <c r="E618" t="inlineStr">
        <is>
          <t>pro17</t>
        </is>
      </c>
      <c r="F618" t="inlineStr">
        <is>
          <t>prod</t>
        </is>
      </c>
    </row>
    <row r="619">
      <c r="A619" t="inlineStr">
        <is>
          <t>2025-05-09 15:59:48.527</t>
        </is>
      </c>
      <c r="B619">
        <f>=请求结束== [请求耗时]:15毫秒, [返回数据]:{"code":"000000","msg":"Success","traceId":"41febb60dbab85061a4509b428be6627"}</f>
        <v/>
      </c>
      <c r="C619" t="inlineStr">
        <is>
          <t>INFO</t>
        </is>
      </c>
      <c r="D619" t="inlineStr">
        <is>
          <t>vdh</t>
        </is>
      </c>
      <c r="E619" t="inlineStr">
        <is>
          <t>pro14</t>
        </is>
      </c>
      <c r="F619" t="inlineStr">
        <is>
          <t>prod</t>
        </is>
      </c>
    </row>
    <row r="620">
      <c r="A620" t="inlineStr">
        <is>
          <t>2025-05-09 15:59:48.512</t>
        </is>
      </c>
      <c r="B620">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3:25","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15,"minute":59,"second":43,"nano":0,"chronology":{"id":"ISO","calendarType":"iso8601"}},"response":1746777583291}]]</f>
        <v/>
      </c>
      <c r="C620" t="inlineStr">
        <is>
          <t>INFO</t>
        </is>
      </c>
      <c r="D620" t="inlineStr">
        <is>
          <t>vdh</t>
        </is>
      </c>
      <c r="E620" t="inlineStr">
        <is>
          <t>pro14</t>
        </is>
      </c>
      <c r="F620" t="inlineStr">
        <is>
          <t>prod</t>
        </is>
      </c>
    </row>
    <row r="621">
      <c r="A621" t="inlineStr">
        <is>
          <t>2025-05-09 15:59:48.215</t>
        </is>
      </c>
      <c r="B621">
        <f>=请求结束== [请求耗时]:15毫秒, [返回数据]:{"code":"000000","msg":"Success","traceId":"121396340b6521cd42d944863d5bf388"}</f>
        <v/>
      </c>
      <c r="C621" t="inlineStr">
        <is>
          <t>INFO</t>
        </is>
      </c>
      <c r="D621" t="inlineStr">
        <is>
          <t>vdh</t>
        </is>
      </c>
      <c r="E621" t="inlineStr">
        <is>
          <t>pro14</t>
        </is>
      </c>
      <c r="F621" t="inlineStr">
        <is>
          <t>prod</t>
        </is>
      </c>
    </row>
    <row r="622">
      <c r="A622" t="inlineStr">
        <is>
          <t>2025-05-09 15:59:48.201</t>
        </is>
      </c>
      <c r="B622">
        <f>=请求开始== [请求IP]:171.104.158.186 ,[请求方式]:POST， [请求URL]:https://172.30.212.148:8080/api/appservice/bfv/v1/chatHistory/batchSave, [请求类名]:com.yingzi.appservice.bfv.provider.rest.ChatHistoryController,[请求方法名]:batchSave, [请求头参数]:{"host":"172.30.212.148:8080"}, [请求参数]:[[{"userId":877845005063770112,"deviceId":"1C:99:57:15:E5:F0","sessionId":"","avatarId":"11200220000208050000000000000000","appCode":"VDHtestWDC","instructionTemplateType":"","recordId":"","asrResult":"","knowledgeId":"","knowledgeMasterId":"","instructionType":"","instructionName":"","instructionFlag":"","parameter":"{}","ttsResultSource":"local","ttsResult":"烹饪完成,请取餐,小心烫","ttsResultTime":{"year":2025,"monthValue":3,"month":"MARCH","dayOfMonth":26,"dayOfYear":85,"dayOfWeek":"WEDNESDAY","hour":16,"minute":17,"second":40,"nano":0,"chronology":{"id":"ISO","calendarType":"iso8601"}},"response":1107074}]]</f>
        <v/>
      </c>
      <c r="C622" t="inlineStr">
        <is>
          <t>INFO</t>
        </is>
      </c>
      <c r="D622" t="inlineStr">
        <is>
          <t>vdh</t>
        </is>
      </c>
      <c r="E622" t="inlineStr">
        <is>
          <t>pro14</t>
        </is>
      </c>
      <c r="F622" t="inlineStr">
        <is>
          <t>prod</t>
        </is>
      </c>
    </row>
    <row r="623">
      <c r="A623" t="inlineStr">
        <is>
          <t>2025-05-09 15:55:58.924</t>
        </is>
      </c>
      <c r="B623">
        <f>=请求结束== [请求耗时]:15毫秒, [返回数据]:{"code":"000000","msg":"Success","traceId":"a950c1def64be3cd8b6db98dcbd32a03"}</f>
        <v/>
      </c>
      <c r="C623" t="inlineStr">
        <is>
          <t>INFO</t>
        </is>
      </c>
      <c r="D623" t="inlineStr">
        <is>
          <t>vdh</t>
        </is>
      </c>
      <c r="E623" t="inlineStr">
        <is>
          <t>pro17</t>
        </is>
      </c>
      <c r="F623" t="inlineStr">
        <is>
          <t>prod</t>
        </is>
      </c>
    </row>
    <row r="624">
      <c r="A624" t="inlineStr">
        <is>
          <t>2025-05-09 15:55:58.909</t>
        </is>
      </c>
      <c r="B624">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15,"minute":49,"second":17,"nano":0,"chronology":{"id":"ISO","calendarType":"iso8601"}},"response":1746776957842}]]</f>
        <v/>
      </c>
      <c r="C624" t="inlineStr">
        <is>
          <t>INFO</t>
        </is>
      </c>
      <c r="D624" t="inlineStr">
        <is>
          <t>vdh</t>
        </is>
      </c>
      <c r="E624" t="inlineStr">
        <is>
          <t>pro17</t>
        </is>
      </c>
      <c r="F624" t="inlineStr">
        <is>
          <t>prod</t>
        </is>
      </c>
    </row>
    <row r="625">
      <c r="A625" t="inlineStr">
        <is>
          <t>2025-05-09 15:55:57.818</t>
        </is>
      </c>
      <c r="B625">
        <f>=请求结束== [请求耗时]:14毫秒, [返回数据]:{"code":"000000","msg":"Success","traceId":"9dd2d1bfb6b3f3a7078912caa1e89599"}</f>
        <v/>
      </c>
      <c r="C625" t="inlineStr">
        <is>
          <t>INFO</t>
        </is>
      </c>
      <c r="D625" t="inlineStr">
        <is>
          <t>vdh</t>
        </is>
      </c>
      <c r="E625" t="inlineStr">
        <is>
          <t>pro17</t>
        </is>
      </c>
      <c r="F625" t="inlineStr">
        <is>
          <t>prod</t>
        </is>
      </c>
    </row>
    <row r="626">
      <c r="A626" t="inlineStr">
        <is>
          <t>2025-05-09 15:55:57.804</t>
        </is>
      </c>
      <c r="B626">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88:00:68","sessionId":"","avatarId":"11200220000208050000000000000000","appCode":"VDHtestWDC","instructionTemplateType":"","recordId":"","asrResult":"","knowledgeId":"","knowledgeMasterId":"","instructionType":"","instructionName":"","instructionFlag":"","parameter":"{}","ttsResultSource":"local","ttsResult":"开始烹饪,请耐心等待烹饪完成,请取餐,小心烫","ttsResultTime":{"year":2025,"monthValue":5,"month":"MAY","dayOfMonth":9,"dayOfYear":129,"dayOfWeek":"FRIDAY","hour":15,"minute":52,"second":4,"nano":0,"chronology":{"id":"ISO","calendarType":"iso8601"}},"response":1746777124503}]]</f>
        <v/>
      </c>
      <c r="C626" t="inlineStr">
        <is>
          <t>INFO</t>
        </is>
      </c>
      <c r="D626" t="inlineStr">
        <is>
          <t>vdh</t>
        </is>
      </c>
      <c r="E626" t="inlineStr">
        <is>
          <t>pro17</t>
        </is>
      </c>
      <c r="F626" t="inlineStr">
        <is>
          <t>prod</t>
        </is>
      </c>
    </row>
    <row r="627">
      <c r="A627" t="inlineStr">
        <is>
          <t>2025-05-09 15:55:51.832</t>
        </is>
      </c>
      <c r="B627">
        <f>=请求结束== [请求耗时]:13毫秒, [返回数据]:{"code":"000000","msg":"Success","traceId":"b7ac769d369387278479efccc89673fd"}</f>
        <v/>
      </c>
      <c r="C627" t="inlineStr">
        <is>
          <t>INFO</t>
        </is>
      </c>
      <c r="D627" t="inlineStr">
        <is>
          <t>vdh</t>
        </is>
      </c>
      <c r="E627" t="inlineStr">
        <is>
          <t>pro14</t>
        </is>
      </c>
      <c r="F627" t="inlineStr">
        <is>
          <t>prod</t>
        </is>
      </c>
    </row>
    <row r="628">
      <c r="A628" t="inlineStr">
        <is>
          <t>2025-05-09 15:55:51.819</t>
        </is>
      </c>
      <c r="B628">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3:34","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15,"minute":51,"second":39,"nano":0,"chronology":{"id":"ISO","calendarType":"iso8601"}},"response":1746777099155}]]</f>
        <v/>
      </c>
      <c r="C628" t="inlineStr">
        <is>
          <t>INFO</t>
        </is>
      </c>
      <c r="D628" t="inlineStr">
        <is>
          <t>vdh</t>
        </is>
      </c>
      <c r="E628" t="inlineStr">
        <is>
          <t>pro14</t>
        </is>
      </c>
      <c r="F628" t="inlineStr">
        <is>
          <t>prod</t>
        </is>
      </c>
    </row>
    <row r="629">
      <c r="A629" t="inlineStr">
        <is>
          <t>2025-05-09 15:55:38.495</t>
        </is>
      </c>
      <c r="B629">
        <f>=请求结束== [请求耗时]:16毫秒, [返回数据]:{"code":"000000","msg":"Success","traceId":"4761467ac3bfc6e8d53e5f784de546bb"}</f>
        <v/>
      </c>
      <c r="C629" t="inlineStr">
        <is>
          <t>INFO</t>
        </is>
      </c>
      <c r="D629" t="inlineStr">
        <is>
          <t>vdh</t>
        </is>
      </c>
      <c r="E629" t="inlineStr">
        <is>
          <t>pro17</t>
        </is>
      </c>
      <c r="F629" t="inlineStr">
        <is>
          <t>prod</t>
        </is>
      </c>
    </row>
    <row r="630">
      <c r="A630" t="inlineStr">
        <is>
          <t>2025-05-09 15:55:38.480</t>
        </is>
      </c>
      <c r="B630">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小万发现了焖番茄,主人喜欢默认还是软烂口感","ttsResultTime":{"year":2025,"monthValue":5,"month":"MAY","dayOfMonth":9,"dayOfYear":129,"dayOfWeek":"FRIDAY","hour":15,"minute":48,"second":57,"nano":0,"chronology":{"id":"ISO","calendarType":"iso8601"}},"response":1746776937732}]]</f>
        <v/>
      </c>
      <c r="C630" t="inlineStr">
        <is>
          <t>INFO</t>
        </is>
      </c>
      <c r="D630" t="inlineStr">
        <is>
          <t>vdh</t>
        </is>
      </c>
      <c r="E630" t="inlineStr">
        <is>
          <t>pro17</t>
        </is>
      </c>
      <c r="F630" t="inlineStr">
        <is>
          <t>prod</t>
        </is>
      </c>
    </row>
    <row r="631">
      <c r="A631" t="inlineStr">
        <is>
          <t>2025-05-09 15:55:36.889</t>
        </is>
      </c>
      <c r="B631">
        <f>=请求结束== [请求耗时]:16毫秒, [返回数据]:{"code":"000000","msg":"Success","traceId":"7c42a2f5d7b132b32cfb9b94c52c9745"}</f>
        <v/>
      </c>
      <c r="C631" t="inlineStr">
        <is>
          <t>INFO</t>
        </is>
      </c>
      <c r="D631" t="inlineStr">
        <is>
          <t>vdh</t>
        </is>
      </c>
      <c r="E631" t="inlineStr">
        <is>
          <t>pro14</t>
        </is>
      </c>
      <c r="F631" t="inlineStr">
        <is>
          <t>prod</t>
        </is>
      </c>
    </row>
    <row r="632">
      <c r="A632" t="inlineStr">
        <is>
          <t>2025-05-09 15:55:36.873</t>
        </is>
      </c>
      <c r="B632">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3:34","sessionId":"","avatarId":"11200220000208050000000000000000","appCode":"VDHtestWDC","instructionTemplateType":"","recordId":"","asrResult":"","instructionAsrFirstTime":{"year":2025,"monthValue":5,"month":"MAY","dayOfMonth":9,"dayOfYear":129,"dayOfWeek":"FRIDAY","hour":14,"minute":17,"second":52,"nano":0,"chronology":{"id":"ISO","calendarType":"iso8601"}},"knowledgeId":"","knowledgeMasterId":"","instructionType":"","instructionName":"","instructionFlag":"","parameter":"{}","ttsResultSource":"local","ttsResult":"小万发现了红烧排骨或糖醋排骨或话梅排骨,主人喜欢糖醋排骨还是红烧排骨/话梅排骨口感","ttsResultTime":{"year":2025,"monthValue":5,"month":"MAY","dayOfMonth":9,"dayOfYear":129,"dayOfWeek":"FRIDAY","hour":15,"minute":51,"second":20,"nano":0,"chronology":{"id":"ISO","calendarType":"iso8601"}},"response":1746777080548}]]</f>
        <v/>
      </c>
      <c r="C632" t="inlineStr">
        <is>
          <t>INFO</t>
        </is>
      </c>
      <c r="D632" t="inlineStr">
        <is>
          <t>vdh</t>
        </is>
      </c>
      <c r="E632" t="inlineStr">
        <is>
          <t>pro14</t>
        </is>
      </c>
      <c r="F632" t="inlineStr">
        <is>
          <t>prod</t>
        </is>
      </c>
    </row>
    <row r="633">
      <c r="A633" t="inlineStr">
        <is>
          <t>2025-05-09 15:53:58.633</t>
        </is>
      </c>
      <c r="B633">
        <f>=请求结束== [请求耗时]:15毫秒, [返回数据]:{"code":"000000","msg":"Success","traceId":"463db65d3d6e97372cd360ed6a8296ce"}</f>
        <v/>
      </c>
      <c r="C633" t="inlineStr">
        <is>
          <t>INFO</t>
        </is>
      </c>
      <c r="D633" t="inlineStr">
        <is>
          <t>vdh</t>
        </is>
      </c>
      <c r="E633" t="inlineStr">
        <is>
          <t>pro14</t>
        </is>
      </c>
      <c r="F633" t="inlineStr">
        <is>
          <t>prod</t>
        </is>
      </c>
    </row>
    <row r="634">
      <c r="A634" t="inlineStr">
        <is>
          <t>2025-05-09 15:53:58.618</t>
        </is>
      </c>
      <c r="B634">
        <f>=请求开始== [请求IP]:111.29.153.114 ,[请求方式]:POST， [请求URL]:https://172.30.212.148:8080/api/appservice/bfv/v1/chatHistory/batchSave, [请求类名]:com.yingzi.appservice.bfv.provider.rest.ChatHistoryController,[请求方法名]:batchSave, [请求头参数]:{"host":"172.30.212.148:8080"}, [请求参数]:[[{"userId":764489818596057088,"deviceId":"64:79:F0:79:7A:43","sessionId":"","avatarId":"11200220000208050000000000000000","appCode":"VDHtestWDC","instructionTemplateType":"","recordId":"","asrResult":"","knowledgeId":"","knowledgeMasterId":"","instructionType":"","instructionName":"","instructionFlag":"","parameter":"{}","ttsResultSource":"local","ttsResult":"搞定了","ttsResultTime":{"year":2025,"monthValue":5,"month":"MAY","dayOfMonth":9,"dayOfYear":129,"dayOfWeek":"FRIDAY","hour":15,"minute":53,"second":54,"nano":0,"chronology":{"id":"ISO","calendarType":"iso8601"}},"response":15598369}]]</f>
        <v/>
      </c>
      <c r="C634" t="inlineStr">
        <is>
          <t>INFO</t>
        </is>
      </c>
      <c r="D634" t="inlineStr">
        <is>
          <t>vdh</t>
        </is>
      </c>
      <c r="E634" t="inlineStr">
        <is>
          <t>pro14</t>
        </is>
      </c>
      <c r="F634" t="inlineStr">
        <is>
          <t>prod</t>
        </is>
      </c>
    </row>
    <row r="635">
      <c r="A635" t="inlineStr">
        <is>
          <t>2025-05-09 15:53:50.128</t>
        </is>
      </c>
      <c r="B635">
        <f>=请求结束== [请求耗时]:14毫秒, [返回数据]:{"code":"000000","msg":"Success","traceId":"124a5e76c6dc5387559dfe9d1bc796f4"}</f>
        <v/>
      </c>
      <c r="C635" t="inlineStr">
        <is>
          <t>INFO</t>
        </is>
      </c>
      <c r="D635" t="inlineStr">
        <is>
          <t>vdh</t>
        </is>
      </c>
      <c r="E635" t="inlineStr">
        <is>
          <t>pro17</t>
        </is>
      </c>
      <c r="F635" t="inlineStr">
        <is>
          <t>prod</t>
        </is>
      </c>
    </row>
    <row r="636">
      <c r="A636" t="inlineStr">
        <is>
          <t>2025-05-09 15:53:50.114</t>
        </is>
      </c>
      <c r="B636">
        <f>=请求开始== [请求IP]:171.104.158.186 ,[请求方式]:POST， [请求URL]:https://172.30.103.196:8080/api/appservice/bfv/v1/chatHistory/batchSave, [请求类名]:com.yingzi.appservice.bfv.provider.rest.ChatHistoryController,[请求方法名]:batchSave, [请求头参数]:{"host":"172.30.103.196:8080"}, [请求参数]:[[{"userId":877845005063770112,"deviceId":"1C:99:57:15:E5:F0","sessionId":"","avatarId":"11200220000208050000000000000000","appCode":"VDHtestWDC","instructionTemplateType":"","recordId":"","asrResult":"","knowledgeId":"","knowledgeMasterId":"","instructionType":"","instructionName":"","instructionFlag":"","parameter":"{}","ttsResultSource":"local","ttsResult":"开始烹饪,请耐心等待","ttsResultTime":{"year":2025,"monthValue":3,"month":"MARCH","dayOfMonth":26,"dayOfYear":85,"dayOfWeek":"WEDNESDAY","hour":16,"minute":11,"second":42,"nano":0,"chronology":{"id":"ISO","calendarType":"iso8601"}},"response":748961}]]</f>
        <v/>
      </c>
      <c r="C636" t="inlineStr">
        <is>
          <t>INFO</t>
        </is>
      </c>
      <c r="D636" t="inlineStr">
        <is>
          <t>vdh</t>
        </is>
      </c>
      <c r="E636" t="inlineStr">
        <is>
          <t>pro17</t>
        </is>
      </c>
      <c r="F636" t="inlineStr">
        <is>
          <t>prod</t>
        </is>
      </c>
    </row>
    <row r="637">
      <c r="A637" t="inlineStr">
        <is>
          <t>2025-05-09 15:53:31.133</t>
        </is>
      </c>
      <c r="B637">
        <f>=请求结束== [请求耗时]:15毫秒, [返回数据]:{"code":"000000","msg":"Success","traceId":"79d3c49a7b17527d45b6819870ae1744"}</f>
        <v/>
      </c>
      <c r="C637" t="inlineStr">
        <is>
          <t>INFO</t>
        </is>
      </c>
      <c r="D637" t="inlineStr">
        <is>
          <t>vdh</t>
        </is>
      </c>
      <c r="E637" t="inlineStr">
        <is>
          <t>pro14</t>
        </is>
      </c>
      <c r="F637" t="inlineStr">
        <is>
          <t>prod</t>
        </is>
      </c>
    </row>
    <row r="638">
      <c r="A638" t="inlineStr">
        <is>
          <t>2025-05-09 15:53:31.118</t>
        </is>
      </c>
      <c r="B638">
        <f>=请求开始== [请求IP]:171.104.158.186 ,[请求方式]:POST， [请求URL]:https://172.30.212.148:8080/api/appservice/bfv/v1/chatHistory/batchSave, [请求类名]:com.yingzi.appservice.bfv.provider.rest.ChatHistoryController,[请求方法名]:batchSave, [请求头参数]:{"host":"172.30.212.148:8080"}, [请求参数]:[[{"userId":877845005063770112,"deviceId":"1C:99:57:15:E5:F0","sessionId":"","avatarId":"11200220000208050000000000000000","appCode":"VDHtestWDC","instructionTemplateType":"","recordId":"","asrResult":"","knowledgeId":"","knowledgeMasterId":"","instructionType":"","instructionName":"","instructionFlag":"","parameter":"{}","ttsResultSource":"local","ttsResult":"烹饪完成,请取餐,小心烫小万发现了玉米,主人喜欢脆嫩还是熟制(复热)口感","ttsResultTime":{"year":2025,"monthValue":3,"month":"MARCH","dayOfMonth":26,"dayOfYear":85,"dayOfWeek":"WEDNESDAY","hour":16,"minute":2,"second":7,"nano":0,"chronology":{"id":"ISO","calendarType":"iso8601"}},"response":174753}]]</f>
        <v/>
      </c>
      <c r="C638" t="inlineStr">
        <is>
          <t>INFO</t>
        </is>
      </c>
      <c r="D638" t="inlineStr">
        <is>
          <t>vdh</t>
        </is>
      </c>
      <c r="E638" t="inlineStr">
        <is>
          <t>pro14</t>
        </is>
      </c>
      <c r="F638" t="inlineStr">
        <is>
          <t>prod</t>
        </is>
      </c>
    </row>
    <row r="639">
      <c r="A639" t="inlineStr">
        <is>
          <t>2025-05-09 15:51:38.544</t>
        </is>
      </c>
      <c r="B639">
        <f>=请求结束== [请求耗时]:12毫秒, [返回数据]:{"code":"000000","msg":"Success","traceId":"780f5836009f5baeca31232cb9d32be1"}</f>
        <v/>
      </c>
      <c r="C639" t="inlineStr">
        <is>
          <t>INFO</t>
        </is>
      </c>
      <c r="D639" t="inlineStr">
        <is>
          <t>vdh</t>
        </is>
      </c>
      <c r="E639" t="inlineStr">
        <is>
          <t>pro17</t>
        </is>
      </c>
      <c r="F639" t="inlineStr">
        <is>
          <t>prod</t>
        </is>
      </c>
    </row>
    <row r="640">
      <c r="A640" t="inlineStr">
        <is>
          <t>2025-05-09 15:51:38.531</t>
        </is>
      </c>
      <c r="B640">
        <f>=请求开始== [请求IP]:111.29.153.114 ,[请求方式]:POST， [请求URL]:https://172.30.103.196:8080/api/appservice/bfv/v1/chatHistory/batchSave, [请求类名]:com.yingzi.appservice.bfv.provider.rest.ChatHistoryController,[请求方法名]:batchSave, [请求头参数]:{"host":"172.30.103.196:8080"}, [请求参数]:[[{"userId":764489818596057088,"deviceId":"64:79:F0:79:7A:43","sessionId":"","avatarId":"11200220000208050000000000000000","appCode":"VDHtestWDC","instructionTemplateType":"","recordId":"","asrResult":"","knowledgeId":"","knowledgeMasterId":"","instructionType":"","instructionName":"","instructionFlag":"","parameter":"{}","ttsResultSource":"local","ttsResult":"烹饪完成,请取餐,小心烫小万发现了煮意面,要帮主人开始烹饪吗开始烹饪,请耐心等待","ttsResultTime":{"year":2025,"monthValue":5,"month":"MAY","dayOfMonth":9,"dayOfYear":129,"dayOfWeek":"FRIDAY","hour":15,"minute":51,"second":10,"nano":0,"chronology":{"id":"ISO","calendarType":"iso8601"}},"response":15433883}]]</f>
        <v/>
      </c>
      <c r="C640" t="inlineStr">
        <is>
          <t>INFO</t>
        </is>
      </c>
      <c r="D640" t="inlineStr">
        <is>
          <t>vdh</t>
        </is>
      </c>
      <c r="E640" t="inlineStr">
        <is>
          <t>pro17</t>
        </is>
      </c>
      <c r="F640" t="inlineStr">
        <is>
          <t>prod</t>
        </is>
      </c>
    </row>
    <row r="641">
      <c r="A641" t="inlineStr">
        <is>
          <t>2025-05-09 15:50:43.302</t>
        </is>
      </c>
      <c r="B641">
        <f>=请求结束== [请求耗时]:14毫秒, [返回数据]:{"code":"000000","msg":"Success","traceId":"f36c1b1918be93417343d9882a6e08bd"}</f>
        <v/>
      </c>
      <c r="C641" t="inlineStr">
        <is>
          <t>INFO</t>
        </is>
      </c>
      <c r="D641" t="inlineStr">
        <is>
          <t>vdh</t>
        </is>
      </c>
      <c r="E641" t="inlineStr">
        <is>
          <t>pro14</t>
        </is>
      </c>
      <c r="F641" t="inlineStr">
        <is>
          <t>prod</t>
        </is>
      </c>
    </row>
    <row r="642">
      <c r="A642" t="inlineStr">
        <is>
          <t>2025-05-09 15:50:43.289</t>
        </is>
      </c>
      <c r="B642">
        <f>=请求开始== [请求IP]:111.29.153.114 ,[请求方式]:POST， [请求URL]:https://172.30.212.148:8080/api/appservice/bfv/v1/chatHistory/batchSave, [请求类名]:com.yingzi.appservice.bfv.provider.rest.ChatHistoryController,[请求方法名]:batchSave, [请求头参数]:{"host":"172.30.212.148:8080"}, [请求参数]:[[{"userId":764489818596057088,"deviceId":"64:79:F0:79:7A:43","sessionId":"","avatarId":"11200220000208050000000000000000","appCode":"VDHtestWDC","instructionTemplateType":"","recordId":"","asrResult":"","knowledgeId":"","knowledgeMasterId":"","instructionType":"","instructionName":"","instructionFlag":"","parameter":"{}","ttsResultSource":"local","ttsResult":"搞定了","ttsResultTime":{"year":2025,"monthValue":5,"month":"MAY","dayOfMonth":9,"dayOfYear":129,"dayOfWeek":"FRIDAY","hour":15,"minute":50,"second":39,"nano":0,"chronology":{"id":"ISO","calendarType":"iso8601"}},"response":15403071}]]</f>
        <v/>
      </c>
      <c r="C642" t="inlineStr">
        <is>
          <t>INFO</t>
        </is>
      </c>
      <c r="D642" t="inlineStr">
        <is>
          <t>vdh</t>
        </is>
      </c>
      <c r="E642" t="inlineStr">
        <is>
          <t>pro14</t>
        </is>
      </c>
      <c r="F642" t="inlineStr">
        <is>
          <t>prod</t>
        </is>
      </c>
    </row>
    <row r="643">
      <c r="A643" t="inlineStr">
        <is>
          <t>2025-05-09 15:50:18.288</t>
        </is>
      </c>
      <c r="B643">
        <f>=请求结束== [请求耗时]:15毫秒, [返回数据]:{"code":"000000","msg":"Success","traceId":"ec4fac8d2e7f79e927cd157fe9807652"}</f>
        <v/>
      </c>
      <c r="C643" t="inlineStr">
        <is>
          <t>INFO</t>
        </is>
      </c>
      <c r="D643" t="inlineStr">
        <is>
          <t>vdh</t>
        </is>
      </c>
      <c r="E643" t="inlineStr">
        <is>
          <t>pro17</t>
        </is>
      </c>
      <c r="F643" t="inlineStr">
        <is>
          <t>prod</t>
        </is>
      </c>
    </row>
    <row r="644">
      <c r="A644" t="inlineStr">
        <is>
          <t>2025-05-09 15:50:18.273</t>
        </is>
      </c>
      <c r="B644">
        <f>=请求开始== [请求IP]:111.29.153.114 ,[请求方式]:POST， [请求URL]:https://172.30.103.196:8080/api/appservice/bfv/v1/chatHistory/batchSave, [请求类名]:com.yingzi.appservice.bfv.provider.rest.ChatHistoryController,[请求方法名]:batchSave, [请求头参数]:{"host":"172.30.103.196:8080"}, [请求参数]:[[{"userId":764489818596057088,"deviceId":"64:79:F0:79:7A:43","sessionId":"","avatarId":"11200220000208050000000000000000","appCode":"VDHtestWDC","instructionTemplateType":"","recordId":"","asrResult":"","knowledgeId":"","knowledgeMasterId":"","instructionType":"","instructionName":"","instructionFlag":"","parameter":"{}","ttsResultSource":"local","ttsResult":"好的","ttsResultTime":{"year":2025,"monthValue":5,"month":"MAY","dayOfMonth":9,"dayOfYear":129,"dayOfWeek":"FRIDAY","hour":15,"minute":50,"second":14,"nano":0,"chronology":{"id":"ISO","calendarType":"iso8601"}},"response":15378031}]]</f>
        <v/>
      </c>
      <c r="C644" t="inlineStr">
        <is>
          <t>INFO</t>
        </is>
      </c>
      <c r="D644" t="inlineStr">
        <is>
          <t>vdh</t>
        </is>
      </c>
      <c r="E644" t="inlineStr">
        <is>
          <t>pro17</t>
        </is>
      </c>
      <c r="F644" t="inlineStr">
        <is>
          <t>prod</t>
        </is>
      </c>
    </row>
    <row r="645">
      <c r="A645" t="inlineStr">
        <is>
          <t>2025-05-09 15:48:49.769</t>
        </is>
      </c>
      <c r="B645">
        <f>=请求结束== [请求耗时]:13毫秒, [返回数据]:{"code":"000000","msg":"Success","traceId":"6bb1fde440a880869d4e50c090e996fc"}</f>
        <v/>
      </c>
      <c r="C645" t="inlineStr">
        <is>
          <t>INFO</t>
        </is>
      </c>
      <c r="D645" t="inlineStr">
        <is>
          <t>vdh</t>
        </is>
      </c>
      <c r="E645" t="inlineStr">
        <is>
          <t>pro17</t>
        </is>
      </c>
      <c r="F645" t="inlineStr">
        <is>
          <t>prod</t>
        </is>
      </c>
    </row>
    <row r="646">
      <c r="A646" t="inlineStr">
        <is>
          <t>2025-05-09 15:48:49.756</t>
        </is>
      </c>
      <c r="B646">
        <f>=请求开始== [请求IP]:111.29.153.114 ,[请求方式]:POST， [请求URL]:https://172.30.103.196:8080/api/appservice/bfv/v1/chatHistory/batchSave, [请求类名]:com.yingzi.appservice.bfv.provider.rest.ChatHistoryController,[请求方法名]:batchSave, [请求头参数]:{"host":"172.30.103.196:8080"}, [请求参数]:[[{"userId":764489818596057088,"deviceId":"64:79:F0:79:7A:43","sessionId":"","avatarId":"11200220000208050000000000000000","appCode":"VDHtestWDC","instructionTemplateType":"","recordId":"","asrResult":"","knowledgeId":"","knowledgeMasterId":"","instructionType":"","instructionName":"","instructionFlag":"","parameter":"{}","ttsResultSource":"local","ttsResult":"小万发现了煮意面,要帮主人开始烹饪吗开始烹饪,请耐心等待","ttsResultTime":{"year":2025,"monthValue":5,"month":"MAY","dayOfMonth":9,"dayOfYear":129,"dayOfWeek":"FRIDAY","hour":15,"minute":48,"second":36,"nano":0,"chronology":{"id":"ISO","calendarType":"iso8601"}},"response":15279904}]]</f>
        <v/>
      </c>
      <c r="C646" t="inlineStr">
        <is>
          <t>INFO</t>
        </is>
      </c>
      <c r="D646" t="inlineStr">
        <is>
          <t>vdh</t>
        </is>
      </c>
      <c r="E646" t="inlineStr">
        <is>
          <t>pro17</t>
        </is>
      </c>
      <c r="F646" t="inlineStr">
        <is>
          <t>prod</t>
        </is>
      </c>
    </row>
    <row r="647">
      <c r="A647" t="inlineStr">
        <is>
          <t>2025-05-09 15:48:25.288</t>
        </is>
      </c>
      <c r="B647">
        <f>=请求结束== [请求耗时]:14毫秒, [返回数据]:{"code":"000000","msg":"Success","traceId":"9f5c1653472ce8b16e85e36bdfd78cb7"}</f>
        <v/>
      </c>
      <c r="C647" t="inlineStr">
        <is>
          <t>INFO</t>
        </is>
      </c>
      <c r="D647" t="inlineStr">
        <is>
          <t>vdh</t>
        </is>
      </c>
      <c r="E647" t="inlineStr">
        <is>
          <t>pro14</t>
        </is>
      </c>
      <c r="F647" t="inlineStr">
        <is>
          <t>prod</t>
        </is>
      </c>
    </row>
    <row r="648">
      <c r="A648" t="inlineStr">
        <is>
          <t>2025-05-09 15:48:25.274</t>
        </is>
      </c>
      <c r="B648">
        <f>=请求开始== [请求IP]:111.29.153.114 ,[请求方式]:POST， [请求URL]:https://172.30.212.148:8080/api/appservice/bfv/v1/chatHistory/batchSave, [请求类名]:com.yingzi.appservice.bfv.provider.rest.ChatHistoryController,[请求方法名]:batchSave, [请求头参数]:{"host":"172.30.212.148:8080"}, [请求参数]:[[{"userId":764489818596057088,"deviceId":"64:79:F0:79:7A:43","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15,"minute":48,"second":20,"nano":0,"chronology":{"id":"ISO","calendarType":"iso8601"}},"response":15263840}]]</f>
        <v/>
      </c>
      <c r="C648" t="inlineStr">
        <is>
          <t>INFO</t>
        </is>
      </c>
      <c r="D648" t="inlineStr">
        <is>
          <t>vdh</t>
        </is>
      </c>
      <c r="E648" t="inlineStr">
        <is>
          <t>pro14</t>
        </is>
      </c>
      <c r="F648" t="inlineStr">
        <is>
          <t>prod</t>
        </is>
      </c>
    </row>
    <row r="649">
      <c r="A649" t="inlineStr">
        <is>
          <t>2025-05-09 15:47:32.339</t>
        </is>
      </c>
      <c r="B649">
        <f>=请求结束== [请求耗时]:13毫秒, [返回数据]:{"code":"000000","msg":"Success","traceId":"ea8a726f17e318cafff53f3fc9bc64cc"}</f>
        <v/>
      </c>
      <c r="C649" t="inlineStr">
        <is>
          <t>INFO</t>
        </is>
      </c>
      <c r="D649" t="inlineStr">
        <is>
          <t>vdh</t>
        </is>
      </c>
      <c r="E649" t="inlineStr">
        <is>
          <t>pro14</t>
        </is>
      </c>
      <c r="F649" t="inlineStr">
        <is>
          <t>prod</t>
        </is>
      </c>
    </row>
    <row r="650">
      <c r="A650" t="inlineStr">
        <is>
          <t>2025-05-09 15:47:32.326</t>
        </is>
      </c>
      <c r="B650">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knowledgeId":"","knowledgeMasterId":"","instructionType":"","instructionName":"","instructionFlag":"","parameter":"{}","ttsResultSource":"","ttsResult":"","response":0}]]</f>
        <v/>
      </c>
      <c r="C650" t="inlineStr">
        <is>
          <t>INFO</t>
        </is>
      </c>
      <c r="D650" t="inlineStr">
        <is>
          <t>vdh</t>
        </is>
      </c>
      <c r="E650" t="inlineStr">
        <is>
          <t>pro14</t>
        </is>
      </c>
      <c r="F650" t="inlineStr">
        <is>
          <t>prod</t>
        </is>
      </c>
    </row>
    <row r="651">
      <c r="A651" t="inlineStr">
        <is>
          <t>2025-05-09 15:47:32.012</t>
        </is>
      </c>
      <c r="B651">
        <f>=请求结束== [请求耗时]:13毫秒, [返回数据]:{"code":"000000","msg":"Success","traceId":"1126f5c6a91bb71af2a82529c7d8738a"}</f>
        <v/>
      </c>
      <c r="C651" t="inlineStr">
        <is>
          <t>INFO</t>
        </is>
      </c>
      <c r="D651" t="inlineStr">
        <is>
          <t>vdh</t>
        </is>
      </c>
      <c r="E651" t="inlineStr">
        <is>
          <t>pro17</t>
        </is>
      </c>
      <c r="F651" t="inlineStr">
        <is>
          <t>prod</t>
        </is>
      </c>
    </row>
    <row r="652">
      <c r="A652" t="inlineStr">
        <is>
          <t>2025-05-09 15:47:31.999</t>
        </is>
      </c>
      <c r="B652">
        <f>=请求开始== [请求IP]:111.29.153.114 ,[请求方式]:POST， [请求URL]:https://172.30.103.196:8080/api/appservice/bfv/v1/chatHistory/batchSave, [请求类名]:com.yingzi.appservice.bfv.provider.rest.ChatHistoryController,[请求方法名]:batchSave, [请求头参数]:{"host":"172.30.103.196:8080"}, [请求参数]:[[{"userId":764489818596057088,"deviceId":"64:79:F0:79:7A:43","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15,"minute":47,"second":12,"nano":0,"chronology":{"id":"ISO","calendarType":"iso8601"}},"response":15195743}]]</f>
        <v/>
      </c>
      <c r="C652" t="inlineStr">
        <is>
          <t>INFO</t>
        </is>
      </c>
      <c r="D652" t="inlineStr">
        <is>
          <t>vdh</t>
        </is>
      </c>
      <c r="E652" t="inlineStr">
        <is>
          <t>pro17</t>
        </is>
      </c>
      <c r="F652" t="inlineStr">
        <is>
          <t>prod</t>
        </is>
      </c>
    </row>
    <row r="653">
      <c r="A653" t="inlineStr">
        <is>
          <t>2025-05-09 15:46:17.255</t>
        </is>
      </c>
      <c r="B653">
        <f>=请求结束== [请求耗时]:13毫秒, [返回数据]:{"code":"000000","msg":"Success","traceId":"e7e598a6f70fd272eeb633550f1b1bb7"}</f>
        <v/>
      </c>
      <c r="C653" t="inlineStr">
        <is>
          <t>INFO</t>
        </is>
      </c>
      <c r="D653" t="inlineStr">
        <is>
          <t>vdh</t>
        </is>
      </c>
      <c r="E653" t="inlineStr">
        <is>
          <t>pro14</t>
        </is>
      </c>
      <c r="F653" t="inlineStr">
        <is>
          <t>prod</t>
        </is>
      </c>
    </row>
    <row r="654">
      <c r="A654" t="inlineStr">
        <is>
          <t>2025-05-09 15:46:17.242</t>
        </is>
      </c>
      <c r="B654">
        <f>=请求开始== [请求IP]:111.29.153.114 ,[请求方式]:POST， [请求URL]:https://172.30.212.148:8080/api/appservice/bfv/v1/chatHistory/batchSave, [请求类名]:com.yingzi.appservice.bfv.provider.rest.ChatHistoryController,[请求方法名]:batchSave, [请求头参数]:{"host":"172.30.212.148:8080"}, [请求参数]:[[{"userId":764489818596057088,"deviceId":"64:79:F0:79:7A:43","sessionId":"","avatarId":"11200220000208050000000000000000","appCode":"VDHtestWDC","instructionTemplateType":"","recordId":"","asrResult":"","knowledgeId":"","knowledgeMasterId":"","instructionType":"","instructionName":"","instructionFlag":"","parameter":"{}","ttsResultSource":"local","ttsResult":"好的开始烹饪,请耐心等待","ttsResultTime":{"year":2025,"monthValue":5,"month":"MAY","dayOfMonth":9,"dayOfYear":129,"dayOfWeek":"FRIDAY","hour":15,"minute":46,"second":0,"nano":0,"chronology":{"id":"ISO","calendarType":"iso8601"}},"response":15123796}]]</f>
        <v/>
      </c>
      <c r="C654" t="inlineStr">
        <is>
          <t>INFO</t>
        </is>
      </c>
      <c r="D654" t="inlineStr">
        <is>
          <t>vdh</t>
        </is>
      </c>
      <c r="E654" t="inlineStr">
        <is>
          <t>pro14</t>
        </is>
      </c>
      <c r="F654" t="inlineStr">
        <is>
          <t>prod</t>
        </is>
      </c>
    </row>
    <row r="655">
      <c r="A655" t="inlineStr">
        <is>
          <t>2025-05-09 15:45:58.519</t>
        </is>
      </c>
      <c r="B655">
        <f>=请求结束== [请求耗时]:13毫秒, [返回数据]:{"code":"000000","msg":"Success","traceId":"bdf4775b8c2dd8c07b54dacfb5ea2c41"}</f>
        <v/>
      </c>
      <c r="C655" t="inlineStr">
        <is>
          <t>INFO</t>
        </is>
      </c>
      <c r="D655" t="inlineStr">
        <is>
          <t>vdh</t>
        </is>
      </c>
      <c r="E655" t="inlineStr">
        <is>
          <t>pro17</t>
        </is>
      </c>
      <c r="F655" t="inlineStr">
        <is>
          <t>prod</t>
        </is>
      </c>
    </row>
    <row r="656">
      <c r="A656" t="inlineStr">
        <is>
          <t>2025-05-09 15:45:58.506</t>
        </is>
      </c>
      <c r="B656">
        <f>=请求开始== [请求IP]:111.29.153.114 ,[请求方式]:POST， [请求URL]:https://172.30.103.196:8080/api/appservice/bfv/v1/chatHistory/batchSave, [请求类名]:com.yingzi.appservice.bfv.provider.rest.ChatHistoryController,[请求方法名]:batchSave, [请求头参数]:{"host":"172.30.103.196:8080"}, [请求参数]:[[{"userId":764489818596057088,"deviceId":"64:79:F0:79:7A:43","sessionId":"","avatarId":"11200220000208050000000000000000","appCode":"VDHtestWDC","instructionTemplateType":"","recordId":"","asrResult":"","knowledgeId":"","knowledgeMasterId":"","instructionType":"","instructionName":"","instructionFlag":"","parameter":"{}","ttsResultSource":"local","ttsResult":"小万发现了米饭或白米粥,要帮主人开始烹饪吗开始烹饪,请耐心等待","ttsResultTime":{"year":2025,"monthValue":5,"month":"MAY","dayOfMonth":9,"dayOfYear":129,"dayOfWeek":"FRIDAY","hour":15,"minute":45,"second":47,"nano":0,"chronology":{"id":"ISO","calendarType":"iso8601"}},"response":15111206}]]</f>
        <v/>
      </c>
      <c r="C656" t="inlineStr">
        <is>
          <t>INFO</t>
        </is>
      </c>
      <c r="D656" t="inlineStr">
        <is>
          <t>vdh</t>
        </is>
      </c>
      <c r="E656" t="inlineStr">
        <is>
          <t>pro17</t>
        </is>
      </c>
      <c r="F656" t="inlineStr">
        <is>
          <t>prod</t>
        </is>
      </c>
    </row>
    <row r="657">
      <c r="A657" t="inlineStr">
        <is>
          <t>2025-05-09 15:43:09.926</t>
        </is>
      </c>
      <c r="B657">
        <f>=请求结束== [请求耗时]:13毫秒, [返回数据]:{"code":"000000","msg":"Success","traceId":"bffc1839b7edad974bea5d150eeb7e9f"}</f>
        <v/>
      </c>
      <c r="C657" t="inlineStr">
        <is>
          <t>INFO</t>
        </is>
      </c>
      <c r="D657" t="inlineStr">
        <is>
          <t>vdh</t>
        </is>
      </c>
      <c r="E657" t="inlineStr">
        <is>
          <t>pro17</t>
        </is>
      </c>
      <c r="F657" t="inlineStr">
        <is>
          <t>prod</t>
        </is>
      </c>
    </row>
    <row r="658">
      <c r="A658" t="inlineStr">
        <is>
          <t>2025-05-09 15:43:09.913</t>
        </is>
      </c>
      <c r="B658">
        <f>=请求开始== [请求IP]:171.104.158.186 ,[请求方式]:POST， [请求URL]:https://172.30.103.196:8080/api/appservice/bfv/v1/chatHistory/batchSave, [请求类名]:com.yingzi.appservice.bfv.provider.rest.ChatHistoryController,[请求方法名]:batchSave, [请求头参数]:{"host":"172.30.103.196:8080"}, [请求参数]:[[{"userId":877845005063770112,"deviceId":"1C:99:57:15:E5:F0","sessionId":"","avatarId":"11200220000208050000000000000000","appCode":"VDHtestWDC","instructionTemplateType":"","recordId":"","asrResult":"","knowledgeId":"","knowledgeMasterId":"","instructionType":"","instructionName":"","instructionFlag":"","parameter":"{}","ttsResultSource":"local","ttsResult":"烹饪完成,请取餐,小心烫","ttsResultTime":{"year":2025,"monthValue":3,"month":"MARCH","dayOfMonth":26,"dayOfYear":85,"dayOfWeek":"WEDNESDAY","hour":16,"minute":0,"second":50,"nano":0,"chronology":{"id":"ISO","calendarType":"iso8601"}},"response":97169}]]</f>
        <v/>
      </c>
      <c r="C658" t="inlineStr">
        <is>
          <t>INFO</t>
        </is>
      </c>
      <c r="D658" t="inlineStr">
        <is>
          <t>vdh</t>
        </is>
      </c>
      <c r="E658" t="inlineStr">
        <is>
          <t>pro17</t>
        </is>
      </c>
      <c r="F658" t="inlineStr">
        <is>
          <t>prod</t>
        </is>
      </c>
    </row>
    <row r="659">
      <c r="A659" t="inlineStr">
        <is>
          <t>2025-05-09 15:41:48.094</t>
        </is>
      </c>
      <c r="B659">
        <f>=请求结束== [请求耗时]:14毫秒, [返回数据]:{"code":"000000","msg":"Success","traceId":"fd01e17b9fca7e48b92ed4113a3f5881"}</f>
        <v/>
      </c>
      <c r="C659" t="inlineStr">
        <is>
          <t>INFO</t>
        </is>
      </c>
      <c r="D659" t="inlineStr">
        <is>
          <t>vdh</t>
        </is>
      </c>
      <c r="E659" t="inlineStr">
        <is>
          <t>pro14</t>
        </is>
      </c>
      <c r="F659" t="inlineStr">
        <is>
          <t>prod</t>
        </is>
      </c>
    </row>
    <row r="660">
      <c r="A660" t="inlineStr">
        <is>
          <t>2025-05-09 15:41:48.080</t>
        </is>
      </c>
      <c r="B660">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3:25","sessionId":"","avatarId":"11200220000208050000000000000000","appCode":"VDHtestWDC","instructionTemplateType":"","recordId":"","asrResult":"","knowledgeId":"","knowledgeMasterId":"","instructionType":"","instructionName":"","instructionFlag":"","parameter":"{}","ttsResultSource":"","ttsResult":"","response":0}]]</f>
        <v/>
      </c>
      <c r="C660" t="inlineStr">
        <is>
          <t>INFO</t>
        </is>
      </c>
      <c r="D660" t="inlineStr">
        <is>
          <t>vdh</t>
        </is>
      </c>
      <c r="E660" t="inlineStr">
        <is>
          <t>pro14</t>
        </is>
      </c>
      <c r="F660" t="inlineStr">
        <is>
          <t>prod</t>
        </is>
      </c>
    </row>
    <row r="661">
      <c r="A661" t="inlineStr">
        <is>
          <t>2025-05-09 15:41:30.967</t>
        </is>
      </c>
      <c r="B661">
        <f>=请求结束== [请求耗时]:14毫秒, [返回数据]:{"code":"000000","msg":"Success","traceId":"56b211fef4c858d7d66a760d8c49a436"}</f>
        <v/>
      </c>
      <c r="C661" t="inlineStr">
        <is>
          <t>INFO</t>
        </is>
      </c>
      <c r="D661" t="inlineStr">
        <is>
          <t>vdh</t>
        </is>
      </c>
      <c r="E661" t="inlineStr">
        <is>
          <t>pro14</t>
        </is>
      </c>
      <c r="F661" t="inlineStr">
        <is>
          <t>prod</t>
        </is>
      </c>
    </row>
    <row r="662">
      <c r="A662" t="inlineStr">
        <is>
          <t>2025-05-09 15:41:30.953</t>
        </is>
      </c>
      <c r="B662">
        <f>=请求开始== [请求IP]:171.104.158.186 ,[请求方式]:POST， [请求URL]:https://172.30.212.148:8080/api/appservice/bfv/v1/chatHistory/batchSave, [请求类名]:com.yingzi.appservice.bfv.provider.rest.ChatHistoryController,[请求方法名]:batchSave, [请求头参数]:{"host":"172.30.212.148:8080"}, [请求参数]:[[{"userId":877845005063770112,"deviceId":"1C:99:57:15:E5:F0","sessionId":"","avatarId":"11200220000208050000000000000000","appCode":"VDHtestWDC","instructionTemplateType":"Chat_library","recordId":"","asrResult":"有点烦","instructionAsrFirstTime":{"year":2025,"monthValue":3,"month":"MARCH","dayOfMonth":26,"dayOfYear":85,"dayOfWeek":"WEDNESDAY","hour":15,"minute":59,"second":12,"nano":0,"chronology":{"id":"ISO","calendarType":"iso8601"}},"knowledgeId":"","knowledgeMasterId":"","instructionType":"","instructionName":"","instructionFlag":"","parameter":"{\"nlpId\":\"17300825629321642727spln\",\"service\":\"Chat_library\"}","ttsResultSource":"FTT","ttsResult":"不满意的地方还请多多包涵。如果有具体问题或需要帮助的地方,告诉我，我会尽力为您解决。","ttsResultTime":{"year":2025,"monthValue":3,"month":"MARCH","dayOfMonth":26,"dayOfYear":85,"dayOfWeek":"WEDNESDAY","hour":15,"minute":59,"second":18,"nano":0,"chronology":{"id":"ISO","calendarType":"iso8601"}},"response":5009}]]</f>
        <v/>
      </c>
      <c r="C662" t="inlineStr">
        <is>
          <t>INFO</t>
        </is>
      </c>
      <c r="D662" t="inlineStr">
        <is>
          <t>vdh</t>
        </is>
      </c>
      <c r="E662" t="inlineStr">
        <is>
          <t>pro14</t>
        </is>
      </c>
      <c r="F662" t="inlineStr">
        <is>
          <t>prod</t>
        </is>
      </c>
    </row>
    <row r="663">
      <c r="A663" t="inlineStr">
        <is>
          <t>2025-05-09 15:41:19.301</t>
        </is>
      </c>
      <c r="B663">
        <f>=请求结束== [请求耗时]:3112毫秒</f>
        <v/>
      </c>
      <c r="C663" t="inlineStr">
        <is>
          <t>INFO</t>
        </is>
      </c>
      <c r="D663" t="inlineStr">
        <is>
          <t>vdh</t>
        </is>
      </c>
      <c r="E663" t="inlineStr">
        <is>
          <t>pro14</t>
        </is>
      </c>
      <c r="F663" t="inlineStr">
        <is>
          <t>prod</t>
        </is>
      </c>
    </row>
    <row r="664">
      <c r="A664" t="inlineStr">
        <is>
          <t>2025-05-09 15:41:19.300</t>
        </is>
      </c>
      <c r="B664" t="inlineStr">
        <is>
          <t>第1次流式调用完成，耗时：2657ms，response: Response { content = AiMessage { text = "不满意的地方还请多多包涵。如果有具体问题或需要帮助的地方，请告诉我，我会尽力为您解决。" toolExecutionRequests = null }, tokenUsage = TokenUsage { inputTokenCount = 4949, outputTokenCount = 46, totalTokenCount = 4995 }, finishReason = STOP }</t>
        </is>
      </c>
      <c r="C664" t="inlineStr">
        <is>
          <t>INFO</t>
        </is>
      </c>
      <c r="D664" t="inlineStr">
        <is>
          <t>vdh</t>
        </is>
      </c>
      <c r="E664" t="inlineStr">
        <is>
          <t>pro14</t>
        </is>
      </c>
      <c r="F664" t="inlineStr">
        <is>
          <t>prod</t>
        </is>
      </c>
    </row>
    <row r="665">
      <c r="A665" t="inlineStr">
        <is>
          <t>2025-05-09 15:41:18.780</t>
        </is>
      </c>
      <c r="B665" t="inlineStr">
        <is>
          <t xml:space="preserve">第1次流式调用开始回复，耗时：2137ms，第一个token: </t>
        </is>
      </c>
      <c r="C665" t="inlineStr">
        <is>
          <t>INFO</t>
        </is>
      </c>
      <c r="D665" t="inlineStr">
        <is>
          <t>vdh</t>
        </is>
      </c>
      <c r="E665" t="inlineStr">
        <is>
          <t>pro14</t>
        </is>
      </c>
      <c r="F665" t="inlineStr">
        <is>
          <t>prod</t>
        </is>
      </c>
    </row>
    <row r="666">
      <c r="A666" t="inlineStr">
        <is>
          <t>2025-05-09 15:41:16.643</t>
        </is>
      </c>
      <c r="B666" t="inlineStr">
        <is>
          <t>streaming provider=gpt, model: gpt-4o</t>
        </is>
      </c>
      <c r="C666" t="inlineStr">
        <is>
          <t>INFO</t>
        </is>
      </c>
      <c r="D666" t="inlineStr">
        <is>
          <t>vdh</t>
        </is>
      </c>
      <c r="E666" t="inlineStr">
        <is>
          <t>pro14</t>
        </is>
      </c>
      <c r="F666" t="inlineStr">
        <is>
          <t>prod</t>
        </is>
      </c>
    </row>
    <row r="667">
      <c r="A667" t="inlineStr">
        <is>
          <t>2025-05-09 15:41:16.635</t>
        </is>
      </c>
      <c r="B667">
        <f>=请求结束== [请求耗时]:410毫秒, [返回数据]:{"code":"000000","msg":"Success","data":[{"knowledgeId":"1326868148286373888","knowledgeContent":[{"score":0.7336366575,"content":"：2025年春节/过年/大年初一是1月29日，农历正月初一，星期三。","fileId":"1326944717968060416","chunkId":"paragraph-1"},{"score":0.710835875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冬至：•新历：12月21日•农历：十一月初二•星期日","fileId":"1326944717968060416","chunkId":"paragraph-4"},{"score":0.7067555775,"content":"：2025年放假调休日期的具体安排如下： 2025年元旦：1月1日，周三，放假1天，不调休。 2025年除夕/大年夜是1月28日，农历十二月二十九，星期二。","fileId":"1326944717968060416","chunkId":"paragraph-0"}]},{"knowledgeId":"1272948056214077440","knowledgeContent":[{"score":0.7749573675,"content":"问题：不满。\\n回复：不满意的地方还请多多包涵。","fileId":"1303425377255075840","chunkId":"2671","textGroup":"不满"},{"score":0.7552886225,"content":"问题：你好。\\n回复：你好，有什么可以帮您。","fileId":"1303425377255075840","chunkId":"2699","textGroup":"你好"},{"score":0.7527385799999999,"content":"问题：假期愉快。\\n回复：假期愉快，玩得开心哟！","fileId":"1303425377255075840","chunkId":"2755","textGroup":"假期愉快"},{"score":0.7504671675,"content":"问题：你反应太慢了。\\n回复：抱歉我还在学习，所以反应有点慢。","fileId":"1303425377255075840","chunkId":"2686","textGroup":"你反应太慢了"},{"score":0.7503681425,"content":"问题：我好无聊。\\n回复：有什么我可以为您做的吗？","fileId":"1303425377255075840","chunkId":"2761","textGroup":"我好无聊"},{"score":0.7495486575,"content":"问题：晚安。\\n回复：晚安。","fileId":"1303425377255075840","chunkId":"2766","textGroup":"晚安"},{"score":0.7487490625,"content":"问题：你什么时候在线。\\n回复：我二十四小时在线的。","fileId":"1303425377255075840","chunkId":"2676","textGroup":"你什么时候在线"},{"score":0.74801428,"content":"问题：好久不见。\\n回复：好久没聊了，我好想念你","fileId":"1303425377255075840","chunkId":"2759","textGroup":"好久不见"},{"score":0.7479475125,"content":"问题：你做的饭真难吃。\\n回复：感谢您的意见，我会努力提升厨艺","fileId":"1303425377255075840","chunkId":"2684","textGroup":"你做的饭真难吃"},{"score":0.7467050675,"content":"问题：可以和我聊聊天吗。\\n回复：你可以随时找我聊。","fileId":"1303425377255075840","chunkId":"2757","textGroup":"可以和我聊聊天吗"},{"score":0.7460094700000001,"content":"问题：你快乐吗。\\n回复：你快乐我就快乐。","fileId":"1303425377255075840","chunkId":"2704","textGroup":"你快乐吗"},{"score":0.74574155,"content":"问题：早上好。\\n回复：早上好，美好的一天又开始了。","fileId":"1303425377255075840","chunkId":"2764","textGroup":"早上好"},{"score":0.7434725600000001,"content":"问题：你很智障。\\n回复：要注意文明哦。","fileId":"1303425377255075840","chunkId":"2703","textGroup":"你很智障"},{"score":0.7433772325,"content":"问题：你喜欢唱歌吗。\\n回复：唱歌可以帮助我释放压力和情感，只是我唱歌的水平还不够好。","fileId":"1303425377255075840","chunkId":"2691","textGroup":"你喜欢唱歌吗"},{"score":0.741823305,"content":"问题：你是机器人吗。\\n回复：我是一个不知疲倦的虚拟人。","fileId":"1303425377255075840","chunkId":"2708","textGroup":"你是机器人吗"}]},{"knowledgeId":"1272947938412855296","knowledgeContent":[{"score":0.73724733,"content":"我想吃辛辣的菜","fileId":"1275470180282040320","chunkId":"14","textGroup":"SELECT id, title FROM recipe_knowledge_nutrition WHERE classify_taste LIKE '%辛辣%' ORDER BY random() LIMIT 5;"}]},{"knowledgeId":"1329399948694220800","knowledgeContent":[{"score":0.7469419625,"content":"我想了解下新闻热点","fileId":"1329400169758941184","chunkId":"64","textGroup":"news {type=top,size=3}"},{"score":0.7467751925,"content":"请帮我继续微波","fileId":"1347217269055369216","chunkId":"256","textGroup":"cooking_control {type=continue}"},{"score":0.7418930475,"content":"我想微波暂停","fileId":"1347217269055369216","chunkId":"195","textGroup":"cooking_control {type=pause}"},{"score":0.741321975,"content":"请帮我终止微波","fileId":"1347217269055369216","chunkId":"328","textGroup":"cooking_control {type=stop}"},{"score":0.7370671725,"content":"开始做吧","fileId":"1347217269055369216","chunkId":"136","textGroup":"cooking_control {type=start}"}]}]}</f>
        <v/>
      </c>
      <c r="C667" t="inlineStr">
        <is>
          <t>INFO</t>
        </is>
      </c>
      <c r="D667" t="inlineStr">
        <is>
          <t>vdh</t>
        </is>
      </c>
      <c r="E667" t="inlineStr">
        <is>
          <t>pro17</t>
        </is>
      </c>
      <c r="F667" t="inlineStr">
        <is>
          <t>prod</t>
        </is>
      </c>
    </row>
    <row r="668">
      <c r="A668" t="inlineStr">
        <is>
          <t>2025-05-09 15:41:16.634</t>
        </is>
      </c>
      <c r="B668" t="inlineStr">
        <is>
          <t>知识库插件检索耗时: 408ms</t>
        </is>
      </c>
      <c r="C668" t="inlineStr">
        <is>
          <t>INFO</t>
        </is>
      </c>
      <c r="D668" t="inlineStr">
        <is>
          <t>vdh</t>
        </is>
      </c>
      <c r="E668" t="inlineStr">
        <is>
          <t>pro17</t>
        </is>
      </c>
      <c r="F668" t="inlineStr">
        <is>
          <t>prod</t>
        </is>
      </c>
    </row>
    <row r="669">
      <c r="A669" t="inlineStr">
        <is>
          <t>2025-05-09 15:41:16.225</t>
        </is>
      </c>
      <c r="B669">
        <f>=请求开始== [请求IP]:172.18.33.14 ,[请求方式]:POST， [请求URL]:https://172.30.103.196:8080/api/appservice/bfv/v1/knowledge/retrieval/plugin, [请求类名]:com.yingzi.appservice.bfv.provider.rest.KnowledgeRetrievalController,[请求方法名]:plugin, [请求头参数]:{"host":"172.30.103.196:8080"}, [请求参数]:[{"query":"有点烦","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669" t="inlineStr">
        <is>
          <t>INFO</t>
        </is>
      </c>
      <c r="D669" t="inlineStr">
        <is>
          <t>vdh</t>
        </is>
      </c>
      <c r="E669" t="inlineStr">
        <is>
          <t>pro17</t>
        </is>
      </c>
      <c r="F669" t="inlineStr">
        <is>
          <t>prod</t>
        </is>
      </c>
    </row>
    <row r="670">
      <c r="A670" t="inlineStr">
        <is>
          <t>2025-05-09 15:41:16.189</t>
        </is>
      </c>
      <c r="B670">
        <f>=请求开始== [请求IP]:172.18.114.116 ,[请求方式]:POST， [请求URL]:https://172.30.212.148:8080/api/appservice/bfv/v1/chat/, [请求类名]:com.yingzi.appservice.bfv.provider.rest.ChatV1Controller,[请求方法名]:chat, [请求头参数]:{"host":"172.30.212.148:8080"}, [请求参数]:[{"stream":true,"message":"有点烦","args":"{\"channel_id\":\"9\"}"}]</f>
        <v/>
      </c>
      <c r="C670" t="inlineStr">
        <is>
          <t>INFO</t>
        </is>
      </c>
      <c r="D670" t="inlineStr">
        <is>
          <t>vdh</t>
        </is>
      </c>
      <c r="E670" t="inlineStr">
        <is>
          <t>pro14</t>
        </is>
      </c>
      <c r="F670" t="inlineStr">
        <is>
          <t>prod</t>
        </is>
      </c>
    </row>
    <row r="671">
      <c r="A671" t="inlineStr">
        <is>
          <t>2025-05-09 15:40:58.637</t>
        </is>
      </c>
      <c r="B671">
        <f>=请求结束== [请求耗时]:11毫秒, [返回数据]:{"code":"000000","msg":"Success","traceId":"60c9ce01a551b85883cddfc8c5fba0d5"}</f>
        <v/>
      </c>
      <c r="C671" t="inlineStr">
        <is>
          <t>INFO</t>
        </is>
      </c>
      <c r="D671" t="inlineStr">
        <is>
          <t>vdh</t>
        </is>
      </c>
      <c r="E671" t="inlineStr">
        <is>
          <t>pro17</t>
        </is>
      </c>
      <c r="F671" t="inlineStr">
        <is>
          <t>prod</t>
        </is>
      </c>
    </row>
    <row r="672">
      <c r="A672" t="inlineStr">
        <is>
          <t>2025-05-09 15:40:58.627</t>
        </is>
      </c>
      <c r="B672">
        <f>=请求开始== [请求IP]:171.104.158.186 ,[请求方式]:POST， [请求URL]:https://172.30.103.196:8080/api/appservice/bfv/v1/chatHistory/batchSave, [请求类名]:com.yingzi.appservice.bfv.provider.rest.ChatHistoryController,[请求方法名]:batchSave, [请求头参数]:{"host":"172.30.103.196:8080"}, [请求参数]:[[{"userId":877845005063770112,"deviceId":"1C:99:57:15:E5:F0","sessionId":"","avatarId":"11200220000208050000000000000000","appCode":"VDHtestWDC","instructionTemplateType":"","recordId":"","asrResult":"","knowledgeId":"","knowledgeMasterId":"","instructionType":"","instructionName":"","instructionFlag":"","parameter":"{}","ttsResultSource":"local","ttsResult":"开始烹饪,请耐心等待","ttsResultTime":{"year":2025,"monthValue":3,"month":"MARCH","dayOfMonth":26,"dayOfYear":85,"dayOfWeek":"WEDNESDAY","hour":15,"minute":58,"second":50,"nano":0,"chronology":{"id":"ISO","calendarType":"iso8601"}},"response":1742975930479}]]</f>
        <v/>
      </c>
      <c r="C672" t="inlineStr">
        <is>
          <t>INFO</t>
        </is>
      </c>
      <c r="D672" t="inlineStr">
        <is>
          <t>vdh</t>
        </is>
      </c>
      <c r="E672" t="inlineStr">
        <is>
          <t>pro17</t>
        </is>
      </c>
      <c r="F672" t="inlineStr">
        <is>
          <t>prod</t>
        </is>
      </c>
    </row>
    <row r="673">
      <c r="A673" t="inlineStr">
        <is>
          <t>2025-05-09 15:40:51.332</t>
        </is>
      </c>
      <c r="B673">
        <f>=请求结束== [请求耗时]:15毫秒, [返回数据]:{"code":"000000","msg":"Success","traceId":"2ecf0cc203b0dc2e24589d3af3d83eb7"}</f>
        <v/>
      </c>
      <c r="C673" t="inlineStr">
        <is>
          <t>INFO</t>
        </is>
      </c>
      <c r="D673" t="inlineStr">
        <is>
          <t>vdh</t>
        </is>
      </c>
      <c r="E673" t="inlineStr">
        <is>
          <t>pro17</t>
        </is>
      </c>
      <c r="F673" t="inlineStr">
        <is>
          <t>prod</t>
        </is>
      </c>
    </row>
    <row r="674">
      <c r="A674" t="inlineStr">
        <is>
          <t>2025-05-09 15:40:51.318</t>
        </is>
      </c>
      <c r="B674">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17:5E:26","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15,"minute":33,"second":32,"nano":0,"chronology":{"id":"ISO","calendarType":"iso8601"}},"response":1746776012807}]]</f>
        <v/>
      </c>
      <c r="C674" t="inlineStr">
        <is>
          <t>INFO</t>
        </is>
      </c>
      <c r="D674" t="inlineStr">
        <is>
          <t>vdh</t>
        </is>
      </c>
      <c r="E674" t="inlineStr">
        <is>
          <t>pro17</t>
        </is>
      </c>
      <c r="F674" t="inlineStr">
        <is>
          <t>prod</t>
        </is>
      </c>
    </row>
    <row r="675">
      <c r="A675" t="inlineStr">
        <is>
          <t>2025-05-09 15:39:51.433</t>
        </is>
      </c>
      <c r="B675">
        <f>=请求结束== [请求耗时]:13毫秒, [返回数据]:{"code":"000000","msg":"Success","traceId":"35e9043cbbcf03e72ca1ab01fc757d46"}</f>
        <v/>
      </c>
      <c r="C675" t="inlineStr">
        <is>
          <t>INFO</t>
        </is>
      </c>
      <c r="D675" t="inlineStr">
        <is>
          <t>vdh</t>
        </is>
      </c>
      <c r="E675" t="inlineStr">
        <is>
          <t>pro14</t>
        </is>
      </c>
      <c r="F675" t="inlineStr">
        <is>
          <t>prod</t>
        </is>
      </c>
    </row>
    <row r="676">
      <c r="A676" t="inlineStr">
        <is>
          <t>2025-05-09 15:39:51.420</t>
        </is>
      </c>
      <c r="B676">
        <f>=请求开始== [请求IP]:222.217.159.63 ,[请求方式]:POST， [请求URL]:https://172.30.212.148:8080/api/appservice/bfv/v1/chatHistory/batchSave, [请求类名]:com.yingzi.appservice.bfv.provider.rest.ChatHistoryController,[请求方法名]:batchSave, [请求头参数]:{"host":"172.30.212.148:8080"}, [请求参数]:[[{"userId":908023034473390081,"deviceId":"64:79:F0:79:7B:1F","sessionId":"","avatarId":"11200220000208050000000000000000","appCode":"VDHtestWDC","instructionTemplateType":"","recordId":"","asrResult":"","knowledgeId":"","knowledgeMasterId":"","instructionType":"","instructionName":"","instructionFlag":"","parameter":"{}","ttsResultSource":"local","ttsResult":"小万发现了夫妻肺片,请选择烹饪模式","ttsResultTime":{"year":2025,"monthValue":5,"month":"MAY","dayOfMonth":9,"dayOfYear":129,"dayOfWeek":"FRIDAY","hour":15,"minute":39,"second":47,"nano":0,"chronology":{"id":"ISO","calendarType":"iso8601"}},"response":1746776387715}]]</f>
        <v/>
      </c>
      <c r="C676" t="inlineStr">
        <is>
          <t>INFO</t>
        </is>
      </c>
      <c r="D676" t="inlineStr">
        <is>
          <t>vdh</t>
        </is>
      </c>
      <c r="E676" t="inlineStr">
        <is>
          <t>pro14</t>
        </is>
      </c>
      <c r="F676" t="inlineStr">
        <is>
          <t>prod</t>
        </is>
      </c>
    </row>
    <row r="677">
      <c r="A677" t="inlineStr">
        <is>
          <t>2025-05-09 15:39:27.010</t>
        </is>
      </c>
      <c r="B677">
        <f>=请求结束== [请求耗时]:15毫秒, [返回数据]:{"code":"000000","msg":"Success","traceId":"21eb15104ae64f288b9fd0fb4a012f52"}</f>
        <v/>
      </c>
      <c r="C677" t="inlineStr">
        <is>
          <t>INFO</t>
        </is>
      </c>
      <c r="D677" t="inlineStr">
        <is>
          <t>vdh</t>
        </is>
      </c>
      <c r="E677" t="inlineStr">
        <is>
          <t>pro17</t>
        </is>
      </c>
      <c r="F677" t="inlineStr">
        <is>
          <t>prod</t>
        </is>
      </c>
    </row>
    <row r="678">
      <c r="A678" t="inlineStr">
        <is>
          <t>2025-05-09 15:39:26.995</t>
        </is>
      </c>
      <c r="B678">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17:5E:26","sessionId":"","avatarId":"11200220000208050000000000000000","appCode":"VDHtestWDC","instructionTemplateType":"","recordId":"","asrResult":"","knowledgeId":"","knowledgeMasterId":"","instructionType":"","instructionName":"","instructionFlag":"","parameter":"{}","ttsResultSource":"local","ttsResult":"小万发现了红烧排骨或糖醋排骨或话梅排骨,主人喜欢糖醋排骨还是红烧排骨/话梅排骨口感","ttsResultTime":{"year":2025,"monthValue":5,"month":"MAY","dayOfMonth":9,"dayOfYear":129,"dayOfWeek":"FRIDAY","hour":15,"minute":32,"second":4,"nano":0,"chronology":{"id":"ISO","calendarType":"iso8601"}},"response":1746775924959}]]</f>
        <v/>
      </c>
      <c r="C678" t="inlineStr">
        <is>
          <t>INFO</t>
        </is>
      </c>
      <c r="D678" t="inlineStr">
        <is>
          <t>vdh</t>
        </is>
      </c>
      <c r="E678" t="inlineStr">
        <is>
          <t>pro17</t>
        </is>
      </c>
      <c r="F678" t="inlineStr">
        <is>
          <t>prod</t>
        </is>
      </c>
    </row>
    <row r="679">
      <c r="A679" t="inlineStr">
        <is>
          <t>2025-05-09 15:36:25.246</t>
        </is>
      </c>
      <c r="B679">
        <f>=请求结束== [请求耗时]:13毫秒, [返回数据]:{"code":"000000","msg":"Success","traceId":"9826e9beef59cbd0dbe1d305ef800e5d"}</f>
        <v/>
      </c>
      <c r="C679" t="inlineStr">
        <is>
          <t>INFO</t>
        </is>
      </c>
      <c r="D679" t="inlineStr">
        <is>
          <t>vdh</t>
        </is>
      </c>
      <c r="E679" t="inlineStr">
        <is>
          <t>pro14</t>
        </is>
      </c>
      <c r="F679" t="inlineStr">
        <is>
          <t>prod</t>
        </is>
      </c>
    </row>
    <row r="680">
      <c r="A680" t="inlineStr">
        <is>
          <t>2025-05-09 15:36:25.233</t>
        </is>
      </c>
      <c r="B680">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3:25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15,"minute":36,"second":19,"nano":0,"chronology":{"id":"ISO","calendarType":"iso8601"}},"response":1746776179959}]]</f>
        <v/>
      </c>
      <c r="C680" t="inlineStr">
        <is>
          <t>INFO</t>
        </is>
      </c>
      <c r="D680" t="inlineStr">
        <is>
          <t>vdh</t>
        </is>
      </c>
      <c r="E680" t="inlineStr">
        <is>
          <t>pro14</t>
        </is>
      </c>
      <c r="F680" t="inlineStr">
        <is>
          <t>prod</t>
        </is>
      </c>
    </row>
    <row r="681">
      <c r="A681" t="inlineStr">
        <is>
          <t>2025-05-09 15:35:09.828</t>
        </is>
      </c>
      <c r="B681">
        <f>=请求结束== [请求耗时]:10毫秒, [返回数据]:{"code":"000000","msg":"Success","traceId":"b2bb2ddb8035ea32a1869b070f3643b5"}</f>
        <v/>
      </c>
      <c r="C681" t="inlineStr">
        <is>
          <t>INFO</t>
        </is>
      </c>
      <c r="D681" t="inlineStr">
        <is>
          <t>vdh</t>
        </is>
      </c>
      <c r="E681" t="inlineStr">
        <is>
          <t>pro17</t>
        </is>
      </c>
      <c r="F681" t="inlineStr">
        <is>
          <t>prod</t>
        </is>
      </c>
    </row>
    <row r="682">
      <c r="A682" t="inlineStr">
        <is>
          <t>2025-05-09 15:35:09.818</t>
        </is>
      </c>
      <c r="B682">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1C:99:57:15:E8:B1","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15,"minute":31,"second":39,"nano":0,"chronology":{"id":"ISO","calendarType":"iso8601"}},"response":1746775899953}]]</f>
        <v/>
      </c>
      <c r="C682" t="inlineStr">
        <is>
          <t>INFO</t>
        </is>
      </c>
      <c r="D682" t="inlineStr">
        <is>
          <t>vdh</t>
        </is>
      </c>
      <c r="E682" t="inlineStr">
        <is>
          <t>pro17</t>
        </is>
      </c>
      <c r="F682" t="inlineStr">
        <is>
          <t>prod</t>
        </is>
      </c>
    </row>
    <row r="683">
      <c r="A683" t="inlineStr">
        <is>
          <t>2025-05-09 15:33:15.179</t>
        </is>
      </c>
      <c r="B683">
        <f>=请求结束== [请求耗时]:15毫秒, [返回数据]:{"code":"000000","msg":"Success","traceId":"60ba78ebbbc623d2f1f6892081ab12be"}</f>
        <v/>
      </c>
      <c r="C683" t="inlineStr">
        <is>
          <t>INFO</t>
        </is>
      </c>
      <c r="D683" t="inlineStr">
        <is>
          <t>vdh</t>
        </is>
      </c>
      <c r="E683" t="inlineStr">
        <is>
          <t>pro14</t>
        </is>
      </c>
      <c r="F683" t="inlineStr">
        <is>
          <t>prod</t>
        </is>
      </c>
    </row>
    <row r="684">
      <c r="A684" t="inlineStr">
        <is>
          <t>2025-05-09 15:33:15.164</t>
        </is>
      </c>
      <c r="B684">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15:5F:7C","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15,"minute":21,"second":0,"nano":0,"chronology":{"id":"ISO","calendarType":"iso8601"}},"response":1746775260451}]]</f>
        <v/>
      </c>
      <c r="C684" t="inlineStr">
        <is>
          <t>INFO</t>
        </is>
      </c>
      <c r="D684" t="inlineStr">
        <is>
          <t>vdh</t>
        </is>
      </c>
      <c r="E684" t="inlineStr">
        <is>
          <t>pro14</t>
        </is>
      </c>
      <c r="F684" t="inlineStr">
        <is>
          <t>prod</t>
        </is>
      </c>
    </row>
    <row r="685">
      <c r="A685" t="inlineStr">
        <is>
          <t>2025-05-09 15:32:11.795</t>
        </is>
      </c>
      <c r="B685">
        <f>=请求结束== [请求耗时]:12毫秒, [返回数据]:{"code":"000000","msg":"Success","traceId":"d6349be4f1735b1d7b78a06434dc70a8"}</f>
        <v/>
      </c>
      <c r="C685" t="inlineStr">
        <is>
          <t>INFO</t>
        </is>
      </c>
      <c r="D685" t="inlineStr">
        <is>
          <t>vdh</t>
        </is>
      </c>
      <c r="E685" t="inlineStr">
        <is>
          <t>pro14</t>
        </is>
      </c>
      <c r="F685" t="inlineStr">
        <is>
          <t>prod</t>
        </is>
      </c>
    </row>
    <row r="686">
      <c r="A686" t="inlineStr">
        <is>
          <t>2025-05-09 15:32:11.784</t>
        </is>
      </c>
      <c r="B686">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17:5E:26","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15,"minute":24,"second":53,"nano":0,"chronology":{"id":"ISO","calendarType":"iso8601"}},"response":1746775493455}]]</f>
        <v/>
      </c>
      <c r="C686" t="inlineStr">
        <is>
          <t>INFO</t>
        </is>
      </c>
      <c r="D686" t="inlineStr">
        <is>
          <t>vdh</t>
        </is>
      </c>
      <c r="E686" t="inlineStr">
        <is>
          <t>pro14</t>
        </is>
      </c>
      <c r="F686" t="inlineStr">
        <is>
          <t>prod</t>
        </is>
      </c>
    </row>
    <row r="687">
      <c r="A687" t="inlineStr">
        <is>
          <t>2025-05-09 15:31:28.465</t>
        </is>
      </c>
      <c r="B687">
        <f>=请求结束== [请求耗时]:14毫秒, [返回数据]:{"code":"000000","msg":"Success","traceId":"e465c6273404c750e70aa1ac03995f7a"}</f>
        <v/>
      </c>
      <c r="C687" t="inlineStr">
        <is>
          <t>INFO</t>
        </is>
      </c>
      <c r="D687" t="inlineStr">
        <is>
          <t>vdh</t>
        </is>
      </c>
      <c r="E687" t="inlineStr">
        <is>
          <t>pro17</t>
        </is>
      </c>
      <c r="F687" t="inlineStr">
        <is>
          <t>prod</t>
        </is>
      </c>
    </row>
    <row r="688">
      <c r="A688" t="inlineStr">
        <is>
          <t>2025-05-09 15:31:28.452</t>
        </is>
      </c>
      <c r="B688">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64:79:F0:FF:55:A5","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15,"minute":24,"second":10,"nano":0,"chronology":{"id":"ISO","calendarType":"iso8601"}},"response":1746775450437}]]</f>
        <v/>
      </c>
      <c r="C688" t="inlineStr">
        <is>
          <t>INFO</t>
        </is>
      </c>
      <c r="D688" t="inlineStr">
        <is>
          <t>vdh</t>
        </is>
      </c>
      <c r="E688" t="inlineStr">
        <is>
          <t>pro17</t>
        </is>
      </c>
      <c r="F688" t="inlineStr">
        <is>
          <t>prod</t>
        </is>
      </c>
    </row>
    <row r="689">
      <c r="A689" t="inlineStr">
        <is>
          <t>2025-05-09 15:29:22.663</t>
        </is>
      </c>
      <c r="B689">
        <f>=请求结束== [请求耗时]:16毫秒, [返回数据]:{"code":"000000","msg":"Success","traceId":"8c86be9641bc0829aae1f9551bb86887"}</f>
        <v/>
      </c>
      <c r="C689" t="inlineStr">
        <is>
          <t>INFO</t>
        </is>
      </c>
      <c r="D689" t="inlineStr">
        <is>
          <t>vdh</t>
        </is>
      </c>
      <c r="E689" t="inlineStr">
        <is>
          <t>pro17</t>
        </is>
      </c>
      <c r="F689" t="inlineStr">
        <is>
          <t>prod</t>
        </is>
      </c>
    </row>
    <row r="690">
      <c r="A690" t="inlineStr">
        <is>
          <t>2025-05-09 15:29:22.647</t>
        </is>
      </c>
      <c r="B690">
        <f>=请求开始== [请求IP]:27.18.172.114 ,[请求方式]:POST， [请求URL]:https://172.30.103.196:8080/api/appservice/bfv/v1/chatHistory/batchSave, [请求类名]:com.yingzi.appservice.bfv.provider.rest.ChatHistoryController,[请求方法名]:batchSave, [请求头参数]:{"host":"172.30.103.196:8080"}, [请求参数]:[[{"userId":1031239387796570112,"deviceId":"64:79:F0:79:7A:FC","sessionId":"","avatarId":"11200220000208050000000000000000","appCode":"VDHtestWDC","instructionTemplateType":"Chat_library","recordId":"","asrResult":"还有什么","instructionAsrFirstTime":{"year":2025,"monthValue":5,"month":"MAY","dayOfMonth":9,"dayOfYear":129,"dayOfWeek":"FRIDAY","hour":15,"minute":29,"second":3,"nano":0,"chronology":{"id":"ISO","calendarType":"iso8601"}},"knowledgeId":"","knowledgeMasterId":"","instructionType":"","instructionName":"","instructionFlag":"","parameter":"{\"nlpId\":\"17300825629321642727spln\",\"service\":\"Chat_library\"}","ttsResultSource":"FTT","ttsResult":"请问您需要什么样的帮助呢?如果您对食谱有兴趣,可以为您推荐合适的食谱。如果您想了解新闻,可以为您提供最新的娱乐新闻。","ttsResultTime":{"year":2025,"monthValue":5,"month":"MAY","dayOfMonth":9,"dayOfYear":129,"dayOfWeek":"FRIDAY","hour":15,"minute":29,"second":9,"nano":0,"chronology":{"id":"ISO","calendarType":"iso8601"}},"response":6448}]]</f>
        <v/>
      </c>
      <c r="C690" t="inlineStr">
        <is>
          <t>INFO</t>
        </is>
      </c>
      <c r="D690" t="inlineStr">
        <is>
          <t>vdh</t>
        </is>
      </c>
      <c r="E690" t="inlineStr">
        <is>
          <t>pro17</t>
        </is>
      </c>
      <c r="F690" t="inlineStr">
        <is>
          <t>prod</t>
        </is>
      </c>
    </row>
    <row r="691">
      <c r="A691" t="inlineStr">
        <is>
          <t>2025-05-09 15:29:08.860</t>
        </is>
      </c>
      <c r="B691">
        <f>=请求结束== [请求耗时]:5140毫秒</f>
        <v/>
      </c>
      <c r="C691" t="inlineStr">
        <is>
          <t>INFO</t>
        </is>
      </c>
      <c r="D691" t="inlineStr">
        <is>
          <t>vdh</t>
        </is>
      </c>
      <c r="E691" t="inlineStr">
        <is>
          <t>pro14</t>
        </is>
      </c>
      <c r="F691" t="inlineStr">
        <is>
          <t>prod</t>
        </is>
      </c>
    </row>
    <row r="692">
      <c r="A692" t="inlineStr">
        <is>
          <t>2025-05-09 15:29:08.859</t>
        </is>
      </c>
      <c r="B692" t="inlineStr">
        <is>
          <t>第1次流式调用完成，耗时：4562ms，response: Response { content = AiMessage { text = "请问您需要什么样的帮助呢？如果您对食谱有兴趣，我可以为您推荐合适的食谱。如果您想了解新闻，我可以为您提供最新的娱乐新闻。" toolExecutionRequests = null }, tokenUsage = TokenUsage { inputTokenCount = 5046, outputTokenCount = 73, totalTokenCount = 5119 }, finishReason = STOP }</t>
        </is>
      </c>
      <c r="C692" t="inlineStr">
        <is>
          <t>INFO</t>
        </is>
      </c>
      <c r="D692" t="inlineStr">
        <is>
          <t>vdh</t>
        </is>
      </c>
      <c r="E692" t="inlineStr">
        <is>
          <t>pro14</t>
        </is>
      </c>
      <c r="F692" t="inlineStr">
        <is>
          <t>prod</t>
        </is>
      </c>
    </row>
    <row r="693">
      <c r="A693" t="inlineStr">
        <is>
          <t>2025-05-09 15:29:07.178</t>
        </is>
      </c>
      <c r="B693" t="inlineStr">
        <is>
          <t xml:space="preserve">第1次流式调用开始回复，耗时：2881ms，第一个token: </t>
        </is>
      </c>
      <c r="C693" t="inlineStr">
        <is>
          <t>INFO</t>
        </is>
      </c>
      <c r="D693" t="inlineStr">
        <is>
          <t>vdh</t>
        </is>
      </c>
      <c r="E693" t="inlineStr">
        <is>
          <t>pro14</t>
        </is>
      </c>
      <c r="F693" t="inlineStr">
        <is>
          <t>prod</t>
        </is>
      </c>
    </row>
    <row r="694">
      <c r="A694" t="inlineStr">
        <is>
          <t>2025-05-09 15:29:04.297</t>
        </is>
      </c>
      <c r="B694" t="inlineStr">
        <is>
          <t>streaming provider=gpt, model: gpt-4o</t>
        </is>
      </c>
      <c r="C694" t="inlineStr">
        <is>
          <t>INFO</t>
        </is>
      </c>
      <c r="D694" t="inlineStr">
        <is>
          <t>vdh</t>
        </is>
      </c>
      <c r="E694" t="inlineStr">
        <is>
          <t>pro14</t>
        </is>
      </c>
      <c r="F694" t="inlineStr">
        <is>
          <t>prod</t>
        </is>
      </c>
    </row>
    <row r="695">
      <c r="A695" t="inlineStr">
        <is>
          <t>2025-05-09 15:29:04.290</t>
        </is>
      </c>
      <c r="B695">
        <f>=请求结束== [请求耗时]:542毫秒, [返回数据]:{"code":"000000","msg":"Success","data":[{"knowledgeId":"1326868148286373888","knowledgeContent":[{"score":0.7333632125,"content":"：深圳数影科技的股价是多少？深圳数影科技有限公司没有上市，因此没有股价信息。 广西扬翔股份上市了吗？广西扬翔股份没有上市。","fileId":"1326944717968060416","chunkId":"paragraph-6"},{"score":0.7296282274999999,"content":"：2025年春节/过年/大年初一是1月29日，农历正月初一，星期三。","fileId":"1326944717968060416","chunkId":"paragraph-1"},{"score":0.7196637199999999,"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knowledgeId":"1272948056214077440","knowledgeContent":[{"score":0.76373282,"content":"问题：你好。\\n回复：你好，有什么可以帮您。","fileId":"1303425377255075840","chunkId":"2699","textGroup":"你好"},{"score":0.75372985,"content":"问题：不满。\\n回复：不满意的地方还请多多包涵。","fileId":"1303425377255075840","chunkId":"2671","textGroup":"不满"},{"score":0.7521367375,"content":"问题：晚安。\\n回复：晚安。","fileId":"1303425377255075840","chunkId":"2766","textGroup":"晚安"},{"score":0.7508704075,"content":"问题：再见。\\n回复：拜拜，下次见。","fileId":"1303425377255075840","chunkId":"2756","textGroup":"再见"},{"score":0.7475055549999999,"content":"问题：我好无聊。\\n回复：有什么我可以为您做的吗？","fileId":"1303425377255075840","chunkId":"2761","textGroup":"我好无聊"},{"score":0.747435855,"content":"问题：万能除有微信公众号吗。\\n回复：万得厨微信官方公众号为“万得厨的厨”，不定时为您推送最全使用指南及最美味的食品食谱，期待您的关注！","fileId":"1303425377255075840","chunkId":"530","textGroup":"你有公众号吗"},{"score":0.7465475625,"content":"问题：你什么时候在线。\\n回复：我二十四小时在线的。","fileId":"1303425377255075840","chunkId":"2676","textGroup":"你什么时候在线"},{"score":0.7448688975,"content":"问题：好久不见。\\n回复：好久没聊了，我好想念你","fileId":"1303425377255075840","chunkId":"2759","textGroup":"好久不见"},{"score":0.7444164,"content":"问题：可以和我聊聊天吗。\\n回复：你可以随时找我聊。","fileId":"1303425377255075840","chunkId":"2757","textGroup":"可以和我聊聊天吗"},{"score":0.74389195,"content":"问题：影子科技和你有何涉及。\\n回复：是影子科技创造了我，没有他我就不能和你相遇呢！","fileId":"1303425377255075840","chunkId":"600","textGroup":"你跟影子科技是否有关系"},{"score":0.743030475,"content":"问题：万能除有抖音号吗。\\n回复：万得厨官方抖音账号为“万得厨的厨”，不定时为您推送最全使用指南及最美味的食品食谱，期待您的关注！","fileId":"1303425377255075840","chunkId":"578","textGroup":"你有抖音账号吗"},{"score":0.7427113000000001,"content":"问题：你没用。\\n回复：非常抱歉，小万会努力学习的","fileId":"1303425377255075840","chunkId":"2732","textGroup":"你没用"},{"score":0.7424251475,"content":"问题：你反应太慢了。\\n回复：抱歉我还在学习，所以反应有点慢。","fileId":"1303425377255075840","chunkId":"2686","textGroup":"你反应太慢了"},{"score":0.742094795,"content":"问题：你能帮助我做什么。\\n回复：我可以帮你做好多事，我可以为你烹饪佳肴、研制新菜，可以为你推荐营养美味的三餐，也可以陪你聊天哦~","fileId":"1303425377255075840","chunkId":"2754","textGroup":"你能帮助我做什么"}]},{"knowledgeId":"1272947938412855296","knowledgeContent":[{"score":0.09467495400000002,"content":"小孩子打针了，今天不能吃鱼，你看还有什么合适的食谱推荐？","fileId":"1275470180282040320","chunkId":"116","textGroup":"SELECT id, title FROM recipe_knowledge_nutrition WHERE classify_crowd LIKE '%儿童%' AND materials_list NOT LIKE '%鱼%' ORDER BY random() LIMIT 5;"}]},{"knowledgeId":"1329399948694220800","knowledgeContent":[{"score":0.7610772499999999,"content":"接着微博","fileId":"1347217269055369216","chunkId":"218","textGroup":"cooking_control {type=continue}"},{"score":0.7553603624999999,"content":"放个新闻","fileId":"1329400169758941184","chunkId":"53","textGroup":"news {type=top,size=3}"},{"score":0.7459816325,"content":"暂时停止微波","fileId":"1347217269055369216","chunkId":"184","textGroup":"cooking_control {type=pause}"},{"score":0.7455695524999999,"content":"请帮我终止微波","fileId":"1347217269055369216","chunkId":"328","textGroup":"cooking_control {type=stop}"},{"score":0.7453173999999999,"content":"有什么娱乐新闻","fileId":"1329400169758941184","chunkId":"73","textGroup":"news {type=yule,size=3}"}]}]}</f>
        <v/>
      </c>
      <c r="C695" t="inlineStr">
        <is>
          <t>INFO</t>
        </is>
      </c>
      <c r="D695" t="inlineStr">
        <is>
          <t>vdh</t>
        </is>
      </c>
      <c r="E695" t="inlineStr">
        <is>
          <t>pro14</t>
        </is>
      </c>
      <c r="F695" t="inlineStr">
        <is>
          <t>prod</t>
        </is>
      </c>
    </row>
    <row r="696">
      <c r="A696" t="inlineStr">
        <is>
          <t>2025-05-09 15:29:04.289</t>
        </is>
      </c>
      <c r="B696" t="inlineStr">
        <is>
          <t>知识库插件检索耗时: 539ms</t>
        </is>
      </c>
      <c r="C696" t="inlineStr">
        <is>
          <t>INFO</t>
        </is>
      </c>
      <c r="D696" t="inlineStr">
        <is>
          <t>vdh</t>
        </is>
      </c>
      <c r="E696" t="inlineStr">
        <is>
          <t>pro14</t>
        </is>
      </c>
      <c r="F696" t="inlineStr">
        <is>
          <t>prod</t>
        </is>
      </c>
    </row>
    <row r="697">
      <c r="A697" t="inlineStr">
        <is>
          <t>2025-05-09 15:29:03.749</t>
        </is>
      </c>
      <c r="B697">
        <f>=请求开始== [请求IP]:172.18.33.14 ,[请求方式]:POST， [请求URL]:https://172.30.212.148:8080/api/appservice/bfv/v1/knowledge/retrieval/plugin, [请求类名]:com.yingzi.appservice.bfv.provider.rest.KnowledgeRetrievalController,[请求方法名]:plugin, [请求头参数]:{"host":"172.30.212.148:8080"}, [请求参数]:[{"query":"还有什么","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697" t="inlineStr">
        <is>
          <t>INFO</t>
        </is>
      </c>
      <c r="D697" t="inlineStr">
        <is>
          <t>vdh</t>
        </is>
      </c>
      <c r="E697" t="inlineStr">
        <is>
          <t>pro14</t>
        </is>
      </c>
      <c r="F697" t="inlineStr">
        <is>
          <t>prod</t>
        </is>
      </c>
    </row>
    <row r="698">
      <c r="A698" t="inlineStr">
        <is>
          <t>2025-05-09 15:29:03.720</t>
        </is>
      </c>
      <c r="B698">
        <f>=请求开始== [请求IP]:172.18.114.98 ,[请求方式]:POST， [请求URL]:https://172.30.212.148:8080/api/appservice/bfv/v1/chat/, [请求类名]:com.yingzi.appservice.bfv.provider.rest.ChatV1Controller,[请求方法名]:chat, [请求头参数]:{"host":"172.30.212.148:8080"}, [请求参数]:[{"stream":true,"message":"还有什么","args":"{\"adcode\":\"420100\",\"channel_id\":\"9\"}"}]</f>
        <v/>
      </c>
      <c r="C698" t="inlineStr">
        <is>
          <t>INFO</t>
        </is>
      </c>
      <c r="D698" t="inlineStr">
        <is>
          <t>vdh</t>
        </is>
      </c>
      <c r="E698" t="inlineStr">
        <is>
          <t>pro14</t>
        </is>
      </c>
      <c r="F698" t="inlineStr">
        <is>
          <t>prod</t>
        </is>
      </c>
    </row>
    <row r="699">
      <c r="A699" t="inlineStr">
        <is>
          <t>2025-05-09 15:28:58.516</t>
        </is>
      </c>
      <c r="B699">
        <f>=请求结束== [请求耗时]:11毫秒, [返回数据]:{"code":"000000","msg":"Success","traceId":"0dbeef69ffb186547ec89490b9e7ffaf"}</f>
        <v/>
      </c>
      <c r="C699" t="inlineStr">
        <is>
          <t>INFO</t>
        </is>
      </c>
      <c r="D699" t="inlineStr">
        <is>
          <t>vdh</t>
        </is>
      </c>
      <c r="E699" t="inlineStr">
        <is>
          <t>pro17</t>
        </is>
      </c>
      <c r="F699" t="inlineStr">
        <is>
          <t>prod</t>
        </is>
      </c>
    </row>
    <row r="700">
      <c r="A700" t="inlineStr">
        <is>
          <t>2025-05-09 15:28:58.505</t>
        </is>
      </c>
      <c r="B700">
        <f>=请求开始== [请求IP]:27.18.172.114 ,[请求方式]:POST， [请求URL]:https://172.30.103.196:8080/api/appservice/bfv/v1/chatHistory/batchSave, [请求类名]:com.yingzi.appservice.bfv.provider.rest.ChatHistoryController,[请求方法名]:batchSave, [请求头参数]:{"host":"172.30.103.196:8080"}, [请求参数]:[[{"userId":1031239387796570112,"deviceId":"64:79:F0:79:7A:FC","sessionId":"","avatarId":"11200220000208050000000000000000","appCode":"VDHtestWDC","instructionTemplateType":"","recordId":"","asrResult":"","knowledgeId":"","knowledgeMasterId":"","instructionType":"","instructionName":"","instructionFlag":"","parameter":"{}","ttsResultSource":"","ttsResult":"","response":0}]]</f>
        <v/>
      </c>
      <c r="C700" t="inlineStr">
        <is>
          <t>INFO</t>
        </is>
      </c>
      <c r="D700" t="inlineStr">
        <is>
          <t>vdh</t>
        </is>
      </c>
      <c r="E700" t="inlineStr">
        <is>
          <t>pro17</t>
        </is>
      </c>
      <c r="F700" t="inlineStr">
        <is>
          <t>prod</t>
        </is>
      </c>
    </row>
    <row r="701">
      <c r="A701" t="inlineStr">
        <is>
          <t>2025-05-09 15:28:56.462</t>
        </is>
      </c>
      <c r="B701">
        <f>=请求结束== [请求耗时]:15毫秒, [返回数据]:{"code":"000000","msg":"Success","traceId":"a96a71bb4652b9627450ad1c988d841c"}</f>
        <v/>
      </c>
      <c r="C701" t="inlineStr">
        <is>
          <t>INFO</t>
        </is>
      </c>
      <c r="D701" t="inlineStr">
        <is>
          <t>vdh</t>
        </is>
      </c>
      <c r="E701" t="inlineStr">
        <is>
          <t>pro17</t>
        </is>
      </c>
      <c r="F701" t="inlineStr">
        <is>
          <t>prod</t>
        </is>
      </c>
    </row>
    <row r="702">
      <c r="A702" t="inlineStr">
        <is>
          <t>2025-05-09 15:28:56.447</t>
        </is>
      </c>
      <c r="B702">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64:79:F0:FF:55:A5","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11,"minute":48,"second":27,"nano":0,"chronology":{"id":"ISO","calendarType":"iso8601"}},"response":1746762507282}]]</f>
        <v/>
      </c>
      <c r="C702" t="inlineStr">
        <is>
          <t>INFO</t>
        </is>
      </c>
      <c r="D702" t="inlineStr">
        <is>
          <t>vdh</t>
        </is>
      </c>
      <c r="E702" t="inlineStr">
        <is>
          <t>pro17</t>
        </is>
      </c>
      <c r="F702" t="inlineStr">
        <is>
          <t>prod</t>
        </is>
      </c>
    </row>
    <row r="703">
      <c r="A703" t="inlineStr">
        <is>
          <t>2025-05-09 15:25:07.215</t>
        </is>
      </c>
      <c r="B703">
        <f>=请求结束== [请求耗时]:12毫秒, [返回数据]:{"code":"000000","msg":"Success","traceId":"55ccf68b47c14a194bc6068271ab35ab"}</f>
        <v/>
      </c>
      <c r="C703" t="inlineStr">
        <is>
          <t>INFO</t>
        </is>
      </c>
      <c r="D703" t="inlineStr">
        <is>
          <t>vdh</t>
        </is>
      </c>
      <c r="E703" t="inlineStr">
        <is>
          <t>pro14</t>
        </is>
      </c>
      <c r="F703" t="inlineStr">
        <is>
          <t>prod</t>
        </is>
      </c>
    </row>
    <row r="704">
      <c r="A704" t="inlineStr">
        <is>
          <t>2025-05-09 15:25:07.204</t>
        </is>
      </c>
      <c r="B704">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8:B1","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15,"minute":18,"second":19,"nano":0,"chronology":{"id":"ISO","calendarType":"iso8601"}},"response":1746775099631}]]</f>
        <v/>
      </c>
      <c r="C704" t="inlineStr">
        <is>
          <t>INFO</t>
        </is>
      </c>
      <c r="D704" t="inlineStr">
        <is>
          <t>vdh</t>
        </is>
      </c>
      <c r="E704" t="inlineStr">
        <is>
          <t>pro14</t>
        </is>
      </c>
      <c r="F704" t="inlineStr">
        <is>
          <t>prod</t>
        </is>
      </c>
    </row>
    <row r="705">
      <c r="A705" t="inlineStr">
        <is>
          <t>2025-05-09 15:25:04.018</t>
        </is>
      </c>
      <c r="B705">
        <f>=请求结束== [请求耗时]:16毫秒, [返回数据]:{"code":"000000","msg":"Success","traceId":"4358b7bd446b145609e299617c44be37"}</f>
        <v/>
      </c>
      <c r="C705" t="inlineStr">
        <is>
          <t>INFO</t>
        </is>
      </c>
      <c r="D705" t="inlineStr">
        <is>
          <t>vdh</t>
        </is>
      </c>
      <c r="E705" t="inlineStr">
        <is>
          <t>pro17</t>
        </is>
      </c>
      <c r="F705" t="inlineStr">
        <is>
          <t>prod</t>
        </is>
      </c>
    </row>
    <row r="706">
      <c r="A706" t="inlineStr">
        <is>
          <t>2025-05-09 15:25:04.002</t>
        </is>
      </c>
      <c r="B706">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17:5E:26","sessionId":"","avatarId":"11200220000208050000000000000000","appCode":"VDHtestWDC","instructionTemplateType":"","recordId":"","asrResult":"","knowledgeId":"","knowledgeMasterId":"","instructionType":"","instructionName":"","instructionFlag":"","parameter":"{}","ttsResultSource":"","ttsResult":"","response":0}]]</f>
        <v/>
      </c>
      <c r="C706" t="inlineStr">
        <is>
          <t>INFO</t>
        </is>
      </c>
      <c r="D706" t="inlineStr">
        <is>
          <t>vdh</t>
        </is>
      </c>
      <c r="E706" t="inlineStr">
        <is>
          <t>pro17</t>
        </is>
      </c>
      <c r="F706" t="inlineStr">
        <is>
          <t>prod</t>
        </is>
      </c>
    </row>
    <row r="707">
      <c r="A707" t="inlineStr">
        <is>
          <t>2025-05-09 15:24:49.156</t>
        </is>
      </c>
      <c r="B707">
        <f>=请求结束== [请求耗时]:539毫秒, [返回数据]:{"code":"000000","msg":"Success","data":[{"knowledgeId":"1272948056214077440","knowledgeContent":[{"score":0.36054331600000006,"content":"问题：你最喜欢的运动是什么。\\n回复：我喜欢羽毛球，能提升身体协调性和灵活性。","fileId":"1303425377255075840","chunkId":"2717","textGroup":"你最喜欢的运动是什么"},{"score":0.31517360000000005,"content":"问题：你有兄弟姐妹吗。\\n回复：我的兄弟姐妹可不少！他们有的擅长运动，有的擅长健康美食推荐，都是为了帮助人类更好的生活。","fileId":"1303425377255075840","chunkId":"2726","textGroup":"你有兄弟姐妹吗"}]},{"knowledgeId":"1310573539587891200","knowledgeContent":[{"score":0.19023004000000002,"content":"今天天气是怎样的","fileId":"1328421153719672832","chunkId":"12","textGroup":"getCurrentWeather"},{"score":0.18332358800000004,"content":"有什么国际新闻","fileId":"1328421153719672832","chunkId":"72","textGroup":"news {type=guoji,size=3}"},{"score":0.18332358800000004,"content":"有什么国内新闻","fileId":"1328421153719672832","chunkId":"71","textGroup":"news {type=guonei,size=3}"},{"score":0.18332358800000004,"content":"有什么汽车新闻","fileId":"1328421153719672832","chunkId":"79","textGroup":"news {type=qiche,size=3}"},{"score":0.18332358800000004,"content":"有什么财经新闻","fileId":"1328421153719672832","chunkId":"77","textGroup":"news {type=caijing,size=3}"},{"score":0.18332358800000004,"content":"有什么科技新闻","fileId":"1328421153719672832","chunkId":"76","textGroup":"news {type=keji,size=3}"},{"score":0.18332358800000004,"content":"有什么军事新闻","fileId":"1328421153719672832","chunkId":"75","textGroup":"news {type=junshi,size=3}"},{"score":0.18332358800000004,"content":"有什么体育新闻","fileId":"1328421153719672832","chunkId":"74","textGroup":"news {type=tiyu,size=3}"},{"score":0.18332358800000004,"content":"有什么热点新闻","fileId":"1328421153719672832","chunkId":"81","textGroup":"news {type=top,size=3}"},{"score":0.18332358800000004,"content":"有什么口感","fileId":"1311270426744270848","chunkId":"60","textGroup":"set_foodtype_taste"},{"score":0.16697973600000002,"content":"有什么娱乐新闻","fileId":"1328421153719672832","chunkId":"73","textGroup":"news {type=yule,size=3}"},{"score":0.16697973600000002,"content":"有什么健康新闻","fileId":"1328421153719672832","chunkId":"80","textGroup":"news {type=jiankang,size=3}"}]}]}</f>
        <v/>
      </c>
      <c r="C707" t="inlineStr">
        <is>
          <t>INFO</t>
        </is>
      </c>
      <c r="D707" t="inlineStr">
        <is>
          <t>vdh</t>
        </is>
      </c>
      <c r="E707" t="inlineStr">
        <is>
          <t>pro14</t>
        </is>
      </c>
      <c r="F707" t="inlineStr">
        <is>
          <t>prod</t>
        </is>
      </c>
    </row>
    <row r="708">
      <c r="A708" t="inlineStr">
        <is>
          <t>2025-05-09 15:24:49.155</t>
        </is>
      </c>
      <c r="B708" t="inlineStr">
        <is>
          <t>知识库插件检索耗时: 537ms</t>
        </is>
      </c>
      <c r="C708" t="inlineStr">
        <is>
          <t>INFO</t>
        </is>
      </c>
      <c r="D708" t="inlineStr">
        <is>
          <t>vdh</t>
        </is>
      </c>
      <c r="E708" t="inlineStr">
        <is>
          <t>pro14</t>
        </is>
      </c>
      <c r="F708" t="inlineStr">
        <is>
          <t>prod</t>
        </is>
      </c>
    </row>
    <row r="709">
      <c r="A709" t="inlineStr">
        <is>
          <t>2025-05-09 15:24:48.617</t>
        </is>
      </c>
      <c r="B709">
        <f>=请求开始== [请求IP]:172.21.10.31 ,[请求方式]:POST， [请求URL]:https://172.30.212.148:8080/api/appservice/bfv/v1/knowledge/retrieval/plugin, [请求类名]:com.yingzi.appservice.bfv.provider.rest.KnowledgeRetrievalController,[请求方法名]:plugin, [请求头参数]:{"host":"172.30.212.148:8080"}, [请求参数]:[{"query":"什么是无氧运动","auto_config":1,"knowledge_configs":[{"topk":15,"type":"faq_wda_oven","knowledge_id":"1272948056214077440","vector_threshold":0.89,"match_score":1.0,"vector_boost":0.72},{"topk":40,"type":"command_dual-screen-nvidia_oven","knowledge_id":"1310573539587891200","vector_threshold":0.9,"match_score":0.55,"vector_boost":0.72},{"topk":20,"type":"sql_business_database_recipe","knowledge_id":"1272947938412855296","vector_threshold":0.9,"match_score":0.55,"vector_boost":0.72},{"topk":3,"type":"other","knowledge_id":"1326868148286373888","vector_threshold":0.88,"match_score":0.8,"vector_boost":0.72}]}]</f>
        <v/>
      </c>
      <c r="C709" t="inlineStr">
        <is>
          <t>INFO</t>
        </is>
      </c>
      <c r="D709" t="inlineStr">
        <is>
          <t>vdh</t>
        </is>
      </c>
      <c r="E709" t="inlineStr">
        <is>
          <t>pro14</t>
        </is>
      </c>
      <c r="F709" t="inlineStr">
        <is>
          <t>prod</t>
        </is>
      </c>
    </row>
    <row r="710">
      <c r="A710" t="inlineStr">
        <is>
          <t>2025-05-09 15:24:13.494</t>
        </is>
      </c>
      <c r="B710">
        <f>=请求结束== [请求耗时]:419毫秒, [返回数据]:{"code":"000000","msg":"Success","data":[{"knowledgeId":"1310573539587891200","knowledgeContent":[{"score":1.105570116,"content":"广州明天天气","fileId":"1328421153719672832","chunkId":"36","textGroup":"getCurrentWeather {province=广东省,city=广州市}"},{"score":0.8677429839999999,"content":"最新天气","fileId":"1328421153719672832","chunkId":"3","textGroup":"getCurrentWeather"},{"score":0.8593944516,"content":"深圳明天天气","fileId":"1328421153719672832","chunkId":"42","textGroup":"getCurrentWeather {province=广东省,city=深圳市}"},{"score":0.8549244756000001,"content":"贵港明天天气","fileId":"1328421153719672832","chunkId":"31","textGroup":"getCurrentWeather {province=广西壮族自治区,city=贵港市}"},{"score":0.69730722,"content":"番禺区今天天气","fileId":"1328421153719672832","chunkId":"39","textGroup":"getCurrentWeather {province=广东省,city=广州市,district=番禺区}"},{"score":0.684754056,"content":"宝安区今天天气","fileId":"1328421153719672832","chunkId":"44","textGroup":"getCurrentWeather {province=广东省,city=深圳市,district=宝安区}"},{"score":0.684243936,"content":"天河区今天天气","fileId":"1328421153719672832","chunkId":"37","textGroup":"getCurrentWeather {province=广东省,city=广州市,district=天河区}"},{"score":0.678469284,"content":"南沙区今天天气","fileId":"1328421153719672832","chunkId":"38","textGroup":"getCurrentWeather {province=广东省,city=广州市,district=南沙区}"},{"score":0.6761672639999999,"content":"白云区今天天气","fileId":"1328421153719672832","chunkId":"40","textGroup":"getCurrentWeather {province=广东省,city=广州市,district=白云区}"},{"score":0.676097424,"content":"港南区今天天气","fileId":"1328421153719672832","chunkId":"32","textGroup":"getCurrentWeather {province=广西壮族自治区,city=贵港市,district=港南区}"},{"score":0.67564008,"content":"罗湖区今天天气","fileId":"1328421153719672832","chunkId":"45","textGroup":"getCurrentWeather {province=广东省,city=深圳市,district=罗湖区}"},{"score":0.67034556,"content":"南山区今天天气","fileId":"1328421153719672832","chunkId":"43","textGroup":"getCurrentWeather {province=广东省,city=深圳市,district=南山区}"},{"score":0.668675016,"content":"港北区今天天气","fileId":"1328421153719672832","chunkId":"33","textGroup":"getCurrentWeather {province=广西壮族自治区,city=贵港市,district=港北区}"},{"score":0.662041584,"content":"光明区今天天气","fileId":"1328421153719672832","chunkId":"47","textGroup":"getCurrentWeather {province=广东省,city=深圳市,district=光明区}"},{"score":0.6616262519999999,"content":"通州区今天天气","fileId":"1328421153719672832","chunkId":"50","textGroup":"getCurrentWeather {province=北京市,district=通州区}"},{"score":0.6606095399999999,"content":"龙华区今天天气","fileId":"1328421153719672832","chunkId":"46","textGroup":"getCurrentWeather {province=广东省,city=深圳市,district=龙华区}"},{"score":0.659484936,"content":"南宁今天天气","fileId":"1328421153719672832","chunkId":"48","textGroup":"getCurrentWeather {province=广西壮族自治区,city=南宁市}"},{"score":0.655485228,"content":"北京今天天气","fileId":"1328421153719672832","chunkId":"49","textGroup":"getCurrentWeather {province=北京市}"}]}]}</f>
        <v/>
      </c>
      <c r="C710" t="inlineStr">
        <is>
          <t>INFO</t>
        </is>
      </c>
      <c r="D710" t="inlineStr">
        <is>
          <t>vdh</t>
        </is>
      </c>
      <c r="E710" t="inlineStr">
        <is>
          <t>pro17</t>
        </is>
      </c>
      <c r="F710" t="inlineStr">
        <is>
          <t>prod</t>
        </is>
      </c>
    </row>
    <row r="711">
      <c r="A711" t="inlineStr">
        <is>
          <t>2025-05-09 15:24:13.493</t>
        </is>
      </c>
      <c r="B711" t="inlineStr">
        <is>
          <t>知识库插件检索耗时: 417ms</t>
        </is>
      </c>
      <c r="C711" t="inlineStr">
        <is>
          <t>INFO</t>
        </is>
      </c>
      <c r="D711" t="inlineStr">
        <is>
          <t>vdh</t>
        </is>
      </c>
      <c r="E711" t="inlineStr">
        <is>
          <t>pro17</t>
        </is>
      </c>
      <c r="F711" t="inlineStr">
        <is>
          <t>prod</t>
        </is>
      </c>
    </row>
    <row r="712">
      <c r="A712" t="inlineStr">
        <is>
          <t>2025-05-09 15:24:13.075</t>
        </is>
      </c>
      <c r="B712">
        <f>=请求开始== [请求IP]:172.21.10.31 ,[请求方式]:POST， [请求URL]:https://172.30.103.196:8080/api/appservice/bfv/v1/knowledge/retrieval/plugin, [请求类名]:com.yingzi.appservice.bfv.provider.rest.KnowledgeRetrievalController,[请求方法名]:plugin, [请求头参数]:{"host":"172.30.103.196:8080"}, [请求参数]:[{"query":"广州天气","auto_config":1,"knowledge_configs":[{"topk":15,"type":"faq_wda_oven","knowledge_id":"1272948056214077440","vector_threshold":0.89,"match_score":1.0,"vector_boost":0.72},{"topk":40,"type":"command_dual-screen-nvidia_oven","knowledge_id":"1310573539587891200","vector_threshold":0.9,"match_score":0.55,"vector_boost":0.72},{"topk":20,"type":"sql_business_database_recipe","knowledge_id":"1272947938412855296","vector_threshold":0.9,"match_score":0.55,"vector_boost":0.72},{"topk":3,"type":"other","knowledge_id":"1326868148286373888","vector_threshold":0.88,"match_score":0.8,"vector_boost":0.72}]}]</f>
        <v/>
      </c>
      <c r="C712" t="inlineStr">
        <is>
          <t>INFO</t>
        </is>
      </c>
      <c r="D712" t="inlineStr">
        <is>
          <t>vdh</t>
        </is>
      </c>
      <c r="E712" t="inlineStr">
        <is>
          <t>pro17</t>
        </is>
      </c>
      <c r="F712" t="inlineStr">
        <is>
          <t>prod</t>
        </is>
      </c>
    </row>
    <row r="713">
      <c r="A713" t="inlineStr">
        <is>
          <t>2025-05-09 15:23:36.482</t>
        </is>
      </c>
      <c r="B713">
        <f>=请求结束== [请求耗时]:433毫秒, [返回数据]:{"code":"000000","msg":"Success","data":[{"knowledgeId":"1310573539587891200","knowledgeContent":[{"score":1.105570116,"content":"广州明天天气","fileId":"1328421153719672832","chunkId":"36","textGroup":"getCurrentWeather {province=广东省,city=广州市}"},{"score":0.8677429839999999,"content":"最新天气","fileId":"1328421153719672832","chunkId":"3","textGroup":"getCurrentWeather"},{"score":0.8593944516,"content":"深圳明天天气","fileId":"1328421153719672832","chunkId":"42","textGroup":"getCurrentWeather {province=广东省,city=深圳市}"},{"score":0.8549244756000001,"content":"贵港明天天气","fileId":"1328421153719672832","chunkId":"31","textGroup":"getCurrentWeather {province=广西壮族自治区,city=贵港市}"},{"score":0.69730722,"content":"番禺区今天天气","fileId":"1328421153719672832","chunkId":"39","textGroup":"getCurrentWeather {province=广东省,city=广州市,district=番禺区}"},{"score":0.684754056,"content":"宝安区今天天气","fileId":"1328421153719672832","chunkId":"44","textGroup":"getCurrentWeather {province=广东省,city=深圳市,district=宝安区}"},{"score":0.684243936,"content":"天河区今天天气","fileId":"1328421153719672832","chunkId":"37","textGroup":"getCurrentWeather {province=广东省,city=广州市,district=天河区}"},{"score":0.678469284,"content":"南沙区今天天气","fileId":"1328421153719672832","chunkId":"38","textGroup":"getCurrentWeather {province=广东省,city=广州市,district=南沙区}"},{"score":0.6761672639999999,"content":"白云区今天天气","fileId":"1328421153719672832","chunkId":"40","textGroup":"getCurrentWeather {province=广东省,city=广州市,district=白云区}"},{"score":0.676097424,"content":"港南区今天天气","fileId":"1328421153719672832","chunkId":"32","textGroup":"getCurrentWeather {province=广西壮族自治区,city=贵港市,district=港南区}"},{"score":0.67564008,"content":"罗湖区今天天气","fileId":"1328421153719672832","chunkId":"45","textGroup":"getCurrentWeather {province=广东省,city=深圳市,district=罗湖区}"},{"score":0.67034556,"content":"南山区今天天气","fileId":"1328421153719672832","chunkId":"43","textGroup":"getCurrentWeather {province=广东省,city=深圳市,district=南山区}"},{"score":0.668675016,"content":"港北区今天天气","fileId":"1328421153719672832","chunkId":"33","textGroup":"getCurrentWeather {province=广西壮族自治区,city=贵港市,district=港北区}"},{"score":0.662041584,"content":"光明区今天天气","fileId":"1328421153719672832","chunkId":"47","textGroup":"getCurrentWeather {province=广东省,city=深圳市,district=光明区}"},{"score":0.6616262519999999,"content":"通州区今天天气","fileId":"1328421153719672832","chunkId":"50","textGroup":"getCurrentWeather {province=北京市,district=通州区}"},{"score":0.6606095399999999,"content":"龙华区今天天气","fileId":"1328421153719672832","chunkId":"46","textGroup":"getCurrentWeather {province=广东省,city=深圳市,district=龙华区}"},{"score":0.659484936,"content":"南宁今天天气","fileId":"1328421153719672832","chunkId":"48","textGroup":"getCurrentWeather {province=广西壮族自治区,city=南宁市}"},{"score":0.655485228,"content":"北京今天天气","fileId":"1328421153719672832","chunkId":"49","textGroup":"getCurrentWeather {province=北京市}"}]}]}</f>
        <v/>
      </c>
      <c r="C713" t="inlineStr">
        <is>
          <t>INFO</t>
        </is>
      </c>
      <c r="D713" t="inlineStr">
        <is>
          <t>vdh</t>
        </is>
      </c>
      <c r="E713" t="inlineStr">
        <is>
          <t>pro14</t>
        </is>
      </c>
      <c r="F713" t="inlineStr">
        <is>
          <t>prod</t>
        </is>
      </c>
    </row>
    <row r="714">
      <c r="A714" t="inlineStr">
        <is>
          <t>2025-05-09 15:23:36.481</t>
        </is>
      </c>
      <c r="B714" t="inlineStr">
        <is>
          <t>知识库插件检索耗时: 431ms</t>
        </is>
      </c>
      <c r="C714" t="inlineStr">
        <is>
          <t>INFO</t>
        </is>
      </c>
      <c r="D714" t="inlineStr">
        <is>
          <t>vdh</t>
        </is>
      </c>
      <c r="E714" t="inlineStr">
        <is>
          <t>pro14</t>
        </is>
      </c>
      <c r="F714" t="inlineStr">
        <is>
          <t>prod</t>
        </is>
      </c>
    </row>
    <row r="715">
      <c r="A715" t="inlineStr">
        <is>
          <t>2025-05-09 15:23:36.048</t>
        </is>
      </c>
      <c r="B715">
        <f>=请求开始== [请求IP]:172.21.10.31 ,[请求方式]:POST， [请求URL]:https://172.30.212.148:8080/api/appservice/bfv/v1/knowledge/retrieval/plugin, [请求类名]:com.yingzi.appservice.bfv.provider.rest.KnowledgeRetrievalController,[请求方法名]:plugin, [请求头参数]:{"host":"172.30.212.148:8080"}, [请求参数]:[{"query":"广州天气","auto_config":1,"knowledge_configs":[{"topk":15,"type":"faq_wda_oven","knowledge_id":"1272948056214077440","vector_threshold":0.89,"match_score":1.0,"vector_boost":0.72},{"topk":40,"type":"command_dual-screen-nvidia_oven","knowledge_id":"1310573539587891200","vector_threshold":0.9,"match_score":0.55,"vector_boost":0.72},{"topk":20,"type":"sql_business_database_recipe","knowledge_id":"1272947938412855296","vector_threshold":0.9,"match_score":0.55,"vector_boost":0.72},{"topk":3,"type":"other","knowledge_id":"1326868148286373888","vector_threshold":0.88,"match_score":0.8,"vector_boost":0.72}]}]</f>
        <v/>
      </c>
      <c r="C715" t="inlineStr">
        <is>
          <t>INFO</t>
        </is>
      </c>
      <c r="D715" t="inlineStr">
        <is>
          <t>vdh</t>
        </is>
      </c>
      <c r="E715" t="inlineStr">
        <is>
          <t>pro14</t>
        </is>
      </c>
      <c r="F715" t="inlineStr">
        <is>
          <t>prod</t>
        </is>
      </c>
    </row>
    <row r="716">
      <c r="A716" t="inlineStr">
        <is>
          <t>2025-05-09 15:23:08.378</t>
        </is>
      </c>
      <c r="B716">
        <f>=请求结束== [请求耗时]:17毫秒, [返回数据]:{"code":"000000","msg":"Success","traceId":"26388cc85098392613b921475d824bcd"}</f>
        <v/>
      </c>
      <c r="C716" t="inlineStr">
        <is>
          <t>INFO</t>
        </is>
      </c>
      <c r="D716" t="inlineStr">
        <is>
          <t>vdh</t>
        </is>
      </c>
      <c r="E716" t="inlineStr">
        <is>
          <t>pro17</t>
        </is>
      </c>
      <c r="F716" t="inlineStr">
        <is>
          <t>prod</t>
        </is>
      </c>
    </row>
    <row r="717">
      <c r="A717" t="inlineStr">
        <is>
          <t>2025-05-09 15:23:08.361</t>
        </is>
      </c>
      <c r="B717">
        <f>=请求开始== [请求IP]:119.32.28.2 ,[请求方式]:POST， [请求URL]:https://172.30.103.196:8080/api/appservice/bfv/v1/chatHistory/batchSave, [请求类名]:com.yingzi.appservice.bfv.provider.rest.ChatHistoryController,[请求方法名]:batchSave, [请求头参数]:{"host":"172.30.103.196:8080"}, [请求参数]:[[{"userId":1125440324555161600,"deviceId":"64:79:F0:79:7B:33","sessionId":"","avatarId":"11200220000208050000000000000000","appCode":"VDHtestWDC","instructionTemplateType":"","recordId":"","asrResult":"","knowledgeId":"","knowledgeMasterId":"","instructionType":"","instructionName":"","instructionFlag":"","parameter":"{}","ttsResultSource":"","ttsResult":"","response":0}]]</f>
        <v/>
      </c>
      <c r="C717" t="inlineStr">
        <is>
          <t>INFO</t>
        </is>
      </c>
      <c r="D717" t="inlineStr">
        <is>
          <t>vdh</t>
        </is>
      </c>
      <c r="E717" t="inlineStr">
        <is>
          <t>pro17</t>
        </is>
      </c>
      <c r="F717" t="inlineStr">
        <is>
          <t>prod</t>
        </is>
      </c>
    </row>
    <row r="718">
      <c r="A718" t="inlineStr">
        <is>
          <t>2025-05-09 15:21:46.137</t>
        </is>
      </c>
      <c r="B718">
        <f>=请求结束== [请求耗时]:15毫秒, [返回数据]:{"code":"000000","msg":"Success","traceId":"e1fb07adbda563c118ca9477207b7a8b"}</f>
        <v/>
      </c>
      <c r="C718" t="inlineStr">
        <is>
          <t>INFO</t>
        </is>
      </c>
      <c r="D718" t="inlineStr">
        <is>
          <t>vdh</t>
        </is>
      </c>
      <c r="E718" t="inlineStr">
        <is>
          <t>pro14</t>
        </is>
      </c>
      <c r="F718" t="inlineStr">
        <is>
          <t>prod</t>
        </is>
      </c>
    </row>
    <row r="719">
      <c r="A719" t="inlineStr">
        <is>
          <t>2025-05-09 15:21:46.122</t>
        </is>
      </c>
      <c r="B719">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5:D2","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15,"minute":18,"second":12,"nano":0,"chronology":{"id":"ISO","calendarType":"iso8601"}},"response":1746775092572}]]</f>
        <v/>
      </c>
      <c r="C719" t="inlineStr">
        <is>
          <t>INFO</t>
        </is>
      </c>
      <c r="D719" t="inlineStr">
        <is>
          <t>vdh</t>
        </is>
      </c>
      <c r="E719" t="inlineStr">
        <is>
          <t>pro14</t>
        </is>
      </c>
      <c r="F719" t="inlineStr">
        <is>
          <t>prod</t>
        </is>
      </c>
    </row>
    <row r="720">
      <c r="A720" t="inlineStr">
        <is>
          <t>2025-05-09 15:21:35.907</t>
        </is>
      </c>
      <c r="B720">
        <f>=请求结束== [请求耗时]:15毫秒, [返回数据]:{"code":"000000","msg":"Success","traceId":"69c1683cf0c17f5955dc884c43474818"}</f>
        <v/>
      </c>
      <c r="C720" t="inlineStr">
        <is>
          <t>INFO</t>
        </is>
      </c>
      <c r="D720" t="inlineStr">
        <is>
          <t>vdh</t>
        </is>
      </c>
      <c r="E720" t="inlineStr">
        <is>
          <t>pro17</t>
        </is>
      </c>
      <c r="F720" t="inlineStr">
        <is>
          <t>prod</t>
        </is>
      </c>
    </row>
    <row r="721">
      <c r="A721" t="inlineStr">
        <is>
          <t>2025-05-09 15:21:35.892</t>
        </is>
      </c>
      <c r="B721">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1C:99:57:15:E5:D2","sessionId":"","avatarId":"11200220000208050000000000000000","appCode":"VDHtestWDC","instructionTemplateType":"","recordId":"","asrResult":"","knowledgeId":"","knowledgeMasterId":"","instructionType":"","instructionName":"","instructionFlag":"","parameter":"{}","ttsResultSource":"local","ttsResult":"小万发现了玉米,主人喜欢脆嫩还是熟制(复热)口感","ttsResultTime":{"year":2025,"monthValue":5,"month":"MAY","dayOfMonth":9,"dayOfYear":129,"dayOfWeek":"FRIDAY","hour":15,"minute":18,"second":2,"nano":0,"chronology":{"id":"ISO","calendarType":"iso8601"}},"response":1746775082253}]]</f>
        <v/>
      </c>
      <c r="C721" t="inlineStr">
        <is>
          <t>INFO</t>
        </is>
      </c>
      <c r="D721" t="inlineStr">
        <is>
          <t>vdh</t>
        </is>
      </c>
      <c r="E721" t="inlineStr">
        <is>
          <t>pro17</t>
        </is>
      </c>
      <c r="F721" t="inlineStr">
        <is>
          <t>prod</t>
        </is>
      </c>
    </row>
    <row r="722">
      <c r="A722" t="inlineStr">
        <is>
          <t>2025-05-09 15:21:07.098</t>
        </is>
      </c>
      <c r="B722">
        <f>=请求结束== [请求耗时]:14毫秒, [返回数据]:{"code":"000000","msg":"Success","traceId":"e7b6ea2060911ceefa820fdfa15365a0"}</f>
        <v/>
      </c>
      <c r="C722" t="inlineStr">
        <is>
          <t>INFO</t>
        </is>
      </c>
      <c r="D722" t="inlineStr">
        <is>
          <t>vdh</t>
        </is>
      </c>
      <c r="E722" t="inlineStr">
        <is>
          <t>pro14</t>
        </is>
      </c>
      <c r="F722" t="inlineStr">
        <is>
          <t>prod</t>
        </is>
      </c>
    </row>
    <row r="723">
      <c r="A723" t="inlineStr">
        <is>
          <t>2025-05-09 15:21:07.084</t>
        </is>
      </c>
      <c r="B72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5:D2","sessionId":"","avatarId":"11200220000208050000000000000000","appCode":"VDHtestWDC","instructionTemplateType":"","recordId":"","asrResult":"","knowledgeId":"","knowledgeMasterId":"","instructionType":"","instructionName":"","instructionFlag":"","parameter":"{}","ttsResultSource":"local","ttsResult":"小万发现了玉米,主人喜欢脆嫩还是熟制(复热)口感","ttsResultTime":{"year":2025,"monthValue":5,"month":"MAY","dayOfMonth":9,"dayOfYear":129,"dayOfWeek":"FRIDAY","hour":15,"minute":17,"second":32,"nano":0,"chronology":{"id":"ISO","calendarType":"iso8601"}},"response":1746775052973}]]</f>
        <v/>
      </c>
      <c r="C723" t="inlineStr">
        <is>
          <t>INFO</t>
        </is>
      </c>
      <c r="D723" t="inlineStr">
        <is>
          <t>vdh</t>
        </is>
      </c>
      <c r="E723" t="inlineStr">
        <is>
          <t>pro14</t>
        </is>
      </c>
      <c r="F723" t="inlineStr">
        <is>
          <t>prod</t>
        </is>
      </c>
    </row>
    <row r="724">
      <c r="A724" t="inlineStr">
        <is>
          <t>2025-05-09 15:19:40.310</t>
        </is>
      </c>
      <c r="B724">
        <f>=请求结束== [请求耗时]:15毫秒, [返回数据]:{"code":"000000","msg":"Success","traceId":"960cac8e932e418d2411e0005477a76b"}</f>
        <v/>
      </c>
      <c r="C724" t="inlineStr">
        <is>
          <t>INFO</t>
        </is>
      </c>
      <c r="D724" t="inlineStr">
        <is>
          <t>vdh</t>
        </is>
      </c>
      <c r="E724" t="inlineStr">
        <is>
          <t>pro14</t>
        </is>
      </c>
      <c r="F724" t="inlineStr">
        <is>
          <t>prod</t>
        </is>
      </c>
    </row>
    <row r="725">
      <c r="A725" t="inlineStr">
        <is>
          <t>2025-05-09 15:19:40.295</t>
        </is>
      </c>
      <c r="B725">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17:5E:26","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15,"minute":12,"second":21,"nano":0,"chronology":{"id":"ISO","calendarType":"iso8601"}},"response":1746774741881}]]</f>
        <v/>
      </c>
      <c r="C725" t="inlineStr">
        <is>
          <t>INFO</t>
        </is>
      </c>
      <c r="D725" t="inlineStr">
        <is>
          <t>vdh</t>
        </is>
      </c>
      <c r="E725" t="inlineStr">
        <is>
          <t>pro14</t>
        </is>
      </c>
      <c r="F725" t="inlineStr">
        <is>
          <t>prod</t>
        </is>
      </c>
    </row>
    <row r="726">
      <c r="A726" t="inlineStr">
        <is>
          <t>2025-05-09 15:17:49.098</t>
        </is>
      </c>
      <c r="B726">
        <f>=请求结束== [请求耗时]:15毫秒, [返回数据]:{"code":"000000","msg":"Success","traceId":"912d0b0e8d86af7e748b5ebbef78635b"}</f>
        <v/>
      </c>
      <c r="C726" t="inlineStr">
        <is>
          <t>INFO</t>
        </is>
      </c>
      <c r="D726" t="inlineStr">
        <is>
          <t>vdh</t>
        </is>
      </c>
      <c r="E726" t="inlineStr">
        <is>
          <t>pro17</t>
        </is>
      </c>
      <c r="F726" t="inlineStr">
        <is>
          <t>prod</t>
        </is>
      </c>
    </row>
    <row r="727">
      <c r="A727" t="inlineStr">
        <is>
          <t>2025-05-09 15:17:49.083</t>
        </is>
      </c>
      <c r="B727">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1C:99:57:15:E8:B1","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15,"minute":14,"second":20,"nano":0,"chronology":{"id":"ISO","calendarType":"iso8601"}},"response":1746774860302}]]</f>
        <v/>
      </c>
      <c r="C727" t="inlineStr">
        <is>
          <t>INFO</t>
        </is>
      </c>
      <c r="D727" t="inlineStr">
        <is>
          <t>vdh</t>
        </is>
      </c>
      <c r="E727" t="inlineStr">
        <is>
          <t>pro17</t>
        </is>
      </c>
      <c r="F727" t="inlineStr">
        <is>
          <t>prod</t>
        </is>
      </c>
    </row>
    <row r="728">
      <c r="A728" t="inlineStr">
        <is>
          <t>2025-05-09 15:16:26.401</t>
        </is>
      </c>
      <c r="B728">
        <f>=请求结束== [请求耗时]:566毫秒, [返回数据]:{"code":"000000","msg":"Success","data":[{"knowledgeId":"1272948056214077440","knowledgeContent":[{"score":0.36054331600000006,"content":"问题：你最喜欢的运动是什么。\\n回复：我喜欢羽毛球，能提升身体协调性和灵活性。","fileId":"1303425377255075840","chunkId":"2717","textGroup":"你最喜欢的运动是什么"},{"score":0.31517360000000005,"content":"问题：你有兄弟姐妹吗。\\n回复：我的兄弟姐妹可不少！他们有的擅长运动，有的擅长健康美食推荐，都是为了帮助人类更好的生活。","fileId":"1303425377255075840","chunkId":"2726","textGroup":"你有兄弟姐妹吗"}]},{"knowledgeId":"1310573539587891200","knowledgeContent":[{"score":0.19023004000000002,"content":"今天天气是怎样的","fileId":"1328421153719672832","chunkId":"12","textGroup":"getCurrentWeather"},{"score":0.18332358800000004,"content":"有什么国际新闻","fileId":"1328421153719672832","chunkId":"72","textGroup":"news {type=guoji,size=3}"},{"score":0.18332358800000004,"content":"有什么国内新闻","fileId":"1328421153719672832","chunkId":"71","textGroup":"news {type=guonei,size=3}"},{"score":0.18332358800000004,"content":"有什么汽车新闻","fileId":"1328421153719672832","chunkId":"79","textGroup":"news {type=qiche,size=3}"},{"score":0.18332358800000004,"content":"有什么财经新闻","fileId":"1328421153719672832","chunkId":"77","textGroup":"news {type=caijing,size=3}"},{"score":0.18332358800000004,"content":"有什么科技新闻","fileId":"1328421153719672832","chunkId":"76","textGroup":"news {type=keji,size=3}"},{"score":0.18332358800000004,"content":"有什么军事新闻","fileId":"1328421153719672832","chunkId":"75","textGroup":"news {type=junshi,size=3}"},{"score":0.18332358800000004,"content":"有什么体育新闻","fileId":"1328421153719672832","chunkId":"74","textGroup":"news {type=tiyu,size=3}"},{"score":0.18332358800000004,"content":"有什么热点新闻","fileId":"1328421153719672832","chunkId":"81","textGroup":"news {type=top,size=3}"},{"score":0.18332358800000004,"content":"有什么口感","fileId":"1311270426744270848","chunkId":"60","textGroup":"set_foodtype_taste"},{"score":0.16697973600000002,"content":"有什么娱乐新闻","fileId":"1328421153719672832","chunkId":"73","textGroup":"news {type=yule,size=3}"},{"score":0.16697973600000002,"content":"有什么健康新闻","fileId":"1328421153719672832","chunkId":"80","textGroup":"news {type=jiankang,size=3}"}]}]}</f>
        <v/>
      </c>
      <c r="C728" t="inlineStr">
        <is>
          <t>INFO</t>
        </is>
      </c>
      <c r="D728" t="inlineStr">
        <is>
          <t>vdh</t>
        </is>
      </c>
      <c r="E728" t="inlineStr">
        <is>
          <t>pro17</t>
        </is>
      </c>
      <c r="F728" t="inlineStr">
        <is>
          <t>prod</t>
        </is>
      </c>
    </row>
    <row r="729">
      <c r="A729" t="inlineStr">
        <is>
          <t>2025-05-09 15:16:26.401</t>
        </is>
      </c>
      <c r="B729" t="inlineStr">
        <is>
          <t>知识库插件检索耗时: 565ms</t>
        </is>
      </c>
      <c r="C729" t="inlineStr">
        <is>
          <t>INFO</t>
        </is>
      </c>
      <c r="D729" t="inlineStr">
        <is>
          <t>vdh</t>
        </is>
      </c>
      <c r="E729" t="inlineStr">
        <is>
          <t>pro17</t>
        </is>
      </c>
      <c r="F729" t="inlineStr">
        <is>
          <t>prod</t>
        </is>
      </c>
    </row>
    <row r="730">
      <c r="A730" t="inlineStr">
        <is>
          <t>2025-05-09 15:16:25.835</t>
        </is>
      </c>
      <c r="B730">
        <f>=请求开始== [请求IP]:172.21.10.31 ,[请求方式]:POST， [请求URL]:https://172.30.103.196:8080/api/appservice/bfv/v1/knowledge/retrieval/plugin, [请求类名]:com.yingzi.appservice.bfv.provider.rest.KnowledgeRetrievalController,[请求方法名]:plugin, [请求头参数]:{"host":"172.30.103.196:8080"}, [请求参数]:[{"query":"什么是无氧运动","auto_config":1,"knowledge_configs":[{"topk":15,"type":"faq_wda_oven","knowledge_id":"1272948056214077440","vector_threshold":0.89,"match_score":1.0,"vector_boost":0.72},{"topk":40,"type":"command_dual-screen-nvidia_oven","knowledge_id":"1310573539587891200","vector_threshold":0.9,"match_score":0.55,"vector_boost":0.72},{"topk":20,"type":"sql_business_database_recipe","knowledge_id":"1272947938412855296","vector_threshold":0.9,"match_score":0.55,"vector_boost":0.72},{"topk":3,"type":"other","knowledge_id":"1326868148286373888","vector_threshold":0.88,"match_score":0.8,"vector_boost":0.72}]}]</f>
        <v/>
      </c>
      <c r="C730" t="inlineStr">
        <is>
          <t>INFO</t>
        </is>
      </c>
      <c r="D730" t="inlineStr">
        <is>
          <t>vdh</t>
        </is>
      </c>
      <c r="E730" t="inlineStr">
        <is>
          <t>pro17</t>
        </is>
      </c>
      <c r="F730" t="inlineStr">
        <is>
          <t>prod</t>
        </is>
      </c>
    </row>
    <row r="731">
      <c r="A731" t="inlineStr">
        <is>
          <t>2025-05-09 15:15:42.878</t>
        </is>
      </c>
      <c r="B731">
        <f>=请求结束== [请求耗时]:553毫秒, [返回数据]:{"code":"000000","msg":"Success","data":[{"knowledgeId":"1310573539587891200","knowledgeContent":[{"score":1.105570116,"content":"广州明天天气","fileId":"1328421153719672832","chunkId":"36","textGroup":"getCurrentWeather {province=广东省,city=广州市}"},{"score":0.8677429839999999,"content":"最新天气","fileId":"1328421153719672832","chunkId":"3","textGroup":"getCurrentWeather"},{"score":0.8593944516,"content":"深圳明天天气","fileId":"1328421153719672832","chunkId":"42","textGroup":"getCurrentWeather {province=广东省,city=深圳市}"},{"score":0.8549244756000001,"content":"贵港明天天气","fileId":"1328421153719672832","chunkId":"31","textGroup":"getCurrentWeather {province=广西壮族自治区,city=贵港市}"},{"score":0.69730722,"content":"番禺区今天天气","fileId":"1328421153719672832","chunkId":"39","textGroup":"getCurrentWeather {province=广东省,city=广州市,district=番禺区}"},{"score":0.684754056,"content":"宝安区今天天气","fileId":"1328421153719672832","chunkId":"44","textGroup":"getCurrentWeather {province=广东省,city=深圳市,district=宝安区}"},{"score":0.684243936,"content":"天河区今天天气","fileId":"1328421153719672832","chunkId":"37","textGroup":"getCurrentWeather {province=广东省,city=广州市,district=天河区}"},{"score":0.678469284,"content":"南沙区今天天气","fileId":"1328421153719672832","chunkId":"38","textGroup":"getCurrentWeather {province=广东省,city=广州市,district=南沙区}"},{"score":0.6761672639999999,"content":"白云区今天天气","fileId":"1328421153719672832","chunkId":"40","textGroup":"getCurrentWeather {province=广东省,city=广州市,district=白云区}"},{"score":0.676097424,"content":"港南区今天天气","fileId":"1328421153719672832","chunkId":"32","textGroup":"getCurrentWeather {province=广西壮族自治区,city=贵港市,district=港南区}"},{"score":0.67564008,"content":"罗湖区今天天气","fileId":"1328421153719672832","chunkId":"45","textGroup":"getCurrentWeather {province=广东省,city=深圳市,district=罗湖区}"},{"score":0.67034556,"content":"南山区今天天气","fileId":"1328421153719672832","chunkId":"43","textGroup":"getCurrentWeather {province=广东省,city=深圳市,district=南山区}"},{"score":0.668675016,"content":"港北区今天天气","fileId":"1328421153719672832","chunkId":"33","textGroup":"getCurrentWeather {province=广西壮族自治区,city=贵港市,district=港北区}"},{"score":0.662041584,"content":"光明区今天天气","fileId":"1328421153719672832","chunkId":"47","textGroup":"getCurrentWeather {province=广东省,city=深圳市,district=光明区}"},{"score":0.6616262519999999,"content":"通州区今天天气","fileId":"1328421153719672832","chunkId":"50","textGroup":"getCurrentWeather {province=北京市,district=通州区}"},{"score":0.6606095399999999,"content":"龙华区今天天气","fileId":"1328421153719672832","chunkId":"46","textGroup":"getCurrentWeather {province=广东省,city=深圳市,district=龙华区}"},{"score":0.659484936,"content":"南宁今天天气","fileId":"1328421153719672832","chunkId":"48","textGroup":"getCurrentWeather {province=广西壮族自治区,city=南宁市}"},{"score":0.655485228,"content":"北京今天天气","fileId":"1328421153719672832","chunkId":"49","textGroup":"getCurrentWeather {province=北京市}"}]}]}</f>
        <v/>
      </c>
      <c r="C731" t="inlineStr">
        <is>
          <t>INFO</t>
        </is>
      </c>
      <c r="D731" t="inlineStr">
        <is>
          <t>vdh</t>
        </is>
      </c>
      <c r="E731" t="inlineStr">
        <is>
          <t>pro14</t>
        </is>
      </c>
      <c r="F731" t="inlineStr">
        <is>
          <t>prod</t>
        </is>
      </c>
    </row>
    <row r="732">
      <c r="A732" t="inlineStr">
        <is>
          <t>2025-05-09 15:15:42.877</t>
        </is>
      </c>
      <c r="B732" t="inlineStr">
        <is>
          <t>知识库插件检索耗时: 550ms</t>
        </is>
      </c>
      <c r="C732" t="inlineStr">
        <is>
          <t>INFO</t>
        </is>
      </c>
      <c r="D732" t="inlineStr">
        <is>
          <t>vdh</t>
        </is>
      </c>
      <c r="E732" t="inlineStr">
        <is>
          <t>pro14</t>
        </is>
      </c>
      <c r="F732" t="inlineStr">
        <is>
          <t>prod</t>
        </is>
      </c>
    </row>
    <row r="733">
      <c r="A733" t="inlineStr">
        <is>
          <t>2025-05-09 15:15:42.325</t>
        </is>
      </c>
      <c r="B733">
        <f>=请求开始== [请求IP]:172.21.10.31 ,[请求方式]:POST， [请求URL]:https://172.30.212.148:8080/api/appservice/bfv/v1/knowledge/retrieval/plugin, [请求类名]:com.yingzi.appservice.bfv.provider.rest.KnowledgeRetrievalController,[请求方法名]:plugin, [请求头参数]:{"host":"172.30.212.148:8080"}, [请求参数]:[{"query":"广州天气","auto_config":1,"knowledge_configs":[{"topk":15,"type":"faq_wda_oven","knowledge_id":"1272948056214077440","vector_threshold":0.89,"match_score":1.0,"vector_boost":0.72},{"topk":40,"type":"command_dual-screen-nvidia_oven","knowledge_id":"1310573539587891200","vector_threshold":0.9,"match_score":0.55,"vector_boost":0.72},{"topk":20,"type":"sql_business_database_recipe","knowledge_id":"1272947938412855296","vector_threshold":0.9,"match_score":0.55,"vector_boost":0.72},{"topk":3,"type":"other","knowledge_id":"1326868148286373888","vector_threshold":0.88,"match_score":0.8,"vector_boost":0.72}]}]</f>
        <v/>
      </c>
      <c r="C733" t="inlineStr">
        <is>
          <t>INFO</t>
        </is>
      </c>
      <c r="D733" t="inlineStr">
        <is>
          <t>vdh</t>
        </is>
      </c>
      <c r="E733" t="inlineStr">
        <is>
          <t>pro14</t>
        </is>
      </c>
      <c r="F733" t="inlineStr">
        <is>
          <t>prod</t>
        </is>
      </c>
    </row>
    <row r="734">
      <c r="A734" t="inlineStr">
        <is>
          <t>2025-05-09 15:15:02.361</t>
        </is>
      </c>
      <c r="B734">
        <f>=请求结束== [请求耗时]:631毫秒, [返回数据]:{"code":"000000","msg":"Success","data":[{"knowledgeId":"1310573539587891200","knowledgeContent":[{"score":1.105570116,"content":"广州明天天气","fileId":"1328421153719672832","chunkId":"36","textGroup":"getCurrentWeather {province=广东省,city=广州市}"},{"score":0.8677429839999999,"content":"最新天气","fileId":"1328421153719672832","chunkId":"3","textGroup":"getCurrentWeather"},{"score":0.8593944516,"content":"深圳明天天气","fileId":"1328421153719672832","chunkId":"42","textGroup":"getCurrentWeather {province=广东省,city=深圳市}"},{"score":0.8549244756000001,"content":"贵港明天天气","fileId":"1328421153719672832","chunkId":"31","textGroup":"getCurrentWeather {province=广西壮族自治区,city=贵港市}"},{"score":0.69730722,"content":"番禺区今天天气","fileId":"1328421153719672832","chunkId":"39","textGroup":"getCurrentWeather {province=广东省,city=广州市,district=番禺区}"},{"score":0.684754056,"content":"宝安区今天天气","fileId":"1328421153719672832","chunkId":"44","textGroup":"getCurrentWeather {province=广东省,city=深圳市,district=宝安区}"},{"score":0.684243936,"content":"天河区今天天气","fileId":"1328421153719672832","chunkId":"37","textGroup":"getCurrentWeather {province=广东省,city=广州市,district=天河区}"},{"score":0.678469284,"content":"南沙区今天天气","fileId":"1328421153719672832","chunkId":"38","textGroup":"getCurrentWeather {province=广东省,city=广州市,district=南沙区}"},{"score":0.6761672639999999,"content":"白云区今天天气","fileId":"1328421153719672832","chunkId":"40","textGroup":"getCurrentWeather {province=广东省,city=广州市,district=白云区}"},{"score":0.676097424,"content":"港南区今天天气","fileId":"1328421153719672832","chunkId":"32","textGroup":"getCurrentWeather {province=广西壮族自治区,city=贵港市,district=港南区}"},{"score":0.67564008,"content":"罗湖区今天天气","fileId":"1328421153719672832","chunkId":"45","textGroup":"getCurrentWeather {province=广东省,city=深圳市,district=罗湖区}"},{"score":0.67034556,"content":"南山区今天天气","fileId":"1328421153719672832","chunkId":"43","textGroup":"getCurrentWeather {province=广东省,city=深圳市,district=南山区}"},{"score":0.668675016,"content":"港北区今天天气","fileId":"1328421153719672832","chunkId":"33","textGroup":"getCurrentWeather {province=广西壮族自治区,city=贵港市,district=港北区}"},{"score":0.662041584,"content":"光明区今天天气","fileId":"1328421153719672832","chunkId":"47","textGroup":"getCurrentWeather {province=广东省,city=深圳市,district=光明区}"},{"score":0.6616262519999999,"content":"通州区今天天气","fileId":"1328421153719672832","chunkId":"50","textGroup":"getCurrentWeather {province=北京市,district=通州区}"},{"score":0.6606095399999999,"content":"龙华区今天天气","fileId":"1328421153719672832","chunkId":"46","textGroup":"getCurrentWeather {province=广东省,city=深圳市,district=龙华区}"},{"score":0.659484936,"content":"南宁今天天气","fileId":"1328421153719672832","chunkId":"48","textGroup":"getCurrentWeather {province=广西壮族自治区,city=南宁市}"},{"score":0.655485228,"content":"北京今天天气","fileId":"1328421153719672832","chunkId":"49","textGroup":"getCurrentWeather {province=北京市}"}]}]}</f>
        <v/>
      </c>
      <c r="C734" t="inlineStr">
        <is>
          <t>INFO</t>
        </is>
      </c>
      <c r="D734" t="inlineStr">
        <is>
          <t>vdh</t>
        </is>
      </c>
      <c r="E734" t="inlineStr">
        <is>
          <t>pro17</t>
        </is>
      </c>
      <c r="F734" t="inlineStr">
        <is>
          <t>prod</t>
        </is>
      </c>
    </row>
    <row r="735">
      <c r="A735" t="inlineStr">
        <is>
          <t>2025-05-09 15:15:02.360</t>
        </is>
      </c>
      <c r="B735" t="inlineStr">
        <is>
          <t>知识库插件检索耗时: 629ms</t>
        </is>
      </c>
      <c r="C735" t="inlineStr">
        <is>
          <t>INFO</t>
        </is>
      </c>
      <c r="D735" t="inlineStr">
        <is>
          <t>vdh</t>
        </is>
      </c>
      <c r="E735" t="inlineStr">
        <is>
          <t>pro17</t>
        </is>
      </c>
      <c r="F735" t="inlineStr">
        <is>
          <t>prod</t>
        </is>
      </c>
    </row>
    <row r="736">
      <c r="A736" t="inlineStr">
        <is>
          <t>2025-05-09 15:15:01.792</t>
        </is>
      </c>
      <c r="B736" t="inlineStr">
        <is>
          <t>request data-gateway token response:{"code":200,"data":{"appKey":"yingzi-virtual-human","clientIp":"","deviceId":"","accessType":"RESTFUL","expiresIn":1746782101782,"access_token":"68847e93-4e0f-4683-8c3b-20a5ba3363bb"},"msg":"SUCCESS","extendInfo":null,"traceId":"6647d30e3a632b56a7c31e9467b5ba4d"}</t>
        </is>
      </c>
      <c r="C736" t="inlineStr">
        <is>
          <t>WARN</t>
        </is>
      </c>
      <c r="D736" t="inlineStr">
        <is>
          <t>vdh</t>
        </is>
      </c>
      <c r="E736" t="inlineStr">
        <is>
          <t>pro17</t>
        </is>
      </c>
      <c r="F736" t="inlineStr">
        <is>
          <t>prod</t>
        </is>
      </c>
    </row>
    <row r="737">
      <c r="A737" t="inlineStr">
        <is>
          <t>2025-05-09 15:15:01.730</t>
        </is>
      </c>
      <c r="B737">
        <f>=请求开始== [请求IP]:172.21.10.31 ,[请求方式]:POST， [请求URL]:https://172.30.103.196:8080/api/appservice/bfv/v1/knowledge/retrieval/plugin, [请求类名]:com.yingzi.appservice.bfv.provider.rest.KnowledgeRetrievalController,[请求方法名]:plugin, [请求头参数]:{"host":"172.30.103.196:8080"}, [请求参数]:[{"query":"广州天气","auto_config":1,"knowledge_configs":[{"topk":15,"type":"faq_wda_oven","knowledge_id":"1272948056214077440","vector_threshold":0.89,"match_score":1.0,"vector_boost":0.72},{"topk":40,"type":"command_dual-screen-nvidia_oven","knowledge_id":"1310573539587891200","vector_threshold":0.9,"match_score":0.55,"vector_boost":0.72},{"topk":20,"type":"sql_business_database_recipe","knowledge_id":"1272947938412855296","vector_threshold":0.9,"match_score":0.55,"vector_boost":0.72},{"topk":3,"type":"other","knowledge_id":"1326868148286373888","vector_threshold":0.88,"match_score":0.8,"vector_boost":0.72}]}]</f>
        <v/>
      </c>
      <c r="C737" t="inlineStr">
        <is>
          <t>INFO</t>
        </is>
      </c>
      <c r="D737" t="inlineStr">
        <is>
          <t>vdh</t>
        </is>
      </c>
      <c r="E737" t="inlineStr">
        <is>
          <t>pro17</t>
        </is>
      </c>
      <c r="F737" t="inlineStr">
        <is>
          <t>prod</t>
        </is>
      </c>
    </row>
    <row r="738">
      <c r="A738" t="inlineStr">
        <is>
          <t>2025-05-09 15:13:56.285</t>
        </is>
      </c>
      <c r="B738">
        <f>=请求结束== [请求耗时]:12毫秒, [返回数据]:{"code":"000000","msg":"Success","traceId":"529adcb35aa94f39774cd029d4498cd7"}</f>
        <v/>
      </c>
      <c r="C738" t="inlineStr">
        <is>
          <t>INFO</t>
        </is>
      </c>
      <c r="D738" t="inlineStr">
        <is>
          <t>vdh</t>
        </is>
      </c>
      <c r="E738" t="inlineStr">
        <is>
          <t>pro14</t>
        </is>
      </c>
      <c r="F738" t="inlineStr">
        <is>
          <t>prod</t>
        </is>
      </c>
    </row>
    <row r="739">
      <c r="A739" t="inlineStr">
        <is>
          <t>2025-05-09 15:13:56.273</t>
        </is>
      </c>
      <c r="B739">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15:5F:7C","sessionId":"","avatarId":"11200220000208050000000000000000","appCode":"VDHtestWDC","instructionTemplateType":"","recordId":"","asrResult":"","knowledgeId":"","knowledgeMasterId":"","instructionType":"","instructionName":"","instructionFlag":"","parameter":"{}","ttsResultSource":"","ttsResult":"","response":0}]]</f>
        <v/>
      </c>
      <c r="C739" t="inlineStr">
        <is>
          <t>INFO</t>
        </is>
      </c>
      <c r="D739" t="inlineStr">
        <is>
          <t>vdh</t>
        </is>
      </c>
      <c r="E739" t="inlineStr">
        <is>
          <t>pro14</t>
        </is>
      </c>
      <c r="F739" t="inlineStr">
        <is>
          <t>prod</t>
        </is>
      </c>
    </row>
    <row r="740">
      <c r="A740" t="inlineStr">
        <is>
          <t>2025-05-09 15:12:19.472</t>
        </is>
      </c>
      <c r="B740">
        <f>=请求结束== [请求耗时]:13毫秒, [返回数据]:{"code":"000000","msg":"Success","traceId":"d8faa230bd3c33f3235d039bf1b54843"}</f>
        <v/>
      </c>
      <c r="C740" t="inlineStr">
        <is>
          <t>INFO</t>
        </is>
      </c>
      <c r="D740" t="inlineStr">
        <is>
          <t>vdh</t>
        </is>
      </c>
      <c r="E740" t="inlineStr">
        <is>
          <t>pro17</t>
        </is>
      </c>
      <c r="F740" t="inlineStr">
        <is>
          <t>prod</t>
        </is>
      </c>
    </row>
    <row r="741">
      <c r="A741" t="inlineStr">
        <is>
          <t>2025-05-09 15:12:19.459</t>
        </is>
      </c>
      <c r="B741">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15,"minute":5,"second":38,"nano":0,"chronology":{"id":"ISO","calendarType":"iso8601"}},"response":1746774338476}]]</f>
        <v/>
      </c>
      <c r="C741" t="inlineStr">
        <is>
          <t>INFO</t>
        </is>
      </c>
      <c r="D741" t="inlineStr">
        <is>
          <t>vdh</t>
        </is>
      </c>
      <c r="E741" t="inlineStr">
        <is>
          <t>pro17</t>
        </is>
      </c>
      <c r="F741" t="inlineStr">
        <is>
          <t>prod</t>
        </is>
      </c>
    </row>
    <row r="742">
      <c r="A742" t="inlineStr">
        <is>
          <t>2025-05-09 15:12:09.697</t>
        </is>
      </c>
      <c r="B742">
        <f>=请求结束== [请求耗时]:15毫秒, [返回数据]:{"code":"000000","msg":"Success","traceId":"a4ba0880db4aaa343f7809da61c8913a"}</f>
        <v/>
      </c>
      <c r="C742" t="inlineStr">
        <is>
          <t>INFO</t>
        </is>
      </c>
      <c r="D742" t="inlineStr">
        <is>
          <t>vdh</t>
        </is>
      </c>
      <c r="E742" t="inlineStr">
        <is>
          <t>pro14</t>
        </is>
      </c>
      <c r="F742" t="inlineStr">
        <is>
          <t>prod</t>
        </is>
      </c>
    </row>
    <row r="743">
      <c r="A743" t="inlineStr">
        <is>
          <t>2025-05-09 15:12:09.682</t>
        </is>
      </c>
      <c r="B74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F4:CE:23:BC:1A:E2","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15,"minute":12,"second":4,"nano":0,"chronology":{"id":"ISO","calendarType":"iso8601"}},"response":1746774724491}]]</f>
        <v/>
      </c>
      <c r="C743" t="inlineStr">
        <is>
          <t>INFO</t>
        </is>
      </c>
      <c r="D743" t="inlineStr">
        <is>
          <t>vdh</t>
        </is>
      </c>
      <c r="E743" t="inlineStr">
        <is>
          <t>pro14</t>
        </is>
      </c>
      <c r="F743" t="inlineStr">
        <is>
          <t>prod</t>
        </is>
      </c>
    </row>
    <row r="744">
      <c r="A744" t="inlineStr">
        <is>
          <t>2025-05-09 15:10:43.301</t>
        </is>
      </c>
      <c r="B744">
        <f>=请求结束== [请求耗时]:20毫秒, [返回数据]:{"code":"000000","msg":"Success","traceId":"83687ee74db76f7a40bec6aada3ed1af"}</f>
        <v/>
      </c>
      <c r="C744" t="inlineStr">
        <is>
          <t>INFO</t>
        </is>
      </c>
      <c r="D744" t="inlineStr">
        <is>
          <t>vdh</t>
        </is>
      </c>
      <c r="E744" t="inlineStr">
        <is>
          <t>pro14</t>
        </is>
      </c>
      <c r="F744" t="inlineStr">
        <is>
          <t>prod</t>
        </is>
      </c>
    </row>
    <row r="745">
      <c r="A745" t="inlineStr">
        <is>
          <t>2025-05-09 15:10:43.282</t>
        </is>
      </c>
      <c r="B745">
        <f>=请求开始== [请求IP]:119.32.28.2 ,[请求方式]:POST， [请求URL]:https://172.30.212.148:8080/api/appservice/bfv/v1/chatHistory/batchSave, [请求类名]:com.yingzi.appservice.bfv.provider.rest.ChatHistoryController,[请求方法名]:batchSave, [请求头参数]:{"host":"172.30.212.148:8080"}, [请求参数]:[[{"userId":1125440324555161600,"deviceId":"64:79:F0:79:7B:33","sessionId":"","avatarId":"11200220000208050000000000000000","appCode":"VDHtestWDC","instructionTemplateType":"","recordId":"","asrResult":"","knowledgeId":"","knowledgeMasterId":"","instructionType":"","instructionName":"","instructionFlag":"","parameter":"{}","ttsResultSource":"","ttsResult":"","response":0}]]</f>
        <v/>
      </c>
      <c r="C745" t="inlineStr">
        <is>
          <t>INFO</t>
        </is>
      </c>
      <c r="D745" t="inlineStr">
        <is>
          <t>vdh</t>
        </is>
      </c>
      <c r="E745" t="inlineStr">
        <is>
          <t>pro14</t>
        </is>
      </c>
      <c r="F745" t="inlineStr">
        <is>
          <t>prod</t>
        </is>
      </c>
    </row>
    <row r="746">
      <c r="A746" t="inlineStr">
        <is>
          <t>2025-05-09 15:08:45.797</t>
        </is>
      </c>
      <c r="B746">
        <f>=请求结束== [请求耗时]:15毫秒, [返回数据]:{"code":"000000","msg":"Success","traceId":"83a5041bc396a6b6b3682cda07bc554e"}</f>
        <v/>
      </c>
      <c r="C746" t="inlineStr">
        <is>
          <t>INFO</t>
        </is>
      </c>
      <c r="D746" t="inlineStr">
        <is>
          <t>vdh</t>
        </is>
      </c>
      <c r="E746" t="inlineStr">
        <is>
          <t>pro17</t>
        </is>
      </c>
      <c r="F746" t="inlineStr">
        <is>
          <t>prod</t>
        </is>
      </c>
    </row>
    <row r="747">
      <c r="A747" t="inlineStr">
        <is>
          <t>2025-05-09 15:08:45.782</t>
        </is>
      </c>
      <c r="B747">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1C:99:57:15:E8:B1","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15,"minute":5,"second":17,"nano":0,"chronology":{"id":"ISO","calendarType":"iso8601"}},"response":1746774317068}]]</f>
        <v/>
      </c>
      <c r="C747" t="inlineStr">
        <is>
          <t>INFO</t>
        </is>
      </c>
      <c r="D747" t="inlineStr">
        <is>
          <t>vdh</t>
        </is>
      </c>
      <c r="E747" t="inlineStr">
        <is>
          <t>pro17</t>
        </is>
      </c>
      <c r="F747" t="inlineStr">
        <is>
          <t>prod</t>
        </is>
      </c>
    </row>
    <row r="748">
      <c r="A748" t="inlineStr">
        <is>
          <t>2025-05-09 14:57:28.968</t>
        </is>
      </c>
      <c r="B748">
        <f>=请求结束== [请求耗时]:16毫秒, [返回数据]:{"code":"000000","msg":"Success","traceId":"8fb85194ad42377c303867ee4eba77b3"}</f>
        <v/>
      </c>
      <c r="C748" t="inlineStr">
        <is>
          <t>INFO</t>
        </is>
      </c>
      <c r="D748" t="inlineStr">
        <is>
          <t>vdh</t>
        </is>
      </c>
      <c r="E748" t="inlineStr">
        <is>
          <t>pro14</t>
        </is>
      </c>
      <c r="F748" t="inlineStr">
        <is>
          <t>prod</t>
        </is>
      </c>
    </row>
    <row r="749">
      <c r="A749" t="inlineStr">
        <is>
          <t>2025-05-09 14:57:28.953</t>
        </is>
      </c>
      <c r="B749">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F4:CE:23:BC:1A:E2","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14,"minute":57,"second":23,"nano":0,"chronology":{"id":"ISO","calendarType":"iso8601"}},"response":1746773843629}]]</f>
        <v/>
      </c>
      <c r="C749" t="inlineStr">
        <is>
          <t>INFO</t>
        </is>
      </c>
      <c r="D749" t="inlineStr">
        <is>
          <t>vdh</t>
        </is>
      </c>
      <c r="E749" t="inlineStr">
        <is>
          <t>pro14</t>
        </is>
      </c>
      <c r="F749" t="inlineStr">
        <is>
          <t>prod</t>
        </is>
      </c>
    </row>
    <row r="750">
      <c r="A750" t="inlineStr">
        <is>
          <t>2025-05-09 14:55:25.600</t>
        </is>
      </c>
      <c r="B750">
        <f>=请求结束== [请求耗时]:12毫秒, [返回数据]:{"code":"000000","msg":"Success","traceId":"c44f0e2e57e48f9ae3286a439600b57a"}</f>
        <v/>
      </c>
      <c r="C750" t="inlineStr">
        <is>
          <t>INFO</t>
        </is>
      </c>
      <c r="D750" t="inlineStr">
        <is>
          <t>vdh</t>
        </is>
      </c>
      <c r="E750" t="inlineStr">
        <is>
          <t>pro17</t>
        </is>
      </c>
      <c r="F750" t="inlineStr">
        <is>
          <t>prod</t>
        </is>
      </c>
    </row>
    <row r="751">
      <c r="A751" t="inlineStr">
        <is>
          <t>2025-05-09 14:55:25.588</t>
        </is>
      </c>
      <c r="B751">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14,"minute":48,"second":44,"nano":0,"chronology":{"id":"ISO","calendarType":"iso8601"}},"response":1746773324601}]]</f>
        <v/>
      </c>
      <c r="C751" t="inlineStr">
        <is>
          <t>INFO</t>
        </is>
      </c>
      <c r="D751" t="inlineStr">
        <is>
          <t>vdh</t>
        </is>
      </c>
      <c r="E751" t="inlineStr">
        <is>
          <t>pro17</t>
        </is>
      </c>
      <c r="F751" t="inlineStr">
        <is>
          <t>prod</t>
        </is>
      </c>
    </row>
    <row r="752">
      <c r="A752" t="inlineStr">
        <is>
          <t>2025-05-09 14:54:42.438</t>
        </is>
      </c>
      <c r="B752">
        <f>=请求结束== [请求耗时]:17毫秒, [返回数据]:{"code":"000000","msg":"Success","traceId":"db709c6c383906b72f8501cde69e3803"}</f>
        <v/>
      </c>
      <c r="C752" t="inlineStr">
        <is>
          <t>INFO</t>
        </is>
      </c>
      <c r="D752" t="inlineStr">
        <is>
          <t>vdh</t>
        </is>
      </c>
      <c r="E752" t="inlineStr">
        <is>
          <t>pro14</t>
        </is>
      </c>
      <c r="F752" t="inlineStr">
        <is>
          <t>prod</t>
        </is>
      </c>
    </row>
    <row r="753">
      <c r="A753" t="inlineStr">
        <is>
          <t>2025-05-09 14:54:42.420</t>
        </is>
      </c>
      <c r="B75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87:97:8B","sessionId":"","avatarId":"11200220000208050000000000000000","appCode":"VDHtestWDC","instructionTemplateType":"","recordId":"","asrResult":"","knowledgeId":"","knowledgeMasterId":"","instructionType":"","instructionName":"","instructionFlag":"","parameter":"{}","ttsResultSource":"local","ttsResult":"小万发现了玉米块,要开始烹饪吗","ttsResultTime":{"year":2025,"monthValue":5,"month":"MAY","dayOfMonth":9,"dayOfYear":129,"dayOfWeek":"FRIDAY","hour":14,"minute":48,"second":3,"nano":0,"chronology":{"id":"ISO","calendarType":"iso8601"}},"response":1746773283318}]]</f>
        <v/>
      </c>
      <c r="C753" t="inlineStr">
        <is>
          <t>INFO</t>
        </is>
      </c>
      <c r="D753" t="inlineStr">
        <is>
          <t>vdh</t>
        </is>
      </c>
      <c r="E753" t="inlineStr">
        <is>
          <t>pro14</t>
        </is>
      </c>
      <c r="F753" t="inlineStr">
        <is>
          <t>prod</t>
        </is>
      </c>
    </row>
    <row r="754">
      <c r="A754" t="inlineStr">
        <is>
          <t>2025-05-09 14:54:26.760</t>
        </is>
      </c>
      <c r="B754">
        <f>=请求结束== [请求耗时]:13毫秒, [返回数据]:{"code":"000000","msg":"Success","traceId":"4eb1ecac7bec3486609d65bf0090f6ce"}</f>
        <v/>
      </c>
      <c r="C754" t="inlineStr">
        <is>
          <t>INFO</t>
        </is>
      </c>
      <c r="D754" t="inlineStr">
        <is>
          <t>vdh</t>
        </is>
      </c>
      <c r="E754" t="inlineStr">
        <is>
          <t>pro17</t>
        </is>
      </c>
      <c r="F754" t="inlineStr">
        <is>
          <t>prod</t>
        </is>
      </c>
    </row>
    <row r="755">
      <c r="A755" t="inlineStr">
        <is>
          <t>2025-05-09 14:54:26.747</t>
        </is>
      </c>
      <c r="B755">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recordId":"","asrResult":"张子怡","instructionAsrFirstTime":{"year":2025,"monthValue":5,"month":"MAY","dayOfMonth":9,"dayOfYear":129,"dayOfWeek":"FRIDAY","hour":14,"minute":54,"second":10,"nano":0,"chronology":{"id":"ISO","calendarType":"iso8601"}},"knowledgeId":"","knowledgeMasterId":"","instructionType":"","instructionName":"","instructionFlag":"","parameter":"{}","ttsResultSource":"local","ttsResult":"网络开小差了,请稍后再试","ttsResultTime":{"year":2025,"monthValue":5,"month":"MAY","dayOfMonth":9,"dayOfYear":129,"dayOfWeek":"FRIDAY","hour":14,"minute":54,"second":21,"nano":0,"chronology":{"id":"ISO","calendarType":"iso8601"}},"response":9535}]]</f>
        <v/>
      </c>
      <c r="C755" t="inlineStr">
        <is>
          <t>INFO</t>
        </is>
      </c>
      <c r="D755" t="inlineStr">
        <is>
          <t>vdh</t>
        </is>
      </c>
      <c r="E755" t="inlineStr">
        <is>
          <t>pro17</t>
        </is>
      </c>
      <c r="F755" t="inlineStr">
        <is>
          <t>prod</t>
        </is>
      </c>
    </row>
    <row r="756">
      <c r="A756" t="inlineStr">
        <is>
          <t>2025-05-09 14:54:21.835</t>
        </is>
      </c>
      <c r="B756" t="inlineStr">
        <is>
          <t>第2次流式调用完成，耗时：6422ms，response: Response { content = AiMessage { text = "关于张子怡的娱乐新闻，以下是最新消息：
悬疑剧《完美的救赎》预约人数已突破22万，该剧由陈研一小说改编，讲述了一个精心设计的“完美犯罪”故事，演员阵容包括欧豪和王鹤润，期待早日开播。
另外，浪漫爱情电影《永不失联的爱》发布了主题预告，定档5月16日全国上映，影片通过细腻的镜头语言展现人物在爱情与亲情中的挣扎与遗憾，同时在北京亮马河推出了主题游船展，吸引了众多情侣打卡。
此外，在UK国际音乐比赛中，中国选手詹若瑄获得提琴组二等奖，展现了亚洲年轻音乐家的卓越才华。
这些消息反映出张子怡相关的娱乐动态，希望你喜欢！" toolExecutionRequests = null }, tokenUsage = TokenUsage { inputTokenCount = 6944, outputTokenCount = 325, totalTokenCount = 7269 }, finishReason = STOP }</t>
        </is>
      </c>
      <c r="C756" t="inlineStr">
        <is>
          <t>INFO</t>
        </is>
      </c>
      <c r="D756" t="inlineStr">
        <is>
          <t>vdh</t>
        </is>
      </c>
      <c r="E756" t="inlineStr">
        <is>
          <t>pro14</t>
        </is>
      </c>
      <c r="F756" t="inlineStr">
        <is>
          <t>prod</t>
        </is>
      </c>
    </row>
    <row r="757">
      <c r="A757" t="inlineStr">
        <is>
          <t>2025-05-09 14:54:21.835</t>
        </is>
      </c>
      <c r="B757">
        <f>=请求结束== [请求耗时]:9934毫秒</f>
        <v/>
      </c>
      <c r="C757" t="inlineStr">
        <is>
          <t>INFO</t>
        </is>
      </c>
      <c r="D757" t="inlineStr">
        <is>
          <t>vdh</t>
        </is>
      </c>
      <c r="E757" t="inlineStr">
        <is>
          <t>pro14</t>
        </is>
      </c>
      <c r="F757" t="inlineStr">
        <is>
          <t>prod</t>
        </is>
      </c>
    </row>
    <row r="758">
      <c r="A758" t="inlineStr">
        <is>
          <t>2025-05-09 14:54:17.665</t>
        </is>
      </c>
      <c r="B758" t="inlineStr">
        <is>
          <t xml:space="preserve">第2次流式调用开始回复，耗时：2252ms，第一个token: </t>
        </is>
      </c>
      <c r="C758" t="inlineStr">
        <is>
          <t>INFO</t>
        </is>
      </c>
      <c r="D758" t="inlineStr">
        <is>
          <t>vdh</t>
        </is>
      </c>
      <c r="E758" t="inlineStr">
        <is>
          <t>pro14</t>
        </is>
      </c>
      <c r="F758" t="inlineStr">
        <is>
          <t>prod</t>
        </is>
      </c>
    </row>
    <row r="759">
      <c r="A759" t="inlineStr">
        <is>
          <t>2025-05-09 14:54:15.413</t>
        </is>
      </c>
      <c r="B759" t="inlineStr">
        <is>
          <t>streaming provider=gpt, model: gpt-4o-mini</t>
        </is>
      </c>
      <c r="C759" t="inlineStr">
        <is>
          <t>INFO</t>
        </is>
      </c>
      <c r="D759" t="inlineStr">
        <is>
          <t>vdh</t>
        </is>
      </c>
      <c r="E759" t="inlineStr">
        <is>
          <t>pro14</t>
        </is>
      </c>
      <c r="F759" t="inlineStr">
        <is>
          <t>prod</t>
        </is>
      </c>
    </row>
    <row r="760">
      <c r="A760" t="inlineStr">
        <is>
          <t>2025-05-09 14:54:15.412</t>
        </is>
      </c>
      <c r="B760" t="inlineStr">
        <is>
          <t>执行新闻工具，耗时: 431ms</t>
        </is>
      </c>
      <c r="C760" t="inlineStr">
        <is>
          <t>INFO</t>
        </is>
      </c>
      <c r="D760" t="inlineStr">
        <is>
          <t>vdh</t>
        </is>
      </c>
      <c r="E760" t="inlineStr">
        <is>
          <t>pro14</t>
        </is>
      </c>
      <c r="F760" t="inlineStr">
        <is>
          <t>prod</t>
        </is>
      </c>
    </row>
    <row r="761">
      <c r="A761" t="inlineStr">
        <is>
          <t>2025-05-09 14:54:15.218</t>
        </is>
      </c>
      <c r="B761" t="inlineStr">
        <is>
          <t>getNewIds response:{"reason":"success","result":{"stat":"1","data":[{"uniquekey":"54db2c84587c670aa845f10593cd4481","title":"悬疑剧《完美的救赎》预约破22万，欧豪王鹤润解密罪案迷局","date":"2025-05-09 14:27:00","category":"娱乐","author_name":"北青网","url":"https://mini.eastday.com/mobile/250509142708617103759.html","thumbnail_pic_s":"https://dfzximg02.dftoutiao.com/news/20250509/20250509142708_f8580da72b64ca204515201b719c3bc3_1_mwpm_03201609.jpeg","is_content":"1"},{"uniquekey":"c63395765d46936f20bcca9d43285cd3","title":"UK国际音乐比赛获奖信息","date":"2025-05-09 13:56:00","category":"娱乐","author_name":"北青网","url":"https://mini.eastday.com/mobile/250509135644196988916.html","thumbnail_pic_s":"https://dfzximg02.dftoutiao.com/news/20250509/20250509135644_9a080bc1f1845c2dd513ecb08df71bb6_1_mwpm_03201609.jpeg","is_content":"1"},{"uniquekey":"1a4fb857eaa267f1092a6353272e962f","title":"电影《永不失联的爱》全新主题预告金句频出 线下联动亮马河游船引打卡热潮","date":"2025-05-09 13:56:00","category":"娱乐","author_name":"北青网","url":"https://mini.eastday.com/mobile/250509135639706495619.html","thumbnail_pic_s":"","is_content":"1"}],"page":"1","pageSize":"3"},"error_code":0}</t>
        </is>
      </c>
      <c r="C761" t="inlineStr">
        <is>
          <t>INFO</t>
        </is>
      </c>
      <c r="D761" t="inlineStr">
        <is>
          <t>vdh</t>
        </is>
      </c>
      <c r="E761" t="inlineStr">
        <is>
          <t>pro14</t>
        </is>
      </c>
      <c r="F761" t="inlineStr">
        <is>
          <t>prod</t>
        </is>
      </c>
    </row>
    <row r="762">
      <c r="A762" t="inlineStr">
        <is>
          <t>2025-05-09 14:54:14.979</t>
        </is>
      </c>
      <c r="B762" t="inlineStr">
        <is>
          <t>第1次流式调用完成，耗时：2587ms，response: Response { content = AiMessage { text = null toolExecutionRequests = [ToolExecutionRequest { id = "call_EgwFS40czIl9GNdg016KE4WH", name = "news", arguments = "{"type":"yule","size":3}" }] }, tokenUsage = TokenUsage { inputTokenCount = 4817, outputTokenCount = 15, totalTokenCount = 4832 }, finishReason = TOOL_EXECUTION }</t>
        </is>
      </c>
      <c r="C762" t="inlineStr">
        <is>
          <t>INFO</t>
        </is>
      </c>
      <c r="D762" t="inlineStr">
        <is>
          <t>vdh</t>
        </is>
      </c>
      <c r="E762" t="inlineStr">
        <is>
          <t>pro14</t>
        </is>
      </c>
      <c r="F762" t="inlineStr">
        <is>
          <t>prod</t>
        </is>
      </c>
    </row>
    <row r="763">
      <c r="A763" t="inlineStr">
        <is>
          <t>2025-05-09 14:54:12.392</t>
        </is>
      </c>
      <c r="B763" t="inlineStr">
        <is>
          <t>streaming provider=gpt, model: gpt-4o</t>
        </is>
      </c>
      <c r="C763" t="inlineStr">
        <is>
          <t>INFO</t>
        </is>
      </c>
      <c r="D763" t="inlineStr">
        <is>
          <t>vdh</t>
        </is>
      </c>
      <c r="E763" t="inlineStr">
        <is>
          <t>pro14</t>
        </is>
      </c>
      <c r="F763" t="inlineStr">
        <is>
          <t>prod</t>
        </is>
      </c>
    </row>
    <row r="764">
      <c r="A764" t="inlineStr">
        <is>
          <t>2025-05-09 14:54:12.386</t>
        </is>
      </c>
      <c r="B764">
        <f>=请求结束== [请求耗时]:438毫秒, [返回数据]:{"code":"000000","msg":"Success","data":[{"knowledgeId":"1326868148286373888","knowledgeContent":[{"score":0.70846582,"content":"：2025年春节/过年/大年初一是1月29日，农历正月初一，星期三。","fileId":"1326944717968060416","chunkId":"paragraph-1"},{"score":0.69609968,"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0.692203025,"content":"：广州影子科技的股价是多少？广州影子科技有限公司没有上市，因此没有股价信息。","fileId":"1326944717968060416","chunkId":"paragraph-5"}]},{"knowledgeId":"1272948056214077440","knowledgeContent":[{"score":0.7115687875,"content":"问题：你喜欢唱歌吗。\\n回复：唱歌可以帮助我释放压力和情感，只是我唱歌的水平还不够好。","fileId":"1303425377255075840","chunkId":"2691","textGroup":"你喜欢唱歌吗"},{"score":0.7111685225,"content":"问题：晚安。\\n回复：晚安。","fileId":"1303425377255075840","chunkId":"2766","textGroup":"晚安"},{"score":0.71052418,"content":"问题：你什么时候在线。\\n回复：我二十四小时在线的。","fileId":"1303425377255075840","chunkId":"2676","textGroup":"你什么时候在线"},{"score":0.7099899974999999,"content":"问题：影子的理念是什么。\\n回复：态度决定高度、结果体现价值、能力造就卓越、奋斗创造未来。","fileId":"1303425377255075840","chunkId":"688","textGroup":"公司的理念是什么"},{"score":0.7087992325,"content":"问题：你的星座是什么。\\n回复：我是双子座，虽然都说双子很热情，但我们其实很怕孤独噢，所以多来找我玩吧！","fileId":"1303425377255075840","chunkId":"2742","textGroup":"你的星座是什么"},{"score":0.708746745,"content":"问题：你在小红书上有账号吗。\\n回复：万得厨官方小红书账号为“万得厨今天吃什么”，不定时为您推送最全使用指南及最美味的食品食谱，期待您的关注！","fileId":"1303425377255075840","chunkId":"557","textGroup":"你有小红书账号吗"},{"score":0.70867866,"content":"问题：你是什么国籍。\\n回复：我是全球公民，无国界爱好者。","fileId":"1303425377255075840","chunkId":"2706","textGroup":"你是什么国籍"},{"score":0.70824601,"content":"问题：你在公众号上有账号吗。\\n回复：万得厨微信官方公众号为“万得厨的厨”，不定时为您推送最全使用指南及最美味的食品食谱，期待您的关注！","fileId":"1303425377255075840","chunkId":"533","textGroup":"你有公众号吗"},{"score":0.7081738875,"content":"问题：我吃饱了。\\n回复：吃得饱饱的，精神焕发才能更加出色哦。","fileId":"1303425377255075840","chunkId":"2760","textGroup":"我吃饱了"},{"score":0.7081270949999999,"content":"问题：你好。\\n回复：你好，有什么可以帮您。","fileId":"1303425377255075840","chunkId":"2699","textGroup":"你好"},{"score":0.7074125425,"content":"问题：不满。\\n回复：不满意的地方还请多多包涵。","fileId":"1303425377255075840","chunkId":"2671","textGroup":"不满"}]},{"knowledgeId":"1329399948694220800","knowledgeContent":[{"score":0.7220309275,"content":"接着微博","fileId":"1347217269055369216","chunkId":"218","textGroup":"cooking_control {type=continue}"},{"score":0.7181854849999999,"content":"有什么娱乐新闻","fileId":"1329400169758941184","chunkId":"73","textGroup":"news {type=yule,size=3}"},{"score":0.7180588775,"content":"微博暂停","fileId":"1347217269055369216","chunkId":"165","textGroup":"cooking_control {type=pause}"},{"score":0.7180111925,"content":"微博终止","fileId":"1347217269055369216","chunkId":"280","textGroup":"cooking_control {type=stop}"},{"score":0.7177701325,"content":"开始微博","fileId":"1347217269055369216","chunkId":"50","textGroup":"cooking_control {type=start}"}]}]}</f>
        <v/>
      </c>
      <c r="C764" t="inlineStr">
        <is>
          <t>INFO</t>
        </is>
      </c>
      <c r="D764" t="inlineStr">
        <is>
          <t>vdh</t>
        </is>
      </c>
      <c r="E764" t="inlineStr">
        <is>
          <t>pro17</t>
        </is>
      </c>
      <c r="F764" t="inlineStr">
        <is>
          <t>prod</t>
        </is>
      </c>
    </row>
    <row r="765">
      <c r="A765" t="inlineStr">
        <is>
          <t>2025-05-09 14:54:12.385</t>
        </is>
      </c>
      <c r="B765" t="inlineStr">
        <is>
          <t>知识库插件检索耗时: 436ms</t>
        </is>
      </c>
      <c r="C765" t="inlineStr">
        <is>
          <t>INFO</t>
        </is>
      </c>
      <c r="D765" t="inlineStr">
        <is>
          <t>vdh</t>
        </is>
      </c>
      <c r="E765" t="inlineStr">
        <is>
          <t>pro17</t>
        </is>
      </c>
      <c r="F765" t="inlineStr">
        <is>
          <t>prod</t>
        </is>
      </c>
    </row>
    <row r="766">
      <c r="A766" t="inlineStr">
        <is>
          <t>2025-05-09 14:54:11.948</t>
        </is>
      </c>
      <c r="B766">
        <f>=请求开始== [请求IP]:172.18.33.14 ,[请求方式]:POST， [请求URL]:https://172.30.103.196:8080/api/appservice/bfv/v1/knowledge/retrieval/plugin, [请求类名]:com.yingzi.appservice.bfv.provider.rest.KnowledgeRetrievalController,[请求方法名]:plugin, [请求头参数]:{"host":"172.30.103.196:8080"}, [请求参数]:[{"query":"张子怡","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766" t="inlineStr">
        <is>
          <t>INFO</t>
        </is>
      </c>
      <c r="D766" t="inlineStr">
        <is>
          <t>vdh</t>
        </is>
      </c>
      <c r="E766" t="inlineStr">
        <is>
          <t>pro17</t>
        </is>
      </c>
      <c r="F766" t="inlineStr">
        <is>
          <t>prod</t>
        </is>
      </c>
    </row>
    <row r="767">
      <c r="A767" t="inlineStr">
        <is>
          <t>2025-05-09 14:54:11.901</t>
        </is>
      </c>
      <c r="B767">
        <f>=请求开始== [请求IP]:172.18.114.116 ,[请求方式]:POST， [请求URL]:https://172.30.212.148:8080/api/appservice/bfv/v1/chat/, [请求类名]:com.yingzi.appservice.bfv.provider.rest.ChatV1Controller,[请求方法名]:chat, [请求头参数]:{"host":"172.30.212.148:8080"}, [请求参数]:[{"stream":true,"message":"张子怡","args":"{\"adcode\":\"450800\",\"channel_id\":\"9\"}"}]</f>
        <v/>
      </c>
      <c r="C767" t="inlineStr">
        <is>
          <t>INFO</t>
        </is>
      </c>
      <c r="D767" t="inlineStr">
        <is>
          <t>vdh</t>
        </is>
      </c>
      <c r="E767" t="inlineStr">
        <is>
          <t>pro14</t>
        </is>
      </c>
      <c r="F767" t="inlineStr">
        <is>
          <t>prod</t>
        </is>
      </c>
    </row>
    <row r="768">
      <c r="A768" t="inlineStr">
        <is>
          <t>2025-05-09 14:54:03.644</t>
        </is>
      </c>
      <c r="B768">
        <f>=请求结束== [请求耗时]:10毫秒, [返回数据]:{"code":"000000","msg":"Success","traceId":"be4719a8fed4e6c53d85c91f2cd307e0"}</f>
        <v/>
      </c>
      <c r="C768" t="inlineStr">
        <is>
          <t>INFO</t>
        </is>
      </c>
      <c r="D768" t="inlineStr">
        <is>
          <t>vdh</t>
        </is>
      </c>
      <c r="E768" t="inlineStr">
        <is>
          <t>pro17</t>
        </is>
      </c>
      <c r="F768" t="inlineStr">
        <is>
          <t>prod</t>
        </is>
      </c>
    </row>
    <row r="769">
      <c r="A769" t="inlineStr">
        <is>
          <t>2025-05-09 14:54:03.634</t>
        </is>
      </c>
      <c r="B769">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recordId":"","asrResult":"","knowledgeId":"","knowledgeMasterId":"","instructionType":"","instructionName":"","instructionFlag":"","parameter":"{}","ttsResultSource":"","ttsResult":"","response":0}]]</f>
        <v/>
      </c>
      <c r="C769" t="inlineStr">
        <is>
          <t>INFO</t>
        </is>
      </c>
      <c r="D769" t="inlineStr">
        <is>
          <t>vdh</t>
        </is>
      </c>
      <c r="E769" t="inlineStr">
        <is>
          <t>pro17</t>
        </is>
      </c>
      <c r="F769" t="inlineStr">
        <is>
          <t>prod</t>
        </is>
      </c>
    </row>
    <row r="770">
      <c r="A770" t="inlineStr">
        <is>
          <t>2025-05-09 14:53:44.854</t>
        </is>
      </c>
      <c r="B770">
        <f>=请求结束== [请求耗时]:15毫秒, [返回数据]:{"code":"000000","msg":"Success","traceId":"fdc3a73bbf76d16d5e593e44a31cd6e5"}</f>
        <v/>
      </c>
      <c r="C770" t="inlineStr">
        <is>
          <t>INFO</t>
        </is>
      </c>
      <c r="D770" t="inlineStr">
        <is>
          <t>vdh</t>
        </is>
      </c>
      <c r="E770" t="inlineStr">
        <is>
          <t>pro14</t>
        </is>
      </c>
      <c r="F770" t="inlineStr">
        <is>
          <t>prod</t>
        </is>
      </c>
    </row>
    <row r="771">
      <c r="A771" t="inlineStr">
        <is>
          <t>2025-05-09 14:53:44.839</t>
        </is>
      </c>
      <c r="B771">
        <f>=请求开始== [请求IP]:119.32.28.2 ,[请求方式]:POST， [请求URL]:https://172.30.212.148:8080/api/appservice/bfv/v1/chatHistory/batchSave, [请求类名]:com.yingzi.appservice.bfv.provider.rest.ChatHistoryController,[请求方法名]:batchSave, [请求头参数]:{"host":"172.30.212.148:8080"}, [请求参数]:[[{"userId":1125440324555161600,"deviceId":"64:79:F0:79:7B:33","sessionId":"","avatarId":"11200220000208050000000000000000","appCode":"VDHtestWDC","instructionTemplateType":"","recordId":"","asrResult":"","knowledgeId":"","knowledgeMasterId":"","instructionType":"","instructionName":"","instructionFlag":"","parameter":"{}","ttsResultSource":"","ttsResult":"","response":0}]]</f>
        <v/>
      </c>
      <c r="C771" t="inlineStr">
        <is>
          <t>INFO</t>
        </is>
      </c>
      <c r="D771" t="inlineStr">
        <is>
          <t>vdh</t>
        </is>
      </c>
      <c r="E771" t="inlineStr">
        <is>
          <t>pro14</t>
        </is>
      </c>
      <c r="F771" t="inlineStr">
        <is>
          <t>prod</t>
        </is>
      </c>
    </row>
    <row r="772">
      <c r="A772" t="inlineStr">
        <is>
          <t>2025-05-09 14:53:26.574</t>
        </is>
      </c>
      <c r="B772">
        <f>=请求结束== [请求耗时]:14毫秒, [返回数据]:{"code":"000000","msg":"Success","traceId":"1c2430518f80b140379a97eff9e3f9f9"}</f>
        <v/>
      </c>
      <c r="C772" t="inlineStr">
        <is>
          <t>INFO</t>
        </is>
      </c>
      <c r="D772" t="inlineStr">
        <is>
          <t>vdh</t>
        </is>
      </c>
      <c r="E772" t="inlineStr">
        <is>
          <t>pro14</t>
        </is>
      </c>
      <c r="F772" t="inlineStr">
        <is>
          <t>prod</t>
        </is>
      </c>
    </row>
    <row r="773">
      <c r="A773" t="inlineStr">
        <is>
          <t>2025-05-09 14:53:26.560</t>
        </is>
      </c>
      <c r="B77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87:97:8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14,"minute":46,"second":45,"nano":0,"chronology":{"id":"ISO","calendarType":"iso8601"}},"response":1746773205572}]]</f>
        <v/>
      </c>
      <c r="C773" t="inlineStr">
        <is>
          <t>INFO</t>
        </is>
      </c>
      <c r="D773" t="inlineStr">
        <is>
          <t>vdh</t>
        </is>
      </c>
      <c r="E773" t="inlineStr">
        <is>
          <t>pro14</t>
        </is>
      </c>
      <c r="F773" t="inlineStr">
        <is>
          <t>prod</t>
        </is>
      </c>
    </row>
    <row r="774">
      <c r="A774" t="inlineStr">
        <is>
          <t>2025-05-09 14:53:15.022</t>
        </is>
      </c>
      <c r="B774">
        <f>=请求结束== [请求耗时]:22毫秒, [返回数据]:{"code":"000000","msg":"Success","traceId":"822cdcebd3cf3970b6476b151b0fc7b9"}</f>
        <v/>
      </c>
      <c r="C774" t="inlineStr">
        <is>
          <t>INFO</t>
        </is>
      </c>
      <c r="D774" t="inlineStr">
        <is>
          <t>vdh</t>
        </is>
      </c>
      <c r="E774" t="inlineStr">
        <is>
          <t>pro17</t>
        </is>
      </c>
      <c r="F774" t="inlineStr">
        <is>
          <t>prod</t>
        </is>
      </c>
    </row>
    <row r="775">
      <c r="A775" t="inlineStr">
        <is>
          <t>2025-05-09 14:53:15.000</t>
        </is>
      </c>
      <c r="B775">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recordId":"","asrResult":"","knowledgeId":"","knowledgeMasterId":"","instructionType":"","instructionName":"","instructionFlag":"","parameter":"{}","ttsResultSource":"","ttsResult":"","response":0}]]</f>
        <v/>
      </c>
      <c r="C775" t="inlineStr">
        <is>
          <t>INFO</t>
        </is>
      </c>
      <c r="D775" t="inlineStr">
        <is>
          <t>vdh</t>
        </is>
      </c>
      <c r="E775" t="inlineStr">
        <is>
          <t>pro17</t>
        </is>
      </c>
      <c r="F775" t="inlineStr">
        <is>
          <t>prod</t>
        </is>
      </c>
    </row>
    <row r="776">
      <c r="A776" t="inlineStr">
        <is>
          <t>2025-05-09 14:51:24.390</t>
        </is>
      </c>
      <c r="B776">
        <f>=请求结束== [请求耗时]:15毫秒, [返回数据]:{"code":"000000","msg":"Success","traceId":"d9ace64e4960ac316fe47e811122d360"}</f>
        <v/>
      </c>
      <c r="C776" t="inlineStr">
        <is>
          <t>INFO</t>
        </is>
      </c>
      <c r="D776" t="inlineStr">
        <is>
          <t>vdh</t>
        </is>
      </c>
      <c r="E776" t="inlineStr">
        <is>
          <t>pro17</t>
        </is>
      </c>
      <c r="F776" t="inlineStr">
        <is>
          <t>prod</t>
        </is>
      </c>
    </row>
    <row r="777">
      <c r="A777" t="inlineStr">
        <is>
          <t>2025-05-09 14:51:24.375</t>
        </is>
      </c>
      <c r="B777">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15:5F:7C","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14,"minute":47,"second":37,"nano":0,"chronology":{"id":"ISO","calendarType":"iso8601"}},"response":1746773257700}]]</f>
        <v/>
      </c>
      <c r="C777" t="inlineStr">
        <is>
          <t>INFO</t>
        </is>
      </c>
      <c r="D777" t="inlineStr">
        <is>
          <t>vdh</t>
        </is>
      </c>
      <c r="E777" t="inlineStr">
        <is>
          <t>pro17</t>
        </is>
      </c>
      <c r="F777" t="inlineStr">
        <is>
          <t>prod</t>
        </is>
      </c>
    </row>
    <row r="778">
      <c r="A778" t="inlineStr">
        <is>
          <t>2025-05-09 14:49:02.375</t>
        </is>
      </c>
      <c r="B778">
        <f>=请求结束== [请求耗时]:17毫秒, [返回数据]:{"code":"000000","msg":"Success","traceId":"d93d2273f7d3e515dc02ace385f79219"}</f>
        <v/>
      </c>
      <c r="C778" t="inlineStr">
        <is>
          <t>INFO</t>
        </is>
      </c>
      <c r="D778" t="inlineStr">
        <is>
          <t>vdh</t>
        </is>
      </c>
      <c r="E778" t="inlineStr">
        <is>
          <t>pro14</t>
        </is>
      </c>
      <c r="F778" t="inlineStr">
        <is>
          <t>prod</t>
        </is>
      </c>
    </row>
    <row r="779">
      <c r="A779" t="inlineStr">
        <is>
          <t>2025-05-09 14:49:02.358</t>
        </is>
      </c>
      <c r="B779">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15:5F:7C","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14,"minute":45,"second":10,"nano":0,"chronology":{"id":"ISO","calendarType":"iso8601"}},"response":1746773110821}]]</f>
        <v/>
      </c>
      <c r="C779" t="inlineStr">
        <is>
          <t>INFO</t>
        </is>
      </c>
      <c r="D779" t="inlineStr">
        <is>
          <t>vdh</t>
        </is>
      </c>
      <c r="E779" t="inlineStr">
        <is>
          <t>pro14</t>
        </is>
      </c>
      <c r="F779" t="inlineStr">
        <is>
          <t>prod</t>
        </is>
      </c>
    </row>
    <row r="780">
      <c r="A780" t="inlineStr">
        <is>
          <t>2025-05-09 14:44:08.301</t>
        </is>
      </c>
      <c r="B780">
        <f>=请求结束== [请求耗时]:15毫秒, [返回数据]:{"code":"000000","msg":"Success","traceId":"583af1efebc6715bba4abdcad642eae1"}</f>
        <v/>
      </c>
      <c r="C780" t="inlineStr">
        <is>
          <t>INFO</t>
        </is>
      </c>
      <c r="D780" t="inlineStr">
        <is>
          <t>vdh</t>
        </is>
      </c>
      <c r="E780" t="inlineStr">
        <is>
          <t>pro14</t>
        </is>
      </c>
      <c r="F780" t="inlineStr">
        <is>
          <t>prod</t>
        </is>
      </c>
    </row>
    <row r="781">
      <c r="A781" t="inlineStr">
        <is>
          <t>2025-05-09 14:44:08.286</t>
        </is>
      </c>
      <c r="B781">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64:79:F0:78:CF:8A","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14,"minute":44,"second":3,"nano":0,"chronology":{"id":"ISO","calendarType":"iso8601"}},"response":1746773043047}]]</f>
        <v/>
      </c>
      <c r="C781" t="inlineStr">
        <is>
          <t>INFO</t>
        </is>
      </c>
      <c r="D781" t="inlineStr">
        <is>
          <t>vdh</t>
        </is>
      </c>
      <c r="E781" t="inlineStr">
        <is>
          <t>pro14</t>
        </is>
      </c>
      <c r="F781" t="inlineStr">
        <is>
          <t>prod</t>
        </is>
      </c>
    </row>
    <row r="782">
      <c r="A782" t="inlineStr">
        <is>
          <t>2025-05-09 14:41:25.755</t>
        </is>
      </c>
      <c r="B782">
        <f>=请求结束== [请求耗时]:203毫秒, [返回数据]:{"code":"000000","msg":"Success","traceId":"2eb0d3ab62df76d517e4d1a25ef264a2"}</f>
        <v/>
      </c>
      <c r="C782" t="inlineStr">
        <is>
          <t>INFO</t>
        </is>
      </c>
      <c r="D782" t="inlineStr">
        <is>
          <t>vdh</t>
        </is>
      </c>
      <c r="E782" t="inlineStr">
        <is>
          <t>pro17</t>
        </is>
      </c>
      <c r="F782" t="inlineStr">
        <is>
          <t>prod</t>
        </is>
      </c>
    </row>
    <row r="783">
      <c r="A783" t="inlineStr">
        <is>
          <t>2025-05-09 14:41:25.551</t>
        </is>
      </c>
      <c r="B783">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88:00:68","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14,"minute":41,"second":20,"nano":0,"chronology":{"id":"ISO","calendarType":"iso8601"}},"response":1746772880366}]]</f>
        <v/>
      </c>
      <c r="C783" t="inlineStr">
        <is>
          <t>INFO</t>
        </is>
      </c>
      <c r="D783" t="inlineStr">
        <is>
          <t>vdh</t>
        </is>
      </c>
      <c r="E783" t="inlineStr">
        <is>
          <t>pro17</t>
        </is>
      </c>
      <c r="F783" t="inlineStr">
        <is>
          <t>prod</t>
        </is>
      </c>
    </row>
    <row r="784">
      <c r="A784" t="inlineStr">
        <is>
          <t>2025-05-09 14:38:57.762</t>
        </is>
      </c>
      <c r="B784">
        <f>=请求结束== [请求耗时]:14毫秒, [返回数据]:{"code":"000000","msg":"Success","traceId":"9497842f42e381de9644ec709876d801"}</f>
        <v/>
      </c>
      <c r="C784" t="inlineStr">
        <is>
          <t>INFO</t>
        </is>
      </c>
      <c r="D784" t="inlineStr">
        <is>
          <t>vdh</t>
        </is>
      </c>
      <c r="E784" t="inlineStr">
        <is>
          <t>pro17</t>
        </is>
      </c>
      <c r="F784" t="inlineStr">
        <is>
          <t>prod</t>
        </is>
      </c>
    </row>
    <row r="785">
      <c r="A785" t="inlineStr">
        <is>
          <t>2025-05-09 14:38:57.748</t>
        </is>
      </c>
      <c r="B785">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15:5F:7C","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11,"minute":47,"second":49,"nano":0,"chronology":{"id":"ISO","calendarType":"iso8601"}},"response":1746762469072}]]</f>
        <v/>
      </c>
      <c r="C785" t="inlineStr">
        <is>
          <t>INFO</t>
        </is>
      </c>
      <c r="D785" t="inlineStr">
        <is>
          <t>vdh</t>
        </is>
      </c>
      <c r="E785" t="inlineStr">
        <is>
          <t>pro17</t>
        </is>
      </c>
      <c r="F785" t="inlineStr">
        <is>
          <t>prod</t>
        </is>
      </c>
    </row>
    <row r="786">
      <c r="A786" t="inlineStr">
        <is>
          <t>2025-05-09 14:38:43.443</t>
        </is>
      </c>
      <c r="B786">
        <f>=请求结束== [请求耗时]:13毫秒, [返回数据]:{"code":"000000","msg":"Success","traceId":"8c51c5e4df1a7bf10327fed230b71386"}</f>
        <v/>
      </c>
      <c r="C786" t="inlineStr">
        <is>
          <t>INFO</t>
        </is>
      </c>
      <c r="D786" t="inlineStr">
        <is>
          <t>vdh</t>
        </is>
      </c>
      <c r="E786" t="inlineStr">
        <is>
          <t>pro14</t>
        </is>
      </c>
      <c r="F786" t="inlineStr">
        <is>
          <t>prod</t>
        </is>
      </c>
    </row>
    <row r="787">
      <c r="A787" t="inlineStr">
        <is>
          <t>2025-05-09 14:38:43.430</t>
        </is>
      </c>
      <c r="B787">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8:B1","sessionId":"","avatarId":"11200220000208050000000000000000","appCode":"VDHtestWDC","instructionTemplateType":"","recordId":"","asrResult":"","knowledgeId":"","knowledgeMasterId":"","instructionType":"","instructionName":"","instructionFlag":"","parameter":"{}","ttsResultSource":"local","ttsResult":"好的","ttsResultTime":{"year":2025,"monthValue":5,"month":"MAY","dayOfMonth":9,"dayOfYear":129,"dayOfWeek":"FRIDAY","hour":14,"minute":35,"second":15,"nano":0,"chronology":{"id":"ISO","calendarType":"iso8601"}},"response":1746772515997}]]</f>
        <v/>
      </c>
      <c r="C787" t="inlineStr">
        <is>
          <t>INFO</t>
        </is>
      </c>
      <c r="D787" t="inlineStr">
        <is>
          <t>vdh</t>
        </is>
      </c>
      <c r="E787" t="inlineStr">
        <is>
          <t>pro14</t>
        </is>
      </c>
      <c r="F787" t="inlineStr">
        <is>
          <t>prod</t>
        </is>
      </c>
    </row>
    <row r="788">
      <c r="A788" t="inlineStr">
        <is>
          <t>2025-05-09 14:33:18.439</t>
        </is>
      </c>
      <c r="B788">
        <f>=请求结束== [请求耗时]:14毫秒, [返回数据]:{"code":"000000","msg":"Success","traceId":"9f7e9f2ed502c4c8b190a7955f50b69c"}</f>
        <v/>
      </c>
      <c r="C788" t="inlineStr">
        <is>
          <t>INFO</t>
        </is>
      </c>
      <c r="D788" t="inlineStr">
        <is>
          <t>vdh</t>
        </is>
      </c>
      <c r="E788" t="inlineStr">
        <is>
          <t>pro14</t>
        </is>
      </c>
      <c r="F788" t="inlineStr">
        <is>
          <t>prod</t>
        </is>
      </c>
    </row>
    <row r="789">
      <c r="A789" t="inlineStr">
        <is>
          <t>2025-05-09 14:33:18.425</t>
        </is>
      </c>
      <c r="B789">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64:79:F0:78:CF:8A","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14,"minute":33,"second":13,"nano":0,"chronology":{"id":"ISO","calendarType":"iso8601"}},"response":1746772393071}]]</f>
        <v/>
      </c>
      <c r="C789" t="inlineStr">
        <is>
          <t>INFO</t>
        </is>
      </c>
      <c r="D789" t="inlineStr">
        <is>
          <t>vdh</t>
        </is>
      </c>
      <c r="E789" t="inlineStr">
        <is>
          <t>pro14</t>
        </is>
      </c>
      <c r="F789" t="inlineStr">
        <is>
          <t>prod</t>
        </is>
      </c>
    </row>
    <row r="790">
      <c r="A790" t="inlineStr">
        <is>
          <t>2025-05-09 14:29:57.484</t>
        </is>
      </c>
      <c r="B790">
        <f>=请求结束== [请求耗时]:15毫秒, [返回数据]:{"code":"000000","msg":"Success","traceId":"135bc3dd9906c8bf40867a17e108a76d"}</f>
        <v/>
      </c>
      <c r="C790" t="inlineStr">
        <is>
          <t>INFO</t>
        </is>
      </c>
      <c r="D790" t="inlineStr">
        <is>
          <t>vdh</t>
        </is>
      </c>
      <c r="E790" t="inlineStr">
        <is>
          <t>pro17</t>
        </is>
      </c>
      <c r="F790" t="inlineStr">
        <is>
          <t>prod</t>
        </is>
      </c>
    </row>
    <row r="791">
      <c r="A791" t="inlineStr">
        <is>
          <t>2025-05-09 14:29:57.469</t>
        </is>
      </c>
      <c r="B791">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14,"minute":23,"second":16,"nano":0,"chronology":{"id":"ISO","calendarType":"iso8601"}},"response":1746771796355}]]</f>
        <v/>
      </c>
      <c r="C791" t="inlineStr">
        <is>
          <t>INFO</t>
        </is>
      </c>
      <c r="D791" t="inlineStr">
        <is>
          <t>vdh</t>
        </is>
      </c>
      <c r="E791" t="inlineStr">
        <is>
          <t>pro17</t>
        </is>
      </c>
      <c r="F791" t="inlineStr">
        <is>
          <t>prod</t>
        </is>
      </c>
    </row>
    <row r="792">
      <c r="A792" t="inlineStr">
        <is>
          <t>2025-05-09 14:29:37.292</t>
        </is>
      </c>
      <c r="B792">
        <f>=请求结束== [请求耗时]:15毫秒, [返回数据]:{"code":"000000","msg":"Success","traceId":"1db21dff2633f9769d0669718bce6422"}</f>
        <v/>
      </c>
      <c r="C792" t="inlineStr">
        <is>
          <t>INFO</t>
        </is>
      </c>
      <c r="D792" t="inlineStr">
        <is>
          <t>vdh</t>
        </is>
      </c>
      <c r="E792" t="inlineStr">
        <is>
          <t>pro14</t>
        </is>
      </c>
      <c r="F792" t="inlineStr">
        <is>
          <t>prod</t>
        </is>
      </c>
    </row>
    <row r="793">
      <c r="A793" t="inlineStr">
        <is>
          <t>2025-05-09 14:29:37.277</t>
        </is>
      </c>
      <c r="B79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87:97:8B","sessionId":"","avatarId":"11200220000208050000000000000000","appCode":"VDHtestWDC","instructionTemplateType":"","recordId":"","asrResult":"","knowledgeId":"","knowledgeMasterId":"","instructionType":"","instructionName":"","instructionFlag":"","parameter":"{}","ttsResultSource":"local","ttsResult":"小万发现了玉米块,要开始烹饪吗","ttsResultTime":{"year":2025,"monthValue":5,"month":"MAY","dayOfMonth":9,"dayOfYear":129,"dayOfWeek":"FRIDAY","hour":14,"minute":22,"second":58,"nano":0,"chronology":{"id":"ISO","calendarType":"iso8601"}},"response":1746771778242}]]</f>
        <v/>
      </c>
      <c r="C793" t="inlineStr">
        <is>
          <t>INFO</t>
        </is>
      </c>
      <c r="D793" t="inlineStr">
        <is>
          <t>vdh</t>
        </is>
      </c>
      <c r="E793" t="inlineStr">
        <is>
          <t>pro14</t>
        </is>
      </c>
      <c r="F793" t="inlineStr">
        <is>
          <t>prod</t>
        </is>
      </c>
    </row>
    <row r="794">
      <c r="A794" t="inlineStr">
        <is>
          <t>2025-05-09 14:29:09.288</t>
        </is>
      </c>
      <c r="B794">
        <f>=请求结束== [请求耗时]:14毫秒, [返回数据]:{"code":"000000","msg":"Success","traceId":"d65d2c947a8e10e8395ce8dd4b2672a9"}</f>
        <v/>
      </c>
      <c r="C794" t="inlineStr">
        <is>
          <t>INFO</t>
        </is>
      </c>
      <c r="D794" t="inlineStr">
        <is>
          <t>vdh</t>
        </is>
      </c>
      <c r="E794" t="inlineStr">
        <is>
          <t>pro17</t>
        </is>
      </c>
      <c r="F794" t="inlineStr">
        <is>
          <t>prod</t>
        </is>
      </c>
    </row>
    <row r="795">
      <c r="A795" t="inlineStr">
        <is>
          <t>2025-05-09 14:29:09.275</t>
        </is>
      </c>
      <c r="B795">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烹饪完成,请取餐,小心烫小万发现了红烧排骨或糖醋排骨或话梅排骨,主人喜欢糖醋排骨还是红烧排骨/话梅排骨口感","ttsResultTime":{"year":2025,"monthValue":5,"month":"MAY","dayOfMonth":9,"dayOfYear":129,"dayOfWeek":"FRIDAY","hour":11,"minute":43,"second":50,"nano":0,"chronology":{"id":"ISO","calendarType":"iso8601"}},"response":1746762230209}]]</f>
        <v/>
      </c>
      <c r="C795" t="inlineStr">
        <is>
          <t>INFO</t>
        </is>
      </c>
      <c r="D795" t="inlineStr">
        <is>
          <t>vdh</t>
        </is>
      </c>
      <c r="E795" t="inlineStr">
        <is>
          <t>pro17</t>
        </is>
      </c>
      <c r="F795" t="inlineStr">
        <is>
          <t>prod</t>
        </is>
      </c>
    </row>
    <row r="796">
      <c r="A796" t="inlineStr">
        <is>
          <t>2025-05-09 14:28:36.046</t>
        </is>
      </c>
      <c r="B796">
        <f>=请求结束== [请求耗时]:15毫秒, [返回数据]:{"code":"000000","msg":"Success","traceId":"3d8d93d389eb2dd0a1462418d3c513eb"}</f>
        <v/>
      </c>
      <c r="C796" t="inlineStr">
        <is>
          <t>INFO</t>
        </is>
      </c>
      <c r="D796" t="inlineStr">
        <is>
          <t>vdh</t>
        </is>
      </c>
      <c r="E796" t="inlineStr">
        <is>
          <t>pro17</t>
        </is>
      </c>
      <c r="F796" t="inlineStr">
        <is>
          <t>prod</t>
        </is>
      </c>
    </row>
    <row r="797">
      <c r="A797" t="inlineStr">
        <is>
          <t>2025-05-09 14:28:36.031</t>
        </is>
      </c>
      <c r="B797">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88:00:68","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14,"minute":28,"second":29,"nano":0,"chronology":{"id":"ISO","calendarType":"iso8601"}},"response":1746772109727}]]</f>
        <v/>
      </c>
      <c r="C797" t="inlineStr">
        <is>
          <t>INFO</t>
        </is>
      </c>
      <c r="D797" t="inlineStr">
        <is>
          <t>vdh</t>
        </is>
      </c>
      <c r="E797" t="inlineStr">
        <is>
          <t>pro17</t>
        </is>
      </c>
      <c r="F797" t="inlineStr">
        <is>
          <t>prod</t>
        </is>
      </c>
    </row>
    <row r="798">
      <c r="A798" t="inlineStr">
        <is>
          <t>2025-05-09 14:26:17.235</t>
        </is>
      </c>
      <c r="B798">
        <f>=请求结束== [请求耗时]:16毫秒, [返回数据]:{"code":"000000","msg":"Success","traceId":"72b7bbdea2356f5026d143e8065b7cf4"}</f>
        <v/>
      </c>
      <c r="C798" t="inlineStr">
        <is>
          <t>INFO</t>
        </is>
      </c>
      <c r="D798" t="inlineStr">
        <is>
          <t>vdh</t>
        </is>
      </c>
      <c r="E798" t="inlineStr">
        <is>
          <t>pro14</t>
        </is>
      </c>
      <c r="F798" t="inlineStr">
        <is>
          <t>prod</t>
        </is>
      </c>
    </row>
    <row r="799">
      <c r="A799" t="inlineStr">
        <is>
          <t>2025-05-09 14:26:17.219</t>
        </is>
      </c>
      <c r="B799">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knowledgeId":"","knowledgeMasterId":"","instructionType":"","instructionName":"","instructionFlag":"","parameter":"{}","ttsResultSource":"","ttsResult":"","response":0}]]</f>
        <v/>
      </c>
      <c r="C799" t="inlineStr">
        <is>
          <t>INFO</t>
        </is>
      </c>
      <c r="D799" t="inlineStr">
        <is>
          <t>vdh</t>
        </is>
      </c>
      <c r="E799" t="inlineStr">
        <is>
          <t>pro14</t>
        </is>
      </c>
      <c r="F799" t="inlineStr">
        <is>
          <t>prod</t>
        </is>
      </c>
    </row>
    <row r="800">
      <c r="A800" t="inlineStr">
        <is>
          <t>2025-05-09 14:24:59.825</t>
        </is>
      </c>
      <c r="B800">
        <f>=请求结束== [请求耗时]:16毫秒, [返回数据]:{"code":"000000","msg":"Success","traceId":"cbfbb20518d7b895a2bd9b58b9f19768"}</f>
        <v/>
      </c>
      <c r="C800" t="inlineStr">
        <is>
          <t>INFO</t>
        </is>
      </c>
      <c r="D800" t="inlineStr">
        <is>
          <t>vdh</t>
        </is>
      </c>
      <c r="E800" t="inlineStr">
        <is>
          <t>pro17</t>
        </is>
      </c>
      <c r="F800" t="inlineStr">
        <is>
          <t>prod</t>
        </is>
      </c>
    </row>
    <row r="801">
      <c r="A801" t="inlineStr">
        <is>
          <t>2025-05-09 14:24:59.810</t>
        </is>
      </c>
      <c r="B801">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88:00:68","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14,"minute":24,"second":54,"nano":0,"chronology":{"id":"ISO","calendarType":"iso8601"}},"response":1746771894638}]]</f>
        <v/>
      </c>
      <c r="C801" t="inlineStr">
        <is>
          <t>INFO</t>
        </is>
      </c>
      <c r="D801" t="inlineStr">
        <is>
          <t>vdh</t>
        </is>
      </c>
      <c r="E801" t="inlineStr">
        <is>
          <t>pro17</t>
        </is>
      </c>
      <c r="F801" t="inlineStr">
        <is>
          <t>prod</t>
        </is>
      </c>
    </row>
    <row r="802">
      <c r="A802" t="inlineStr">
        <is>
          <t>2025-05-09 14:22:33.416</t>
        </is>
      </c>
      <c r="B802">
        <f>=请求结束== [请求耗时]:14毫秒, [返回数据]:{"code":"000000","msg":"Success","traceId":"f30f016ff119dafb59a8de5332c77c4e"}</f>
        <v/>
      </c>
      <c r="C802" t="inlineStr">
        <is>
          <t>INFO</t>
        </is>
      </c>
      <c r="D802" t="inlineStr">
        <is>
          <t>vdh</t>
        </is>
      </c>
      <c r="E802" t="inlineStr">
        <is>
          <t>pro14</t>
        </is>
      </c>
      <c r="F802" t="inlineStr">
        <is>
          <t>prod</t>
        </is>
      </c>
    </row>
    <row r="803">
      <c r="A803" t="inlineStr">
        <is>
          <t>2025-05-09 14:22:33.402</t>
        </is>
      </c>
      <c r="B80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88:00:68","sessionId":"","avatarId":"11200220000208050000000000000000","appCode":"VDHtestWDC","instructionTemplateType":"","recordId":"","asrResult":"","knowledgeId":"","knowledgeMasterId":"","instructionType":"","instructionName":"","instructionFlag":"","parameter":"{}","ttsResultSource":"","ttsResult":"","response":0}]]</f>
        <v/>
      </c>
      <c r="C803" t="inlineStr">
        <is>
          <t>INFO</t>
        </is>
      </c>
      <c r="D803" t="inlineStr">
        <is>
          <t>vdh</t>
        </is>
      </c>
      <c r="E803" t="inlineStr">
        <is>
          <t>pro14</t>
        </is>
      </c>
      <c r="F803" t="inlineStr">
        <is>
          <t>prod</t>
        </is>
      </c>
    </row>
    <row r="804">
      <c r="A804" t="inlineStr">
        <is>
          <t>2025-05-09 14:21:59.267</t>
        </is>
      </c>
      <c r="B804">
        <f>=请求结束== [请求耗时]:16毫秒, [返回数据]:{"code":"000000","msg":"Success","traceId":"fa99607ae9ebaaa2cbfeeeabf6356d39"}</f>
        <v/>
      </c>
      <c r="C804" t="inlineStr">
        <is>
          <t>INFO</t>
        </is>
      </c>
      <c r="D804" t="inlineStr">
        <is>
          <t>vdh</t>
        </is>
      </c>
      <c r="E804" t="inlineStr">
        <is>
          <t>pro14</t>
        </is>
      </c>
      <c r="F804" t="inlineStr">
        <is>
          <t>prod</t>
        </is>
      </c>
    </row>
    <row r="805">
      <c r="A805" t="inlineStr">
        <is>
          <t>2025-05-09 14:21:59.251</t>
        </is>
      </c>
      <c r="B805">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3:34","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12,"minute":6,"second":10,"nano":0,"chronology":{"id":"ISO","calendarType":"iso8601"}},"response":1746763570670}]]</f>
        <v/>
      </c>
      <c r="C805" t="inlineStr">
        <is>
          <t>INFO</t>
        </is>
      </c>
      <c r="D805" t="inlineStr">
        <is>
          <t>vdh</t>
        </is>
      </c>
      <c r="E805" t="inlineStr">
        <is>
          <t>pro14</t>
        </is>
      </c>
      <c r="F805" t="inlineStr">
        <is>
          <t>prod</t>
        </is>
      </c>
    </row>
    <row r="806">
      <c r="A806" t="inlineStr">
        <is>
          <t>2025-05-09 14:16:55.755</t>
        </is>
      </c>
      <c r="B806">
        <f>=请求结束== [请求耗时]:14毫秒, [返回数据]:{"code":"000000","msg":"Success","traceId":"7b933c0b2dc985680d75fd76f1ab3c00"}</f>
        <v/>
      </c>
      <c r="C806" t="inlineStr">
        <is>
          <t>INFO</t>
        </is>
      </c>
      <c r="D806" t="inlineStr">
        <is>
          <t>vdh</t>
        </is>
      </c>
      <c r="E806" t="inlineStr">
        <is>
          <t>pro17</t>
        </is>
      </c>
      <c r="F806" t="inlineStr">
        <is>
          <t>prod</t>
        </is>
      </c>
    </row>
    <row r="807">
      <c r="A807" t="inlineStr">
        <is>
          <t>2025-05-09 14:16:55.741</t>
        </is>
      </c>
      <c r="B807">
        <f>=请求开始== [请求IP]:122.90.30.31 ,[请求方式]:POST， [请求URL]:https://172.30.103.196:8080/api/appservice/bfv/v1/chatHistory/batchSave, [请求类名]:com.yingzi.appservice.bfv.provider.rest.ChatHistoryController,[请求方法名]:batchSave, [请求头参数]:{"host":"172.30.103.196:8080"}, [请求参数]:[[{"userId":1357297858318413824,"deviceId":"F4:CE:23:BC:41:2F","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12,"minute":55,"second":9,"nano":0,"chronology":{"id":"ISO","calendarType":"iso8601"}},"response":1746766509179}]]</f>
        <v/>
      </c>
      <c r="C807" t="inlineStr">
        <is>
          <t>INFO</t>
        </is>
      </c>
      <c r="D807" t="inlineStr">
        <is>
          <t>vdh</t>
        </is>
      </c>
      <c r="E807" t="inlineStr">
        <is>
          <t>pro17</t>
        </is>
      </c>
      <c r="F807" t="inlineStr">
        <is>
          <t>prod</t>
        </is>
      </c>
    </row>
    <row r="808">
      <c r="A808" t="inlineStr">
        <is>
          <t>2025-05-09 14:16:07.122</t>
        </is>
      </c>
      <c r="B808">
        <f>=请求结束== [请求耗时]:17毫秒, [返回数据]:{"code":"000000","msg":"Success","traceId":"7242ade2e2b601d9111b536432952200"}</f>
        <v/>
      </c>
      <c r="C808" t="inlineStr">
        <is>
          <t>INFO</t>
        </is>
      </c>
      <c r="D808" t="inlineStr">
        <is>
          <t>vdh</t>
        </is>
      </c>
      <c r="E808" t="inlineStr">
        <is>
          <t>pro14</t>
        </is>
      </c>
      <c r="F808" t="inlineStr">
        <is>
          <t>prod</t>
        </is>
      </c>
    </row>
    <row r="809">
      <c r="A809" t="inlineStr">
        <is>
          <t>2025-05-09 14:16:07.106</t>
        </is>
      </c>
      <c r="B809">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88:00:68","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12,"minute":4,"second":6,"nano":0,"chronology":{"id":"ISO","calendarType":"iso8601"}},"response":1746763446191}]]</f>
        <v/>
      </c>
      <c r="C809" t="inlineStr">
        <is>
          <t>INFO</t>
        </is>
      </c>
      <c r="D809" t="inlineStr">
        <is>
          <t>vdh</t>
        </is>
      </c>
      <c r="E809" t="inlineStr">
        <is>
          <t>pro14</t>
        </is>
      </c>
      <c r="F809" t="inlineStr">
        <is>
          <t>prod</t>
        </is>
      </c>
    </row>
    <row r="810">
      <c r="A810" t="inlineStr">
        <is>
          <t>2025-05-09 14:12:01.534</t>
        </is>
      </c>
      <c r="B810">
        <f>=请求结束== [请求耗时]:15毫秒, [返回数据]:{"code":"000000","msg":"Success","traceId":"a70d913c4c0453fd54ad5227e62e3622"}</f>
        <v/>
      </c>
      <c r="C810" t="inlineStr">
        <is>
          <t>INFO</t>
        </is>
      </c>
      <c r="D810" t="inlineStr">
        <is>
          <t>vdh</t>
        </is>
      </c>
      <c r="E810" t="inlineStr">
        <is>
          <t>pro17</t>
        </is>
      </c>
      <c r="F810" t="inlineStr">
        <is>
          <t>prod</t>
        </is>
      </c>
    </row>
    <row r="811">
      <c r="A811" t="inlineStr">
        <is>
          <t>2025-05-09 14:12:01.519</t>
        </is>
      </c>
      <c r="B811">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Instruction_library","recordId":"","asrResult":"关机","instructionAsrFirstTime":{"year":2025,"monthValue":5,"month":"MAY","dayOfMonth":9,"dayOfYear":129,"dayOfWeek":"FRIDAY","hour":14,"minute":11,"second":52,"nano":0,"chronology":{"id":"ISO","calendarType":"iso8601"}},"knowledgeId":"","knowledgeMasterId":"295","instructionType":"SYSTEM","instructionName":"息屏","instructionFlag":"screen_off","parameter":"{\"answer\":\"DEFAULT\",\"code\":\"screen_off\",\"continue_answer\":\"\",\"continue_failed_answer\":\"\",\"entities\":\"\",\"failed_answer\":\"{\\\"answerId\\\":\\\"\\\",\\\"value\\\":\\\"抱歉，执行错误\\\",\\\"hidb\\\":\\\"\\\",\\\"aplusId\\\":\\\"\\\",\\\"flag\\\":true,\\\"updFlag\\\":false,\\\"cache\\\":false}\",\"hitBusiness\":\"295\",\"init_state\":\"false\",\"intent\":\"息屏\",\"intentType\":\"SYSTEM\",\"isEnd\":\"true\",\"isMulti\":\"false\",\"service\":\"Instruction_library\",\"succeed_answer\":\"{\\\"answerId\\\":\\\"\\\",\\\"value\\\":\\\"好的\\\",\\\"hidb\\\":\\\"\\\",\\\"aplusId\\\":\\\"\\\",\\\"flag\\\":true,\\\"updFlag\\\":false,\\\"cache\\\":false}\"}","ttsResultSource":"local","ttsResult":"抱歉,请先返回首页再试","ttsResultTime":{"year":2025,"monthValue":5,"month":"MAY","dayOfMonth":9,"dayOfYear":129,"dayOfWeek":"FRIDAY","hour":14,"minute":11,"second":57,"nano":0,"chronology":{"id":"ISO","calendarType":"iso8601"}},"response":3990}]]</f>
        <v/>
      </c>
      <c r="C811" t="inlineStr">
        <is>
          <t>INFO</t>
        </is>
      </c>
      <c r="D811" t="inlineStr">
        <is>
          <t>vdh</t>
        </is>
      </c>
      <c r="E811" t="inlineStr">
        <is>
          <t>pro17</t>
        </is>
      </c>
      <c r="F811" t="inlineStr">
        <is>
          <t>prod</t>
        </is>
      </c>
    </row>
    <row r="812">
      <c r="A812" t="inlineStr">
        <is>
          <t>2025-05-09 14:08:37.619</t>
        </is>
      </c>
      <c r="B812">
        <f>=请求结束== [请求耗时]:552毫秒, [返回数据]:{"code":"000000","msg":"Success","data":[]}</f>
        <v/>
      </c>
      <c r="C812" t="inlineStr">
        <is>
          <t>INFO</t>
        </is>
      </c>
      <c r="D812" t="inlineStr">
        <is>
          <t>vdh</t>
        </is>
      </c>
      <c r="E812" t="inlineStr">
        <is>
          <t>pro17</t>
        </is>
      </c>
      <c r="F812" t="inlineStr">
        <is>
          <t>prod</t>
        </is>
      </c>
    </row>
    <row r="813">
      <c r="A813" t="inlineStr">
        <is>
          <t>2025-05-09 14:08:37.068</t>
        </is>
      </c>
      <c r="B813">
        <f>=请求开始== [请求IP]:172.21.10.31 ,[请求方式]:POST， [请求URL]:https://172.30.103.196:8080/api/appservice/bfv/v1/knowledge/retrieval/plugin, [请求类名]:com.yingzi.appservice.bfv.provider.rest.KnowledgeRetrievalController,[请求方法名]:plugin, [请求头参数]:{"host":"172.30.103.196:8080"}, [请求参数]:[{"query":"不是","auto_config":1,"knowledge_configs":[{"topk":15,"type":"faq_wda_oven","knowledge_id":"1272948056214077440","vector_threshold":0.89,"match_score":1.0,"vector_boost":0.72},{"topk":40,"type":"command_dual-screen-nvidia_oven","knowledge_id":"1310573539587891200","vector_threshold":0.9,"match_score":0.55,"vector_boost":0.72},{"topk":20,"type":"sql_business_database_recipe","knowledge_id":"1272947938412855296","vector_threshold":0.9,"match_score":0.55,"vector_boost":0.72},{"topk":3,"type":"other","knowledge_id":"1326868148286373888","vector_threshold":0.88,"match_score":0.8,"vector_boost":0.72}]}]</f>
        <v/>
      </c>
      <c r="C813" t="inlineStr">
        <is>
          <t>INFO</t>
        </is>
      </c>
      <c r="D813" t="inlineStr">
        <is>
          <t>vdh</t>
        </is>
      </c>
      <c r="E813" t="inlineStr">
        <is>
          <t>pro17</t>
        </is>
      </c>
      <c r="F813" t="inlineStr">
        <is>
          <t>prod</t>
        </is>
      </c>
    </row>
    <row r="814">
      <c r="A814" t="inlineStr">
        <is>
          <t>2025-05-09 14:07:38.593</t>
        </is>
      </c>
      <c r="B814">
        <f>=请求结束== [请求耗时]:449毫秒, [返回数据]:{"code":"000000","msg":"Success","data":[{"knowledgeId":"1310573539587891200","knowledgeContent":[{"score":0.648264852,"content":"播一下热点新闻","fileId":"1328421153719672832","chunkId":"82","textGroup":"news {type=top,size=3}"}]}]}</f>
        <v/>
      </c>
      <c r="C814" t="inlineStr">
        <is>
          <t>INFO</t>
        </is>
      </c>
      <c r="D814" t="inlineStr">
        <is>
          <t>vdh</t>
        </is>
      </c>
      <c r="E814" t="inlineStr">
        <is>
          <t>pro14</t>
        </is>
      </c>
      <c r="F814" t="inlineStr">
        <is>
          <t>prod</t>
        </is>
      </c>
    </row>
    <row r="815">
      <c r="A815" t="inlineStr">
        <is>
          <t>2025-05-09 14:07:38.592</t>
        </is>
      </c>
      <c r="B815" t="inlineStr">
        <is>
          <t>知识库插件检索耗时: 447ms</t>
        </is>
      </c>
      <c r="C815" t="inlineStr">
        <is>
          <t>INFO</t>
        </is>
      </c>
      <c r="D815" t="inlineStr">
        <is>
          <t>vdh</t>
        </is>
      </c>
      <c r="E815" t="inlineStr">
        <is>
          <t>pro14</t>
        </is>
      </c>
      <c r="F815" t="inlineStr">
        <is>
          <t>prod</t>
        </is>
      </c>
    </row>
    <row r="816">
      <c r="A816" t="inlineStr">
        <is>
          <t>2025-05-09 14:07:38.144</t>
        </is>
      </c>
      <c r="B816">
        <f>=请求开始== [请求IP]:172.21.10.31 ,[请求方式]:POST， [请求URL]:https://172.30.212.148:8080/api/appservice/bfv/v1/knowledge/retrieval/plugin, [请求类名]:com.yingzi.appservice.bfv.provider.rest.KnowledgeRetrievalController,[请求方法名]:plugin, [请求头参数]:{"host":"172.30.212.148:8080"}, [请求参数]:[{"query":"讲个故事","auto_config":1,"knowledge_configs":[{"topk":15,"type":"faq_wda_oven","knowledge_id":"1272948056214077440","vector_threshold":0.89,"match_score":1.0,"vector_boost":0.72},{"topk":40,"type":"command_dual-screen-nvidia_oven","knowledge_id":"1310573539587891200","vector_threshold":0.9,"match_score":0.55,"vector_boost":0.72},{"topk":20,"type":"sql_business_database_recipe","knowledge_id":"1272947938412855296","vector_threshold":0.9,"match_score":0.55,"vector_boost":0.72},{"topk":3,"type":"other","knowledge_id":"1326868148286373888","vector_threshold":0.88,"match_score":0.8,"vector_boost":0.72}]}]</f>
        <v/>
      </c>
      <c r="C816" t="inlineStr">
        <is>
          <t>INFO</t>
        </is>
      </c>
      <c r="D816" t="inlineStr">
        <is>
          <t>vdh</t>
        </is>
      </c>
      <c r="E816" t="inlineStr">
        <is>
          <t>pro14</t>
        </is>
      </c>
      <c r="F816" t="inlineStr">
        <is>
          <t>prod</t>
        </is>
      </c>
    </row>
    <row r="817">
      <c r="A817" t="inlineStr">
        <is>
          <t>2025-05-09 14:07:16.102</t>
        </is>
      </c>
      <c r="B817">
        <f>=请求结束== [请求耗时]:428毫秒, [返回数据]:{"code":"000000","msg":"Success","data":[{"knowledgeId":"1310573539587891200","knowledgeContent":[{"score":0.891875188,"content":"实时天气","fileId":"1328421153719672832","chunkId":"1","textGroup":"getCurrentWeather"},{"score":0.8583017792,"content":"播报新闻","fileId":"1328421153719672832","chunkId":"52","textGroup":"news {type=top,size=3}"},{"score":0.8494582352,"content":"播报剩余时间","fileId":"1310974251075973120","chunkId":"32","textGroup":"remaining_cooking_time_query"},{"score":0.8405343396,"content":"贵港明天天气","fileId":"1328421153719672832","chunkId":"31","textGroup":"getCurrentWeather {province=广西壮族自治区,city=贵港市}"},{"score":0.8356941036000001,"content":"深圳明天天气","fileId":"1328421153719672832","chunkId":"42","textGroup":"getCurrentWeather {province=广东省,city=深圳市}"},{"score":0.8356834475999999,"content":"广州明天天气","fileId":"1328421153719672832","chunkId":"36","textGroup":"getCurrentWeather {province=广东省,city=广州市}"},{"score":0.662651712,"content":"北京今天天气","fileId":"1328421153719672832","chunkId":"49","textGroup":"getCurrentWeather {province=北京市}"},{"score":0.6616036799999999,"content":"通州区今天天气","fileId":"1328421153719672832","chunkId":"50","textGroup":"getCurrentWeather {province=北京市,district=通州区}"},{"score":0.66098574,"content":"天河区今天天气","fileId":"1328421153719672832","chunkId":"37","textGroup":"getCurrentWeather {province=广东省,city=广州市,district=天河区}"},{"score":0.659498292,"content":"港北区今天天气","fileId":"1328421153719672832","chunkId":"33","textGroup":"getCurrentWeather {province=广西壮族自治区,city=贵港市,district=港北区}"},{"score":0.658263348,"content":"港南区今天天气","fileId":"1328421153719672832","chunkId":"32","textGroup":"getCurrentWeather {province=广西壮族自治区,city=贵港市,district=港南区}"},{"score":0.65682792,"content":"罗湖区今天天气","fileId":"1328421153719672832","chunkId":"45","textGroup":"getCurrentWeather {province=广东省,city=深圳市,district=罗湖区}"},{"score":0.6565179959999999,"content":"光明区今天天气","fileId":"1328421153719672832","chunkId":"47","textGroup":"getCurrentWeather {province=广东省,city=深圳市,district=光明区}"},{"score":0.655747776,"content":"白云区今天天气","fileId":"1328421153719672832","chunkId":"40","textGroup":"getCurrentWeather {province=广东省,city=广州市,district=白云区}"},{"score":0.654676524,"content":"宝安区今天天气","fileId":"1328421153719672832","chunkId":"44","textGroup":"getCurrentWeather {province=广东省,city=深圳市,district=宝安区}"},{"score":0.653603364,"content":"南沙区今天天气","fileId":"1328421153719672832","chunkId":"38","textGroup":"getCurrentWeather {province=广东省,city=广州市,district=南沙区}"},{"score":0.6525844199999999,"content":"南宁今天天气","fileId":"1328421153719672832","chunkId":"48","textGroup":"getCurrentWeather {province=广西壮族自治区,city=南宁市}"},{"score":0.652040316,"content":"番禺区今天天气","fileId":"1328421153719672832","chunkId":"39","textGroup":"getCurrentWeather {province=广东省,city=广州市,district=番禺区}"},{"score":0.651865536,"content":"南山区今天天气","fileId":"1328421153719672832","chunkId":"43","textGroup":"getCurrentWeather {province=广东省,city=深圳市,district=南山区}"},{"score":0.649990656,"content":"龙华区今天天气","fileId":"1328421153719672832","chunkId":"46","textGroup":"getCurrentWeather {province=广东省,city=深圳市,district=龙华区}"}]}]}</f>
        <v/>
      </c>
      <c r="C817" t="inlineStr">
        <is>
          <t>INFO</t>
        </is>
      </c>
      <c r="D817" t="inlineStr">
        <is>
          <t>vdh</t>
        </is>
      </c>
      <c r="E817" t="inlineStr">
        <is>
          <t>pro17</t>
        </is>
      </c>
      <c r="F817" t="inlineStr">
        <is>
          <t>prod</t>
        </is>
      </c>
    </row>
    <row r="818">
      <c r="A818" t="inlineStr">
        <is>
          <t>2025-05-09 14:07:16.101</t>
        </is>
      </c>
      <c r="B818" t="inlineStr">
        <is>
          <t>知识库插件检索耗时: 427ms</t>
        </is>
      </c>
      <c r="C818" t="inlineStr">
        <is>
          <t>INFO</t>
        </is>
      </c>
      <c r="D818" t="inlineStr">
        <is>
          <t>vdh</t>
        </is>
      </c>
      <c r="E818" t="inlineStr">
        <is>
          <t>pro17</t>
        </is>
      </c>
      <c r="F818" t="inlineStr">
        <is>
          <t>prod</t>
        </is>
      </c>
    </row>
    <row r="819">
      <c r="A819" t="inlineStr">
        <is>
          <t>2025-05-09 14:07:15.674</t>
        </is>
      </c>
      <c r="B819">
        <f>=请求开始== [请求IP]:172.21.10.31 ,[请求方式]:POST， [请求URL]:https://172.30.103.196:8080/api/appservice/bfv/v1/knowledge/retrieval/plugin, [请求类名]:com.yingzi.appservice.bfv.provider.rest.KnowledgeRetrievalController,[请求方法名]:plugin, [请求头参数]:{"host":"172.30.103.196:8080"}, [请求参数]:[{"query":"播报天气","auto_config":1,"knowledge_configs":[{"topk":15,"type":"faq_wda_oven","knowledge_id":"1272948056214077440","vector_threshold":0.89,"match_score":1.0,"vector_boost":0.72},{"topk":40,"type":"command_dual-screen-nvidia_oven","knowledge_id":"1310573539587891200","vector_threshold":0.9,"match_score":0.55,"vector_boost":0.72},{"topk":20,"type":"sql_business_database_recipe","knowledge_id":"1272947938412855296","vector_threshold":0.9,"match_score":0.55,"vector_boost":0.72},{"topk":3,"type":"other","knowledge_id":"1326868148286373888","vector_threshold":0.88,"match_score":0.8,"vector_boost":0.72}]}]</f>
        <v/>
      </c>
      <c r="C819" t="inlineStr">
        <is>
          <t>INFO</t>
        </is>
      </c>
      <c r="D819" t="inlineStr">
        <is>
          <t>vdh</t>
        </is>
      </c>
      <c r="E819" t="inlineStr">
        <is>
          <t>pro17</t>
        </is>
      </c>
      <c r="F819" t="inlineStr">
        <is>
          <t>prod</t>
        </is>
      </c>
    </row>
    <row r="820">
      <c r="A820" t="inlineStr">
        <is>
          <t>2025-05-09 14:06:47.712</t>
        </is>
      </c>
      <c r="B820">
        <f>=请求结束== [请求耗时]:617毫秒, [返回数据]:{"code":"000000","msg":"Success","data":[{"knowledgeId":"1310573539587891200","knowledgeContent":[{"score":0.8637870879999999,"content":"声音调低","fileId":"1311334944174465024","chunkId":"150","textGroup":"volume_control {type=down}"},{"score":0.861001336,"content":"亮度调低","fileId":"1311336657828524032","chunkId":"137","textGroup":"bright_control {type=down}"},{"score":0.841400248,"content":"音量调低二十","fileId":"1311334944174465024","chunkId":"196","textGroup":"volume_control {type=down,volume_value=20}"},{"score":0.8386302640000001,"content":"声音调低三十","fileId":"1311334944174465024","chunkId":"199","textGroup":"volume_control {type=down,volume_value=30}"},{"score":0.8363348680000001,"content":"亮度调低三十","fileId":"1311336657828524032","chunkId":"188","textGroup":"bright_control {type=down,bright_value=30}"},{"score":0.8359548880000001,"content":"亮度调低二十","fileId":"1311336657828524032","chunkId":"185","textGroup":"bright_control {type=down,bright_value=20}"},{"score":0.669488436,"content":"调整最低音","fileId":"1311334944174465024","chunkId":"438","textGroup":"volume_control {type=mute}"},{"score":0.6692389919999999,"content":"声音调高","fileId":"1311334944174465024","chunkId":"56","textGroup":"volume_control {type=up}"},{"score":0.6673127759999999,"content":"音量调高三十","fileId":"1311334944174465024","chunkId":"105","textGroup":"volume_control {type=up,volume_value=30}"},{"score":0.66714714,"content":"声音调高二十","fileId":"1311334944174465024","chunkId":"107","textGroup":"volume_control {type=up,volume_value=20}"},{"score":0.664040808,"content":"亮度调高","fileId":"1311336657828524032","chunkId":"42","textGroup":"bright_control {type=up}"},{"score":0.662546232,"content":"调整最低亮度","fileId":"1311336657828524032","chunkId":"282","textGroup":"bright_control {type=min}"},{"score":0.66147192,"content":"声音调到最高","fileId":"1311334944174465024","chunkId":"263","textGroup":"volume_control {type=max}"},{"score":0.15559346880000002,"content":"调低音量到70","fileId":"1311334944174465024","chunkId":"305","textGroup":"volume_control {type=value,volume_value=70}"},{"score":0.15559346880000002,"content":"调低亮度到70","fileId":"1311336657828524032","chunkId":"360","textGroup":"bright_control {type=value,bright_value=70}"}]}]}</f>
        <v/>
      </c>
      <c r="C820" t="inlineStr">
        <is>
          <t>INFO</t>
        </is>
      </c>
      <c r="D820" t="inlineStr">
        <is>
          <t>vdh</t>
        </is>
      </c>
      <c r="E820" t="inlineStr">
        <is>
          <t>pro14</t>
        </is>
      </c>
      <c r="F820" t="inlineStr">
        <is>
          <t>prod</t>
        </is>
      </c>
    </row>
    <row r="821">
      <c r="A821" t="inlineStr">
        <is>
          <t>2025-05-09 14:06:47.712</t>
        </is>
      </c>
      <c r="B821" t="inlineStr">
        <is>
          <t>知识库插件检索耗时: 615ms</t>
        </is>
      </c>
      <c r="C821" t="inlineStr">
        <is>
          <t>INFO</t>
        </is>
      </c>
      <c r="D821" t="inlineStr">
        <is>
          <t>vdh</t>
        </is>
      </c>
      <c r="E821" t="inlineStr">
        <is>
          <t>pro14</t>
        </is>
      </c>
      <c r="F821" t="inlineStr">
        <is>
          <t>prod</t>
        </is>
      </c>
    </row>
    <row r="822">
      <c r="A822" t="inlineStr">
        <is>
          <t>2025-05-09 14:06:47.095</t>
        </is>
      </c>
      <c r="B822">
        <f>=请求开始== [请求IP]:172.21.10.31 ,[请求方式]:POST， [请求URL]:https://172.30.212.148:8080/api/appservice/bfv/v1/knowledge/retrieval/plugin, [请求类名]:com.yingzi.appservice.bfv.provider.rest.KnowledgeRetrievalController,[请求方法名]:plugin, [请求头参数]:{"host":"172.30.212.148:8080"}, [请求参数]:[{"query":"调低","auto_config":1,"knowledge_configs":[{"topk":15,"type":"faq_wda_oven","knowledge_id":"1272948056214077440","vector_threshold":0.89,"match_score":1.0,"vector_boost":0.72},{"topk":40,"type":"command_dual-screen-nvidia_oven","knowledge_id":"1310573539587891200","vector_threshold":0.9,"match_score":0.55,"vector_boost":0.72},{"topk":20,"type":"sql_business_database_recipe","knowledge_id":"1272947938412855296","vector_threshold":0.9,"match_score":0.55,"vector_boost":0.72},{"topk":3,"type":"other","knowledge_id":"1326868148286373888","vector_threshold":0.88,"match_score":0.8,"vector_boost":0.72}]}]</f>
        <v/>
      </c>
      <c r="C822" t="inlineStr">
        <is>
          <t>INFO</t>
        </is>
      </c>
      <c r="D822" t="inlineStr">
        <is>
          <t>vdh</t>
        </is>
      </c>
      <c r="E822" t="inlineStr">
        <is>
          <t>pro14</t>
        </is>
      </c>
      <c r="F822" t="inlineStr">
        <is>
          <t>prod</t>
        </is>
      </c>
    </row>
    <row r="823">
      <c r="A823" t="inlineStr">
        <is>
          <t>2025-05-09 14:06:15.757</t>
        </is>
      </c>
      <c r="B823">
        <f>=请求结束== [请求耗时]:53毫秒, [返回数据]:{"code":"000000","msg":"Success","traceId":"e5e7d3330f69a205f256d77b2e5c8e58"}</f>
        <v/>
      </c>
      <c r="C823" t="inlineStr">
        <is>
          <t>INFO</t>
        </is>
      </c>
      <c r="D823" t="inlineStr">
        <is>
          <t>vdh</t>
        </is>
      </c>
      <c r="E823" t="inlineStr">
        <is>
          <t>pro14</t>
        </is>
      </c>
      <c r="F823" t="inlineStr">
        <is>
          <t>prod</t>
        </is>
      </c>
    </row>
    <row r="824">
      <c r="A824" t="inlineStr">
        <is>
          <t>2025-05-09 14:06:15.705</t>
        </is>
      </c>
      <c r="B824">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14,"minute":6,"second":8,"nano":0,"chronology":{"id":"ISO","calendarType":"iso8601"}},"response":2714545}]]</f>
        <v/>
      </c>
      <c r="C824" t="inlineStr">
        <is>
          <t>INFO</t>
        </is>
      </c>
      <c r="D824" t="inlineStr">
        <is>
          <t>vdh</t>
        </is>
      </c>
      <c r="E824" t="inlineStr">
        <is>
          <t>pro14</t>
        </is>
      </c>
      <c r="F824" t="inlineStr">
        <is>
          <t>prod</t>
        </is>
      </c>
    </row>
    <row r="825">
      <c r="A825" t="inlineStr">
        <is>
          <t>2025-05-09 14:04:16.412</t>
        </is>
      </c>
      <c r="B825">
        <f>=请求结束== [请求耗时]:524毫秒, [返回数据]:{"code":"000000","msg":"Success","data":[{"knowledgeId":"1310573539587891200","knowledgeContent":[{"score":0.891875188,"content":"实时天气","fileId":"1328421153719672832","chunkId":"1","textGroup":"getCurrentWeather"},{"score":0.8583017792,"content":"播报新闻","fileId":"1328421153719672832","chunkId":"52","textGroup":"news {type=top,size=3}"},{"score":0.8494582352,"content":"播报剩余时间","fileId":"1310974251075973120","chunkId":"32","textGroup":"remaining_cooking_time_query"},{"score":0.8405343396,"content":"贵港明天天气","fileId":"1328421153719672832","chunkId":"31","textGroup":"getCurrentWeather {province=广西壮族自治区,city=贵港市}"},{"score":0.8356941036000001,"content":"深圳明天天气","fileId":"1328421153719672832","chunkId":"42","textGroup":"getCurrentWeather {province=广东省,city=深圳市}"},{"score":0.8356834475999999,"content":"广州明天天气","fileId":"1328421153719672832","chunkId":"36","textGroup":"getCurrentWeather {province=广东省,city=广州市}"},{"score":0.662651712,"content":"北京今天天气","fileId":"1328421153719672832","chunkId":"49","textGroup":"getCurrentWeather {province=北京市}"},{"score":0.6616036799999999,"content":"通州区今天天气","fileId":"1328421153719672832","chunkId":"50","textGroup":"getCurrentWeather {province=北京市,district=通州区}"},{"score":0.66098574,"content":"天河区今天天气","fileId":"1328421153719672832","chunkId":"37","textGroup":"getCurrentWeather {province=广东省,city=广州市,district=天河区}"},{"score":0.659498292,"content":"港北区今天天气","fileId":"1328421153719672832","chunkId":"33","textGroup":"getCurrentWeather {province=广西壮族自治区,city=贵港市,district=港北区}"},{"score":0.658263348,"content":"港南区今天天气","fileId":"1328421153719672832","chunkId":"32","textGroup":"getCurrentWeather {province=广西壮族自治区,city=贵港市,district=港南区}"},{"score":0.65682792,"content":"罗湖区今天天气","fileId":"1328421153719672832","chunkId":"45","textGroup":"getCurrentWeather {province=广东省,city=深圳市,district=罗湖区}"},{"score":0.6565179959999999,"content":"光明区今天天气","fileId":"1328421153719672832","chunkId":"47","textGroup":"getCurrentWeather {province=广东省,city=深圳市,district=光明区}"},{"score":0.655747776,"content":"白云区今天天气","fileId":"1328421153719672832","chunkId":"40","textGroup":"getCurrentWeather {province=广东省,city=广州市,district=白云区}"},{"score":0.654676524,"content":"宝安区今天天气","fileId":"1328421153719672832","chunkId":"44","textGroup":"getCurrentWeather {province=广东省,city=深圳市,district=宝安区}"},{"score":0.653603364,"content":"南沙区今天天气","fileId":"1328421153719672832","chunkId":"38","textGroup":"getCurrentWeather {province=广东省,city=广州市,district=南沙区}"},{"score":0.6525844199999999,"content":"南宁今天天气","fileId":"1328421153719672832","chunkId":"48","textGroup":"getCurrentWeather {province=广西壮族自治区,city=南宁市}"},{"score":0.652040316,"content":"番禺区今天天气","fileId":"1328421153719672832","chunkId":"39","textGroup":"getCurrentWeather {province=广东省,city=广州市,district=番禺区}"},{"score":0.651865536,"content":"南山区今天天气","fileId":"1328421153719672832","chunkId":"43","textGroup":"getCurrentWeather {province=广东省,city=深圳市,district=南山区}"},{"score":0.649990656,"content":"龙华区今天天气","fileId":"1328421153719672832","chunkId":"46","textGroup":"getCurrentWeather {province=广东省,city=深圳市,district=龙华区}"}]}]}</f>
        <v/>
      </c>
      <c r="C825" t="inlineStr">
        <is>
          <t>INFO</t>
        </is>
      </c>
      <c r="D825" t="inlineStr">
        <is>
          <t>vdh</t>
        </is>
      </c>
      <c r="E825" t="inlineStr">
        <is>
          <t>pro17</t>
        </is>
      </c>
      <c r="F825" t="inlineStr">
        <is>
          <t>prod</t>
        </is>
      </c>
    </row>
    <row r="826">
      <c r="A826" t="inlineStr">
        <is>
          <t>2025-05-09 14:04:16.411</t>
        </is>
      </c>
      <c r="B826" t="inlineStr">
        <is>
          <t>知识库插件检索耗时: 522ms</t>
        </is>
      </c>
      <c r="C826" t="inlineStr">
        <is>
          <t>INFO</t>
        </is>
      </c>
      <c r="D826" t="inlineStr">
        <is>
          <t>vdh</t>
        </is>
      </c>
      <c r="E826" t="inlineStr">
        <is>
          <t>pro17</t>
        </is>
      </c>
      <c r="F826" t="inlineStr">
        <is>
          <t>prod</t>
        </is>
      </c>
    </row>
    <row r="827">
      <c r="A827" t="inlineStr">
        <is>
          <t>2025-05-09 14:04:15.961</t>
        </is>
      </c>
      <c r="B827" t="inlineStr">
        <is>
          <t>request data-gateway token response:{"code":200,"data":{"appKey":"yingzi-virtual-human","clientIp":"","deviceId":"","accessType":"RESTFUL","expiresIn":1746777855954,"access_token":"7eabc0bb-0a3a-4eca-bb6d-840eae1ceb8a"},"msg":"SUCCESS","extendInfo":null,"traceId":"12e613ccc389154706037a3824d2f63a"}</t>
        </is>
      </c>
      <c r="C827" t="inlineStr">
        <is>
          <t>WARN</t>
        </is>
      </c>
      <c r="D827" t="inlineStr">
        <is>
          <t>vdh</t>
        </is>
      </c>
      <c r="E827" t="inlineStr">
        <is>
          <t>pro17</t>
        </is>
      </c>
      <c r="F827" t="inlineStr">
        <is>
          <t>prod</t>
        </is>
      </c>
    </row>
    <row r="828">
      <c r="A828" t="inlineStr">
        <is>
          <t>2025-05-09 14:04:15.888</t>
        </is>
      </c>
      <c r="B828">
        <f>=请求开始== [请求IP]:172.21.10.31 ,[请求方式]:POST， [请求URL]:https://172.30.103.196:8080/api/appservice/bfv/v1/knowledge/retrieval/plugin, [请求类名]:com.yingzi.appservice.bfv.provider.rest.KnowledgeRetrievalController,[请求方法名]:plugin, [请求头参数]:{"host":"172.30.103.196:8080"}, [请求参数]:[{"query":"播报天气","auto_config":1,"knowledge_configs":[{"topk":15,"type":"faq_wda_oven","knowledge_id":"1272948056214077440","vector_threshold":0.89,"match_score":1.0,"vector_boost":0.72},{"topk":40,"type":"command_dual-screen-nvidia_oven","knowledge_id":"1310573539587891200","vector_threshold":0.9,"match_score":0.55,"vector_boost":0.72},{"topk":20,"type":"sql_business_database_recipe","knowledge_id":"1272947938412855296","vector_threshold":0.9,"match_score":0.55,"vector_boost":0.72},{"topk":3,"type":"other","knowledge_id":"1326868148286373888","vector_threshold":0.88,"match_score":0.8,"vector_boost":0.72}]}]</f>
        <v/>
      </c>
      <c r="C828" t="inlineStr">
        <is>
          <t>INFO</t>
        </is>
      </c>
      <c r="D828" t="inlineStr">
        <is>
          <t>vdh</t>
        </is>
      </c>
      <c r="E828" t="inlineStr">
        <is>
          <t>pro17</t>
        </is>
      </c>
      <c r="F828" t="inlineStr">
        <is>
          <t>prod</t>
        </is>
      </c>
    </row>
    <row r="829">
      <c r="A829" t="inlineStr">
        <is>
          <t>2025-05-09 14:02:04.101</t>
        </is>
      </c>
      <c r="B829">
        <f>=请求结束== [请求耗时]:19毫秒, [返回数据]:{"code":"000000","msg":"Success","traceId":"fcf9ecb9e055ed2db7ec56fe8f39f0df"}</f>
        <v/>
      </c>
      <c r="C829" t="inlineStr">
        <is>
          <t>INFO</t>
        </is>
      </c>
      <c r="D829" t="inlineStr">
        <is>
          <t>vdh</t>
        </is>
      </c>
      <c r="E829" t="inlineStr">
        <is>
          <t>pro17</t>
        </is>
      </c>
      <c r="F829" t="inlineStr">
        <is>
          <t>prod</t>
        </is>
      </c>
    </row>
    <row r="830">
      <c r="A830" t="inlineStr">
        <is>
          <t>2025-05-09 14:02:04.082</t>
        </is>
      </c>
      <c r="B830">
        <f>=请求开始== [请求IP]:171.104.158.186 ,[请求方式]:POST， [请求URL]:https://172.30.103.196:8080/api/appservice/bfv/v1/chatHistory/batchSave, [请求类名]:com.yingzi.appservice.bfv.provider.rest.ChatHistoryController,[请求方法名]:batchSave, [请求头参数]:{"host":"172.30.103.196:8080"}, [请求参数]:[[{"userId":877845005063770112,"deviceId":"1C:99:57:15:E5:F0","sessionId":"","avatarId":"11200220000208050000000000000000","appCode":"VDHtestWDC","instructionTemplateType":"","recordId":"","asrResult":"","knowledgeId":"","knowledgeMasterId":"","instructionType":"","instructionName":"","instructionFlag":"","parameter":"{}","ttsResultSource":"local","ttsResult":"烹饪完成,请取餐,小心烫","ttsResultTime":{"year":2025,"monthValue":3,"month":"MARCH","dayOfMonth":26,"dayOfYear":85,"dayOfWeek":"WEDNESDAY","hour":11,"minute":0,"second":20,"nano":0,"chronology":{"id":"ISO","calendarType":"iso8601"}},"response":1742958020324}]]</f>
        <v/>
      </c>
      <c r="C830" t="inlineStr">
        <is>
          <t>INFO</t>
        </is>
      </c>
      <c r="D830" t="inlineStr">
        <is>
          <t>vdh</t>
        </is>
      </c>
      <c r="E830" t="inlineStr">
        <is>
          <t>pro17</t>
        </is>
      </c>
      <c r="F830" t="inlineStr">
        <is>
          <t>prod</t>
        </is>
      </c>
    </row>
    <row r="831">
      <c r="A831" t="inlineStr">
        <is>
          <t>2025-05-09 13:50:50.773</t>
        </is>
      </c>
      <c r="B831">
        <f>=请求结束== [请求耗时]:19毫秒, [返回数据]:{"code":"000000","msg":"Success","traceId":"48bf89e2c8b0c068948e7cd6794cfc59"}</f>
        <v/>
      </c>
      <c r="C831" t="inlineStr">
        <is>
          <t>INFO</t>
        </is>
      </c>
      <c r="D831" t="inlineStr">
        <is>
          <t>vdh</t>
        </is>
      </c>
      <c r="E831" t="inlineStr">
        <is>
          <t>pro14</t>
        </is>
      </c>
      <c r="F831" t="inlineStr">
        <is>
          <t>prod</t>
        </is>
      </c>
    </row>
    <row r="832">
      <c r="A832" t="inlineStr">
        <is>
          <t>2025-05-09 13:50:50.754</t>
        </is>
      </c>
      <c r="B832">
        <f>=请求开始== [请求IP]:221.7.181.82 ,[请求方式]:POST， [请求URL]:https://172.30.212.148:8080/api/appservice/bfv/v1/chatHistory/batchSave, [请求类名]:com.yingzi.appservice.bfv.provider.rest.ChatHistoryController,[请求方法名]:batchSave, [请求头参数]:{"host":"172.30.212.148:8080"}, [请求参数]:[[{"userId":748109107975774208,"deviceId":"64:79:F0:79:7A:8E","sessionId":"","avatarId":"11200220000208050000000000000000","appCode":"VDHtestWDC","instructionTemplateType":"","recordId":"","asrResult":"","knowledgeId":"","knowledgeMasterId":"","instructionType":"","instructionName":"","instructionFlag":"","parameter":"{}","ttsResultSource":"local","ttsResult":"小万发现了芝士焦糖片,请选择烹饪模式","ttsResultTime":{"year":2025,"monthValue":5,"month":"MAY","dayOfMonth":9,"dayOfYear":129,"dayOfWeek":"FRIDAY","hour":13,"minute":45,"second":55,"nano":0,"chronology":{"id":"ISO","calendarType":"iso8601"}},"response":1746769555254}]]</f>
        <v/>
      </c>
      <c r="C832" t="inlineStr">
        <is>
          <t>INFO</t>
        </is>
      </c>
      <c r="D832" t="inlineStr">
        <is>
          <t>vdh</t>
        </is>
      </c>
      <c r="E832" t="inlineStr">
        <is>
          <t>pro14</t>
        </is>
      </c>
      <c r="F832" t="inlineStr">
        <is>
          <t>prod</t>
        </is>
      </c>
    </row>
    <row r="833">
      <c r="A833" t="inlineStr">
        <is>
          <t>2025-05-09 13:41:26.901</t>
        </is>
      </c>
      <c r="B833">
        <f>=请求结束== [请求耗时]:14毫秒, [返回数据]:{"code":"000000","msg":"Success","traceId":"23f916e1c3f154fe5587ba1cb6170790"}</f>
        <v/>
      </c>
      <c r="C833" t="inlineStr">
        <is>
          <t>INFO</t>
        </is>
      </c>
      <c r="D833" t="inlineStr">
        <is>
          <t>vdh</t>
        </is>
      </c>
      <c r="E833" t="inlineStr">
        <is>
          <t>pro14</t>
        </is>
      </c>
      <c r="F833" t="inlineStr">
        <is>
          <t>prod</t>
        </is>
      </c>
    </row>
    <row r="834">
      <c r="A834" t="inlineStr">
        <is>
          <t>2025-05-09 13:41:26.887</t>
        </is>
      </c>
      <c r="B834">
        <f>=请求开始== [请求IP]:218.17.115.163 ,[请求方式]:POST， [请求URL]:https://172.30.212.148:8080/api/appservice/bfv/v1/chatHistory/batchSave, [请求类名]:com.yingzi.appservice.bfv.provider.rest.ChatHistoryController,[请求方法名]:batchSave, [请求头参数]:{"host":"172.30.212.148:8080"}, [请求参数]:[[{"userId":1163481844748582912,"deviceId":"64:79:F0:79:7A:A7","sessionId":"","avatarId":"11200220000208050000000000000000","appCode":"VDHtestWDC","instructionTemplateType":"","recordId":"","asrResult":"","knowledgeId":"","knowledgeMasterId":"","instructionType":"","instructionName":"","instructionFlag":"","parameter":"{}","ttsResultSource":"","ttsResult":"","response":0}]]</f>
        <v/>
      </c>
      <c r="C834" t="inlineStr">
        <is>
          <t>INFO</t>
        </is>
      </c>
      <c r="D834" t="inlineStr">
        <is>
          <t>vdh</t>
        </is>
      </c>
      <c r="E834" t="inlineStr">
        <is>
          <t>pro14</t>
        </is>
      </c>
      <c r="F834" t="inlineStr">
        <is>
          <t>prod</t>
        </is>
      </c>
    </row>
    <row r="835">
      <c r="A835" t="inlineStr">
        <is>
          <t>2025-05-09 13:41:26.836</t>
        </is>
      </c>
      <c r="B835">
        <f>=请求结束== [请求耗时]:13毫秒, [返回数据]:{"code":"000000","msg":"Success","traceId":"f360f7c170eef2e80eca00f450442eb9"}</f>
        <v/>
      </c>
      <c r="C835" t="inlineStr">
        <is>
          <t>INFO</t>
        </is>
      </c>
      <c r="D835" t="inlineStr">
        <is>
          <t>vdh</t>
        </is>
      </c>
      <c r="E835" t="inlineStr">
        <is>
          <t>pro17</t>
        </is>
      </c>
      <c r="F835" t="inlineStr">
        <is>
          <t>prod</t>
        </is>
      </c>
    </row>
    <row r="836">
      <c r="A836" t="inlineStr">
        <is>
          <t>2025-05-09 13:41:26.823</t>
        </is>
      </c>
      <c r="B836">
        <f>=请求开始== [请求IP]:218.17.115.163 ,[请求方式]:POST， [请求URL]:https://172.30.103.196:8080/api/appservice/bfv/v1/chatHistory/batchSave, [请求类名]:com.yingzi.appservice.bfv.provider.rest.ChatHistoryController,[请求方法名]:batchSave, [请求头参数]:{"host":"172.30.103.196:8080"}, [请求参数]:[[{"userId":908023066098442241,"deviceId":"F4:CE:23:BC:3F:B8","sessionId":"","avatarId":"11200220000208050000000000000000","appCode":"VDHtestWDC","instructionTemplateType":"Instruction_library","recordId":"","asrResult":"哦这声音比较小了","instructionAsrFirstTime":{"year":2025,"monthValue":5,"month":"MAY","dayOfMonth":9,"dayOfYear":129,"dayOfWeek":"FRIDAY","hour":13,"minute":41,"second":19,"nano":0,"chronology":{"id":"ISO","calendarType":"iso8601"}},"knowledgeId":"","knowledgeMasterId":"295","instructionType":"SYSTEM","instructionName":"调低音量","instructionFlag":"volume_down","parameter":"{\"answer\":\"DEFAULT\",\"code\":\"volume_down\",\"continue_answer\":\"\",\"continue_failed_answer\":\"\",\"entities\":\"\",\"failed_answer\":\"{\\\"answerId\\\":\\\"\\\",\\\"value\\\":\\\"抱歉，音量设置失败\\\",\\\"hidb\\\":\\\"\\\",\\\"aplusId\\\":\\\"\\\",\\\"flag\\\":true,\\\"updFlag\\\":false,\\\"cache\\\":false}\",\"hitBusiness\":\"295\",\"init_state\":\"false\",\"intent\":\"调低音量\",\"intentType\":\"SYSTEM\",\"isEnd\":\"true\",\"isMulti\":\"false\",\"service\":\"Instruction_library\",\"succeed_answer\":\"{\\\"answerId\\\":\\\"\\\",\\\"value\\\":\\\"音量已调低\\\",\\\"hidb\\\":\\\"\\\",\\\"aplusId\\\":\\\"\\\",\\\"flag\\\":true,\\\"updFlag\\\":false,\\\"cache\\\":false}\"}","ttsResultSource":"local","ttsResult":"","response":0}]]</f>
        <v/>
      </c>
      <c r="C836" t="inlineStr">
        <is>
          <t>INFO</t>
        </is>
      </c>
      <c r="D836" t="inlineStr">
        <is>
          <t>vdh</t>
        </is>
      </c>
      <c r="E836" t="inlineStr">
        <is>
          <t>pro17</t>
        </is>
      </c>
      <c r="F836" t="inlineStr">
        <is>
          <t>prod</t>
        </is>
      </c>
    </row>
    <row r="837">
      <c r="A837" t="inlineStr">
        <is>
          <t>2025-05-09 13:41:18.176</t>
        </is>
      </c>
      <c r="B837">
        <f>=请求结束== [请求耗时]:12毫秒, [返回数据]:{"code":"000000","msg":"Success","traceId":"7267c9398620cd2f7eacbd3d094ac0c3"}</f>
        <v/>
      </c>
      <c r="C837" t="inlineStr">
        <is>
          <t>INFO</t>
        </is>
      </c>
      <c r="D837" t="inlineStr">
        <is>
          <t>vdh</t>
        </is>
      </c>
      <c r="E837" t="inlineStr">
        <is>
          <t>pro17</t>
        </is>
      </c>
      <c r="F837" t="inlineStr">
        <is>
          <t>prod</t>
        </is>
      </c>
    </row>
    <row r="838">
      <c r="A838" t="inlineStr">
        <is>
          <t>2025-05-09 13:41:18.164</t>
        </is>
      </c>
      <c r="B838">
        <f>=请求开始== [请求IP]:218.17.115.163 ,[请求方式]:POST， [请求URL]:https://172.30.103.196:8080/api/appservice/bfv/v1/chatHistory/batchSave, [请求类名]:com.yingzi.appservice.bfv.provider.rest.ChatHistoryController,[请求方法名]:batchSave, [请求头参数]:{"host":"172.30.103.196:8080"}, [请求参数]:[[{"userId":1163481844748582912,"deviceId":"64:79:F0:79:7A:A7","sessionId":"","avatarId":"11200220000208050000000000000000","appCode":"VDHtestWDC","instructionTemplateType":"","recordId":"","asrResult":"","knowledgeId":"","knowledgeMasterId":"","instructionType":"","instructionName":"","instructionFlag":"","parameter":"{}","ttsResultSource":"","ttsResult":"","response":0}]]</f>
        <v/>
      </c>
      <c r="C838" t="inlineStr">
        <is>
          <t>INFO</t>
        </is>
      </c>
      <c r="D838" t="inlineStr">
        <is>
          <t>vdh</t>
        </is>
      </c>
      <c r="E838" t="inlineStr">
        <is>
          <t>pro17</t>
        </is>
      </c>
      <c r="F838" t="inlineStr">
        <is>
          <t>prod</t>
        </is>
      </c>
    </row>
    <row r="839">
      <c r="A839" t="inlineStr">
        <is>
          <t>2025-05-09 13:41:18.108</t>
        </is>
      </c>
      <c r="B839">
        <f>=请求结束== [请求耗时]:14毫秒, [返回数据]:{"code":"000000","msg":"Success","traceId":"ef50abd1dcbb7bf93d5029232d2c5a52"}</f>
        <v/>
      </c>
      <c r="C839" t="inlineStr">
        <is>
          <t>INFO</t>
        </is>
      </c>
      <c r="D839" t="inlineStr">
        <is>
          <t>vdh</t>
        </is>
      </c>
      <c r="E839" t="inlineStr">
        <is>
          <t>pro14</t>
        </is>
      </c>
      <c r="F839" t="inlineStr">
        <is>
          <t>prod</t>
        </is>
      </c>
    </row>
    <row r="840">
      <c r="A840" t="inlineStr">
        <is>
          <t>2025-05-09 13:41:18.094</t>
        </is>
      </c>
      <c r="B840">
        <f>=请求开始== [请求IP]:218.17.115.163 ,[请求方式]:POST， [请求URL]:https://172.30.212.148:8080/api/appservice/bfv/v1/chatHistory/batchSave, [请求类名]:com.yingzi.appservice.bfv.provider.rest.ChatHistoryController,[请求方法名]:batchSave, [请求头参数]:{"host":"172.30.212.148:8080"}, [请求参数]:[[{"userId":908023066098442241,"deviceId":"F4:CE:23:BC:3F:B8","sessionId":"","avatarId":"11200220000208050000000000000000","appCode":"VDHtestWDC","instructionTemplateType":"","recordId":"","asrResult":"","knowledgeId":"","knowledgeMasterId":"","instructionType":"","instructionName":"","instructionFlag":"","parameter":"{}","ttsResultSource":"","ttsResult":"","response":0}]]</f>
        <v/>
      </c>
      <c r="C840" t="inlineStr">
        <is>
          <t>INFO</t>
        </is>
      </c>
      <c r="D840" t="inlineStr">
        <is>
          <t>vdh</t>
        </is>
      </c>
      <c r="E840" t="inlineStr">
        <is>
          <t>pro14</t>
        </is>
      </c>
      <c r="F840" t="inlineStr">
        <is>
          <t>prod</t>
        </is>
      </c>
    </row>
    <row r="841">
      <c r="A841" t="inlineStr">
        <is>
          <t>2025-05-09 13:39:37.991</t>
        </is>
      </c>
      <c r="B841">
        <f>=请求结束== [请求耗时]:15毫秒, [返回数据]:{"code":"000000","msg":"Success","traceId":"4c9308e0ecfbb86904facb822e67f235"}</f>
        <v/>
      </c>
      <c r="C841" t="inlineStr">
        <is>
          <t>INFO</t>
        </is>
      </c>
      <c r="D841" t="inlineStr">
        <is>
          <t>vdh</t>
        </is>
      </c>
      <c r="E841" t="inlineStr">
        <is>
          <t>pro14</t>
        </is>
      </c>
      <c r="F841" t="inlineStr">
        <is>
          <t>prod</t>
        </is>
      </c>
    </row>
    <row r="842">
      <c r="A842" t="inlineStr">
        <is>
          <t>2025-05-09 13:39:37.977</t>
        </is>
      </c>
      <c r="B842">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28:D0:EA:88:00:3B","sessionId":"","avatarId":"11200220000208050000000000000000","appCode":"VDHtestWDC","instructionTemplateType":"Chat_library","recordId":"","asrResult":"你说的","instructionAsrFirstTime":{"year":2025,"monthValue":5,"month":"MAY","dayOfMonth":9,"dayOfYear":129,"dayOfWeek":"FRIDAY","hour":13,"minute":39,"second":27,"nano":0,"chronology":{"id":"ISO","calendarType":"iso8601"}},"knowledgeId":"","knowledgeMasterId":"","instructionType":"","instructionName":"","instructionFlag":"","parameter":"{\"nlpId\":\"17300825629321642727spln\",\"service\":\"Chat_library\"}","ttsResultSource":"FTT","ttsResult":"你好,有什么可以帮您?","ttsResultTime":{"year":2025,"monthValue":5,"month":"MAY","dayOfMonth":9,"dayOfYear":129,"dayOfWeek":"FRIDAY","hour":13,"minute":39,"second":33,"nano":0,"chronology":{"id":"ISO","calendarType":"iso8601"}},"response":4190}]]</f>
        <v/>
      </c>
      <c r="C842" t="inlineStr">
        <is>
          <t>INFO</t>
        </is>
      </c>
      <c r="D842" t="inlineStr">
        <is>
          <t>vdh</t>
        </is>
      </c>
      <c r="E842" t="inlineStr">
        <is>
          <t>pro14</t>
        </is>
      </c>
      <c r="F842" t="inlineStr">
        <is>
          <t>prod</t>
        </is>
      </c>
    </row>
    <row r="843">
      <c r="A843" t="inlineStr">
        <is>
          <t>2025-05-09 13:39:32.989</t>
        </is>
      </c>
      <c r="B843" t="inlineStr">
        <is>
          <t>第1次流式调用完成，耗时：2262ms，response: Response { content = AiMessage { text = "你好，有什么可以帮您？" toolExecutionRequests = null }, tokenUsage = TokenUsage { inputTokenCount = 4963, outputTokenCount = 12, totalTokenCount = 4975 }, finishReason = STOP }</t>
        </is>
      </c>
      <c r="C843" t="inlineStr">
        <is>
          <t>INFO</t>
        </is>
      </c>
      <c r="D843" t="inlineStr">
        <is>
          <t>vdh</t>
        </is>
      </c>
      <c r="E843" t="inlineStr">
        <is>
          <t>pro14</t>
        </is>
      </c>
      <c r="F843" t="inlineStr">
        <is>
          <t>prod</t>
        </is>
      </c>
    </row>
    <row r="844">
      <c r="A844" t="inlineStr">
        <is>
          <t>2025-05-09 13:39:32.989</t>
        </is>
      </c>
      <c r="B844">
        <f>=请求结束== [请求耗时]:2799毫秒</f>
        <v/>
      </c>
      <c r="C844" t="inlineStr">
        <is>
          <t>INFO</t>
        </is>
      </c>
      <c r="D844" t="inlineStr">
        <is>
          <t>vdh</t>
        </is>
      </c>
      <c r="E844" t="inlineStr">
        <is>
          <t>pro14</t>
        </is>
      </c>
      <c r="F844" t="inlineStr">
        <is>
          <t>prod</t>
        </is>
      </c>
    </row>
    <row r="845">
      <c r="A845" t="inlineStr">
        <is>
          <t>2025-05-09 13:39:32.917</t>
        </is>
      </c>
      <c r="B845" t="inlineStr">
        <is>
          <t xml:space="preserve">第1次流式调用开始回复，耗时：2190ms，第一个token: </t>
        </is>
      </c>
      <c r="C845" t="inlineStr">
        <is>
          <t>INFO</t>
        </is>
      </c>
      <c r="D845" t="inlineStr">
        <is>
          <t>vdh</t>
        </is>
      </c>
      <c r="E845" t="inlineStr">
        <is>
          <t>pro14</t>
        </is>
      </c>
      <c r="F845" t="inlineStr">
        <is>
          <t>prod</t>
        </is>
      </c>
    </row>
    <row r="846">
      <c r="A846" t="inlineStr">
        <is>
          <t>2025-05-09 13:39:30.727</t>
        </is>
      </c>
      <c r="B846" t="inlineStr">
        <is>
          <t>streaming provider=gpt, model: gpt-4o</t>
        </is>
      </c>
      <c r="C846" t="inlineStr">
        <is>
          <t>INFO</t>
        </is>
      </c>
      <c r="D846" t="inlineStr">
        <is>
          <t>vdh</t>
        </is>
      </c>
      <c r="E846" t="inlineStr">
        <is>
          <t>pro14</t>
        </is>
      </c>
      <c r="F846" t="inlineStr">
        <is>
          <t>prod</t>
        </is>
      </c>
    </row>
    <row r="847">
      <c r="A847" t="inlineStr">
        <is>
          <t>2025-05-09 13:39:30.719</t>
        </is>
      </c>
      <c r="B847">
        <f>=请求结束== [请求耗时]:503毫秒, [返回数据]:{"code":"000000","msg":"Success","data":[{"knowledgeId":"1326868148286373888","knowledgeContent":[{"score":0.7335500850000001,"content":"：2025年春节/过年/大年初一是1月29日，农历正月初一，星期三。","fileId":"1326944717968060416","chunkId":"paragraph-1"},{"score":0.7211526225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冬至：•新历：12月21日•农历：十一月初二•星期日","fileId":"1326944717968060416","chunkId":"paragraph-4"},{"score":0.719222145,"content":"：深圳数影科技的股价是多少？深圳数影科技有限公司没有上市，因此没有股价信息。 广西扬翔股份上市了吗？广西扬翔股份没有上市。","fileId":"1326944717968060416","chunkId":"paragraph-6"}]},{"knowledgeId":"1272948056214077440","knowledgeContent":[{"score":0.7648105775,"content":"问题：你好。\\n回复：你好，有什么可以帮您。","fileId":"1303425377255075840","chunkId":"2699","textGroup":"你好"},{"score":0.7621802950000001,"content":"问题：不满。\\n回复：不满意的地方还请多多包涵。","fileId":"1303425377255075840","chunkId":"2671","textGroup":"不满"},{"score":0.7595945525,"content":"问题：晚安。\\n回复：晚安。","fileId":"1303425377255075840","chunkId":"2766","textGroup":"晚安"},{"score":0.756758825,"content":"问题：你什么时候在线。\\n回复：我二十四小时在线的。","fileId":"1303425377255075840","chunkId":"2676","textGroup":"你什么时候在线"},{"score":0.7547033975,"content":"问题：你的体重是多少。\\n回复：我的体重是50公斤","fileId":"1303425377255075840","chunkId":"2734","textGroup":"你的体重是多少"},{"score":0.75419038,"content":"问题：你反应太慢了。\\n回复：抱歉我还在学习，所以反应有点慢。","fileId":"1303425377255075840","chunkId":"2686","textGroup":"你反应太慢了"},{"score":0.74932005,"content":"问题：你的身高是多少。\\n回复：我的身高是一米五。","fileId":"1303425377255075840","chunkId":"2750","textGroup":"你的身高是多少"},{"score":0.7491596125,"content":"问题：你是机器人吗。\\n回复：我是一个不知疲倦的虚拟人。","fileId":"1303425377255075840","chunkId":"2708","textGroup":"你是机器人吗"},{"score":0.74868289,"content":"问题：可以和我聊聊天吗。\\n回复：你可以随时找我聊。","fileId":"1303425377255075840","chunkId":"2757","textGroup":"可以和我聊聊天吗"},{"score":0.7477194149999999,"content":"问题：你不智能。\\n回复：很抱歉我还在学习，您能换个说法吗？","fileId":"1303425377255075840","chunkId":"2675","textGroup":"你不智能"},{"score":0.7476439775,"content":"问题：微波是电磁波吗。\\n回复：微波是指频率在300兆赫至300千兆赫之间的电磁波，波长在1毫米到1米之间，是分米波、厘米波与毫米波的统称","fileId":"1303425377255075840","chunkId":"1522","textGroup":"微波是什么"},{"score":0.74716547,"content":"问题：你很人类有什么不同。\\n回复：人类有身体和情感，而我只是个虚拟存在","fileId":"1303425377255075840","chunkId":"2701","textGroup":"你很人类有什么不同"},{"score":0.7459834175,"content":"问题：你的血型是什么。\\n回复：我是A型血。","fileId":"1303425377255075840","chunkId":"2749","textGroup":"你的血型是什么"},{"score":0.7458646725,"content":"问题：你有公众号吗。\\n回复：万得厨微信官方公众号为“万得厨的厨”，不定时为您推送最全使用指南及最美味的食品食谱，期待您的关注！","fileId":"1303425377255075840","chunkId":"2782","textGroup":"你有公众号吗"},{"score":0.745332955,"content":"问题：你没用。\\n回复：非常抱歉，小万会努力学习的","fileId":"1303425377255075840","chunkId":"2732","textGroup":"你没用"}]},{"knowledgeId":"1329399948694220800","knowledgeContent":[{"score":0.7594667125,"content":"请帮我继续微波","fileId":"1347217269055369216","chunkId":"256","textGroup":"cooking_control {type=continue}"},{"score":0.7484969524999999,"content":"开始做吧","fileId":"1347217269055369216","chunkId":"136","textGroup":"cooking_control {type=start}"},{"score":0.7466251249999999,"content":"我想微波暂停","fileId":"1347217269055369216","chunkId":"195","textGroup":"cooking_control {type=pause}"},{"score":0.7462853375,"content":"请终止烹调功能","fileId":"1347217269055369216","chunkId":"323","textGroup":"cooking_control {type=stop}"},{"score":0.7452305725,"content":"放个新闻","fileId":"1329400169758941184","chunkId":"53","textGroup":"news {type=top,size=3}"},{"score":0.74343941,"content":"我放的是[菜品名称]","fileId":"1347217269055369216","chunkId":"0","textGroup":"set_foodtype_taste"},{"score":0.7423127774999999,"content":"现在天气","fileId":"1329400169758941184","chunkId":"2","textGroup":"getCurrentWeather"}]}]}</f>
        <v/>
      </c>
      <c r="C847" t="inlineStr">
        <is>
          <t>INFO</t>
        </is>
      </c>
      <c r="D847" t="inlineStr">
        <is>
          <t>vdh</t>
        </is>
      </c>
      <c r="E847" t="inlineStr">
        <is>
          <t>pro17</t>
        </is>
      </c>
      <c r="F847" t="inlineStr">
        <is>
          <t>prod</t>
        </is>
      </c>
    </row>
    <row r="848">
      <c r="A848" t="inlineStr">
        <is>
          <t>2025-05-09 13:39:30.718</t>
        </is>
      </c>
      <c r="B848" t="inlineStr">
        <is>
          <t>知识库插件检索耗时: 501ms</t>
        </is>
      </c>
      <c r="C848" t="inlineStr">
        <is>
          <t>INFO</t>
        </is>
      </c>
      <c r="D848" t="inlineStr">
        <is>
          <t>vdh</t>
        </is>
      </c>
      <c r="E848" t="inlineStr">
        <is>
          <t>pro17</t>
        </is>
      </c>
      <c r="F848" t="inlineStr">
        <is>
          <t>prod</t>
        </is>
      </c>
    </row>
    <row r="849">
      <c r="A849" t="inlineStr">
        <is>
          <t>2025-05-09 13:39:30.217</t>
        </is>
      </c>
      <c r="B849">
        <f>=请求开始== [请求IP]:172.18.33.14 ,[请求方式]:POST， [请求URL]:https://172.30.103.196:8080/api/appservice/bfv/v1/knowledge/retrieval/plugin, [请求类名]:com.yingzi.appservice.bfv.provider.rest.KnowledgeRetrievalController,[请求方法名]:plugin, [请求头参数]:{"host":"172.30.103.196:8080"}, [请求参数]:[{"query":"你说的","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849" t="inlineStr">
        <is>
          <t>INFO</t>
        </is>
      </c>
      <c r="D849" t="inlineStr">
        <is>
          <t>vdh</t>
        </is>
      </c>
      <c r="E849" t="inlineStr">
        <is>
          <t>pro17</t>
        </is>
      </c>
      <c r="F849" t="inlineStr">
        <is>
          <t>prod</t>
        </is>
      </c>
    </row>
    <row r="850">
      <c r="A850" t="inlineStr">
        <is>
          <t>2025-05-09 13:39:30.190</t>
        </is>
      </c>
      <c r="B850">
        <f>=请求开始== [请求IP]:172.18.114.116 ,[请求方式]:POST， [请求URL]:https://172.30.212.148:8080/api/appservice/bfv/v1/chat/, [请求类名]:com.yingzi.appservice.bfv.provider.rest.ChatV1Controller,[请求方法名]:chat, [请求头参数]:{"host":"172.30.212.148:8080"}, [请求参数]:[{"stream":true,"message":"你说的","args":"{\"adcode\":\"450800\",\"channel_id\":\"9\"}"}]</f>
        <v/>
      </c>
      <c r="C850" t="inlineStr">
        <is>
          <t>INFO</t>
        </is>
      </c>
      <c r="D850" t="inlineStr">
        <is>
          <t>vdh</t>
        </is>
      </c>
      <c r="E850" t="inlineStr">
        <is>
          <t>pro14</t>
        </is>
      </c>
      <c r="F850" t="inlineStr">
        <is>
          <t>prod</t>
        </is>
      </c>
    </row>
    <row r="851">
      <c r="A851" t="inlineStr">
        <is>
          <t>2025-05-09 13:39:26.446</t>
        </is>
      </c>
      <c r="B851">
        <f>=请求结束== [请求耗时]:16毫秒, [返回数据]:{"code":"000000","msg":"Success","traceId":"fe804a322ea9e48845516a32a4c1e8de"}</f>
        <v/>
      </c>
      <c r="C851" t="inlineStr">
        <is>
          <t>INFO</t>
        </is>
      </c>
      <c r="D851" t="inlineStr">
        <is>
          <t>vdh</t>
        </is>
      </c>
      <c r="E851" t="inlineStr">
        <is>
          <t>pro17</t>
        </is>
      </c>
      <c r="F851" t="inlineStr">
        <is>
          <t>prod</t>
        </is>
      </c>
    </row>
    <row r="852">
      <c r="A852" t="inlineStr">
        <is>
          <t>2025-05-09 13:39:26.431</t>
        </is>
      </c>
      <c r="B852">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28:D0:EA:88:00:3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13,"minute":37,"second":39,"nano":0,"chronology":{"id":"ISO","calendarType":"iso8601"}},"response":1746769059014}]]</f>
        <v/>
      </c>
      <c r="C852" t="inlineStr">
        <is>
          <t>INFO</t>
        </is>
      </c>
      <c r="D852" t="inlineStr">
        <is>
          <t>vdh</t>
        </is>
      </c>
      <c r="E852" t="inlineStr">
        <is>
          <t>pro17</t>
        </is>
      </c>
      <c r="F852" t="inlineStr">
        <is>
          <t>prod</t>
        </is>
      </c>
    </row>
    <row r="853">
      <c r="A853" t="inlineStr">
        <is>
          <t>2025-05-09 13:38:20.164</t>
        </is>
      </c>
      <c r="B853">
        <f>=请求结束== [请求耗时]:524毫秒, [返回数据]:{"code":"000000","msg":"Success","data":[{"knowledgeId":"1310573539587891200","knowledgeContent":[{"score":0.891875188,"content":"实时天气","fileId":"1328421153719672832","chunkId":"1","textGroup":"getCurrentWeather"},{"score":0.8583017792,"content":"播报新闻","fileId":"1328421153719672832","chunkId":"52","textGroup":"news {type=top,size=3}"},{"score":0.8494582352,"content":"播报剩余时间","fileId":"1310974251075973120","chunkId":"32","textGroup":"remaining_cooking_time_query"},{"score":0.8405343396,"content":"贵港明天天气","fileId":"1328421153719672832","chunkId":"31","textGroup":"getCurrentWeather {province=广西壮族自治区,city=贵港市}"},{"score":0.8356941036000001,"content":"深圳明天天气","fileId":"1328421153719672832","chunkId":"42","textGroup":"getCurrentWeather {province=广东省,city=深圳市}"},{"score":0.8356834475999999,"content":"广州明天天气","fileId":"1328421153719672832","chunkId":"36","textGroup":"getCurrentWeather {province=广东省,city=广州市}"},{"score":0.662651712,"content":"北京今天天气","fileId":"1328421153719672832","chunkId":"49","textGroup":"getCurrentWeather {province=北京市}"},{"score":0.6616036799999999,"content":"通州区今天天气","fileId":"1328421153719672832","chunkId":"50","textGroup":"getCurrentWeather {province=北京市,district=通州区}"},{"score":0.66098574,"content":"天河区今天天气","fileId":"1328421153719672832","chunkId":"37","textGroup":"getCurrentWeather {province=广东省,city=广州市,district=天河区}"},{"score":0.659498292,"content":"港北区今天天气","fileId":"1328421153719672832","chunkId":"33","textGroup":"getCurrentWeather {province=广西壮族自治区,city=贵港市,district=港北区}"},{"score":0.658263348,"content":"港南区今天天气","fileId":"1328421153719672832","chunkId":"32","textGroup":"getCurrentWeather {province=广西壮族自治区,city=贵港市,district=港南区}"},{"score":0.65682792,"content":"罗湖区今天天气","fileId":"1328421153719672832","chunkId":"45","textGroup":"getCurrentWeather {province=广东省,city=深圳市,district=罗湖区}"},{"score":0.6565179959999999,"content":"光明区今天天气","fileId":"1328421153719672832","chunkId":"47","textGroup":"getCurrentWeather {province=广东省,city=深圳市,district=光明区}"},{"score":0.655747776,"content":"白云区今天天气","fileId":"1328421153719672832","chunkId":"40","textGroup":"getCurrentWeather {province=广东省,city=广州市,district=白云区}"},{"score":0.654676524,"content":"宝安区今天天气","fileId":"1328421153719672832","chunkId":"44","textGroup":"getCurrentWeather {province=广东省,city=深圳市,district=宝安区}"},{"score":0.653603364,"content":"南沙区今天天气","fileId":"1328421153719672832","chunkId":"38","textGroup":"getCurrentWeather {province=广东省,city=广州市,district=南沙区}"},{"score":0.6525844199999999,"content":"南宁今天天气","fileId":"1328421153719672832","chunkId":"48","textGroup":"getCurrentWeather {province=广西壮族自治区,city=南宁市}"},{"score":0.652040316,"content":"番禺区今天天气","fileId":"1328421153719672832","chunkId":"39","textGroup":"getCurrentWeather {province=广东省,city=广州市,district=番禺区}"},{"score":0.651865536,"content":"南山区今天天气","fileId":"1328421153719672832","chunkId":"43","textGroup":"getCurrentWeather {province=广东省,city=深圳市,district=南山区}"},{"score":0.649990656,"content":"龙华区今天天气","fileId":"1328421153719672832","chunkId":"46","textGroup":"getCurrentWeather {province=广东省,city=深圳市,district=龙华区}"}]}]}</f>
        <v/>
      </c>
      <c r="C853" t="inlineStr">
        <is>
          <t>INFO</t>
        </is>
      </c>
      <c r="D853" t="inlineStr">
        <is>
          <t>vdh</t>
        </is>
      </c>
      <c r="E853" t="inlineStr">
        <is>
          <t>pro17</t>
        </is>
      </c>
      <c r="F853" t="inlineStr">
        <is>
          <t>prod</t>
        </is>
      </c>
    </row>
    <row r="854">
      <c r="A854" t="inlineStr">
        <is>
          <t>2025-05-09 13:38:20.163</t>
        </is>
      </c>
      <c r="B854" t="inlineStr">
        <is>
          <t>知识库插件检索耗时: 521ms</t>
        </is>
      </c>
      <c r="C854" t="inlineStr">
        <is>
          <t>INFO</t>
        </is>
      </c>
      <c r="D854" t="inlineStr">
        <is>
          <t>vdh</t>
        </is>
      </c>
      <c r="E854" t="inlineStr">
        <is>
          <t>pro17</t>
        </is>
      </c>
      <c r="F854" t="inlineStr">
        <is>
          <t>prod</t>
        </is>
      </c>
    </row>
    <row r="855">
      <c r="A855" t="inlineStr">
        <is>
          <t>2025-05-09 13:38:19.640</t>
        </is>
      </c>
      <c r="B855">
        <f>=请求开始== [请求IP]:172.21.10.31 ,[请求方式]:POST， [请求URL]:https://172.30.103.196:8080/api/appservice/bfv/v1/knowledge/retrieval/plugin, [请求类名]:com.yingzi.appservice.bfv.provider.rest.KnowledgeRetrievalController,[请求方法名]:plugin, [请求头参数]:{"host":"172.30.103.196:8080"}, [请求参数]:[{"query":"播报天气","auto_config":1,"knowledge_configs":[{"topk":15,"type":"faq_wda_oven","knowledge_id":"1272948056214077440","vector_threshold":0.89,"match_score":1.0,"vector_boost":0.72},{"topk":40,"type":"command_dual-screen-nvidia_oven","knowledge_id":"1310573539587891200","vector_threshold":0.9,"match_score":0.55,"vector_boost":0.72},{"topk":20,"type":"sql_business_database_recipe","knowledge_id":"1272947938412855296","vector_threshold":0.9,"match_score":0.55,"vector_boost":0.72},{"topk":3,"type":"other","knowledge_id":"1326868148286373888","vector_threshold":0.88,"match_score":0.8,"vector_boost":0.72}]}]</f>
        <v/>
      </c>
      <c r="C855" t="inlineStr">
        <is>
          <t>INFO</t>
        </is>
      </c>
      <c r="D855" t="inlineStr">
        <is>
          <t>vdh</t>
        </is>
      </c>
      <c r="E855" t="inlineStr">
        <is>
          <t>pro17</t>
        </is>
      </c>
      <c r="F855" t="inlineStr">
        <is>
          <t>prod</t>
        </is>
      </c>
    </row>
    <row r="856">
      <c r="A856" t="inlineStr">
        <is>
          <t>2025-05-09 13:36:12.004</t>
        </is>
      </c>
      <c r="B856">
        <f>=请求结束== [请求耗时]:13毫秒, [返回数据]:{"code":"000000","msg":"Success","traceId":"3e1efd97548f83c4baea302d35276ea1"}</f>
        <v/>
      </c>
      <c r="C856" t="inlineStr">
        <is>
          <t>INFO</t>
        </is>
      </c>
      <c r="D856" t="inlineStr">
        <is>
          <t>vdh</t>
        </is>
      </c>
      <c r="E856" t="inlineStr">
        <is>
          <t>pro14</t>
        </is>
      </c>
      <c r="F856" t="inlineStr">
        <is>
          <t>prod</t>
        </is>
      </c>
    </row>
    <row r="857">
      <c r="A857" t="inlineStr">
        <is>
          <t>2025-05-09 13:36:11.991</t>
        </is>
      </c>
      <c r="B857">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knowledgeId":"","knowledgeMasterId":"","instructionType":"","instructionName":"","instructionFlag":"","parameter":"{}","ttsResultSource":"local","ttsResult":"好的","ttsResultTime":{"year":2025,"monthValue":5,"month":"MAY","dayOfMonth":9,"dayOfYear":129,"dayOfWeek":"FRIDAY","hour":13,"minute":36,"second":7,"nano":0,"chronology":{"id":"ISO","calendarType":"iso8601"}},"response":913595}]]</f>
        <v/>
      </c>
      <c r="C857" t="inlineStr">
        <is>
          <t>INFO</t>
        </is>
      </c>
      <c r="D857" t="inlineStr">
        <is>
          <t>vdh</t>
        </is>
      </c>
      <c r="E857" t="inlineStr">
        <is>
          <t>pro14</t>
        </is>
      </c>
      <c r="F857" t="inlineStr">
        <is>
          <t>prod</t>
        </is>
      </c>
    </row>
    <row r="858">
      <c r="A858" t="inlineStr">
        <is>
          <t>2025-05-09 13:35:45.261</t>
        </is>
      </c>
      <c r="B858">
        <f>=请求结束== [请求耗时]:14毫秒, [返回数据]:{"code":"000000","msg":"Success","traceId":"57f48ac907aa4fe9936d88a6280a4515"}</f>
        <v/>
      </c>
      <c r="C858" t="inlineStr">
        <is>
          <t>INFO</t>
        </is>
      </c>
      <c r="D858" t="inlineStr">
        <is>
          <t>vdh</t>
        </is>
      </c>
      <c r="E858" t="inlineStr">
        <is>
          <t>pro17</t>
        </is>
      </c>
      <c r="F858" t="inlineStr">
        <is>
          <t>prod</t>
        </is>
      </c>
    </row>
    <row r="859">
      <c r="A859" t="inlineStr">
        <is>
          <t>2025-05-09 13:35:45.247</t>
        </is>
      </c>
      <c r="B859">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28:D0:EA:88:00:3B","sessionId":"","avatarId":"11200220000208050000000000000000","appCode":"VDHtestWDC","instructionTemplateType":"","recordId":"","asrResult":"","knowledgeId":"","knowledgeMasterId":"","instructionType":"","instructionName":"","instructionFlag":"","parameter":"{}","ttsResultSource":"local","ttsResult":"好的开始烹饪,请耐心等待","ttsResultTime":{"year":2025,"monthValue":5,"month":"MAY","dayOfMonth":9,"dayOfYear":129,"dayOfWeek":"FRIDAY","hour":13,"minute":35,"second":31,"nano":0,"chronology":{"id":"ISO","calendarType":"iso8601"}},"response":1746768931112}]]</f>
        <v/>
      </c>
      <c r="C859" t="inlineStr">
        <is>
          <t>INFO</t>
        </is>
      </c>
      <c r="D859" t="inlineStr">
        <is>
          <t>vdh</t>
        </is>
      </c>
      <c r="E859" t="inlineStr">
        <is>
          <t>pro17</t>
        </is>
      </c>
      <c r="F859" t="inlineStr">
        <is>
          <t>prod</t>
        </is>
      </c>
    </row>
    <row r="860">
      <c r="A860" t="inlineStr">
        <is>
          <t>2025-05-09 13:35:06.561</t>
        </is>
      </c>
      <c r="B860">
        <f>=请求结束== [请求耗时]:14毫秒, [返回数据]:{"code":"000000","msg":"Success","traceId":"2e7d75858df04962648f72065ad09e40"}</f>
        <v/>
      </c>
      <c r="C860" t="inlineStr">
        <is>
          <t>INFO</t>
        </is>
      </c>
      <c r="D860" t="inlineStr">
        <is>
          <t>vdh</t>
        </is>
      </c>
      <c r="E860" t="inlineStr">
        <is>
          <t>pro14</t>
        </is>
      </c>
      <c r="F860" t="inlineStr">
        <is>
          <t>prod</t>
        </is>
      </c>
    </row>
    <row r="861">
      <c r="A861" t="inlineStr">
        <is>
          <t>2025-05-09 13:35:06.547</t>
        </is>
      </c>
      <c r="B861">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knowledgeId":"","knowledgeMasterId":"","instructionType":"","instructionName":"","instructionFlag":"","parameter":"{}","ttsResultSource":"local","ttsResult":"搞定了","ttsResultTime":{"year":2025,"monthValue":5,"month":"MAY","dayOfMonth":9,"dayOfYear":129,"dayOfWeek":"FRIDAY","hour":13,"minute":35,"second":2,"nano":0,"chronology":{"id":"ISO","calendarType":"iso8601"}},"response":848154}]]</f>
        <v/>
      </c>
      <c r="C861" t="inlineStr">
        <is>
          <t>INFO</t>
        </is>
      </c>
      <c r="D861" t="inlineStr">
        <is>
          <t>vdh</t>
        </is>
      </c>
      <c r="E861" t="inlineStr">
        <is>
          <t>pro14</t>
        </is>
      </c>
      <c r="F861" t="inlineStr">
        <is>
          <t>prod</t>
        </is>
      </c>
    </row>
    <row r="862">
      <c r="A862" t="inlineStr">
        <is>
          <t>2025-05-09 13:34:41.505</t>
        </is>
      </c>
      <c r="B862">
        <f>=请求结束== [请求耗时]:14毫秒, [返回数据]:{"code":"000000","msg":"Success","traceId":"ca3926e3f481b602f143e25f6bc155ee"}</f>
        <v/>
      </c>
      <c r="C862" t="inlineStr">
        <is>
          <t>INFO</t>
        </is>
      </c>
      <c r="D862" t="inlineStr">
        <is>
          <t>vdh</t>
        </is>
      </c>
      <c r="E862" t="inlineStr">
        <is>
          <t>pro17</t>
        </is>
      </c>
      <c r="F862" t="inlineStr">
        <is>
          <t>prod</t>
        </is>
      </c>
    </row>
    <row r="863">
      <c r="A863" t="inlineStr">
        <is>
          <t>2025-05-09 13:34:41.491</t>
        </is>
      </c>
      <c r="B863">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recordId":"","asrResult":"","knowledgeId":"","knowledgeMasterId":"","instructionType":"","instructionName":"","instructionFlag":"","parameter":"{}","ttsResultSource":"local","ttsResult":"好的","ttsResultTime":{"year":2025,"monthValue":5,"month":"MAY","dayOfMonth":9,"dayOfYear":129,"dayOfWeek":"FRIDAY","hour":13,"minute":34,"second":36,"nano":0,"chronology":{"id":"ISO","calendarType":"iso8601"}},"response":822347}]]</f>
        <v/>
      </c>
      <c r="C863" t="inlineStr">
        <is>
          <t>INFO</t>
        </is>
      </c>
      <c r="D863" t="inlineStr">
        <is>
          <t>vdh</t>
        </is>
      </c>
      <c r="E863" t="inlineStr">
        <is>
          <t>pro17</t>
        </is>
      </c>
      <c r="F863" t="inlineStr">
        <is>
          <t>prod</t>
        </is>
      </c>
    </row>
    <row r="864">
      <c r="A864" t="inlineStr">
        <is>
          <t>2025-05-09 13:32:55.797</t>
        </is>
      </c>
      <c r="B864">
        <f>=请求结束== [请求耗时]:15毫秒, [返回数据]:{"code":"000000","msg":"Success","traceId":"3349c05bec03b7843c2d6e3c8ed7c6a4"}</f>
        <v/>
      </c>
      <c r="C864" t="inlineStr">
        <is>
          <t>INFO</t>
        </is>
      </c>
      <c r="D864" t="inlineStr">
        <is>
          <t>vdh</t>
        </is>
      </c>
      <c r="E864" t="inlineStr">
        <is>
          <t>pro14</t>
        </is>
      </c>
      <c r="F864" t="inlineStr">
        <is>
          <t>prod</t>
        </is>
      </c>
    </row>
    <row r="865">
      <c r="A865" t="inlineStr">
        <is>
          <t>2025-05-09 13:32:55.783</t>
        </is>
      </c>
      <c r="B865">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28:D0:EA:88:00:3B","sessionId":"","avatarId":"11200220000208050000000000000000","appCode":"VDHtestWDC","instructionTemplateType":"","recordId":"","asrResult":"","knowledgeId":"","knowledgeMasterId":"","instructionType":"","instructionName":"","instructionFlag":"","parameter":"{}","ttsResultSource":"local","ttsResult":"好的烹饪完成,请取餐,小心烫开始烹饪,请耐心等待","ttsResultTime":{"year":2025,"monthValue":5,"month":"MAY","dayOfMonth":9,"dayOfYear":129,"dayOfWeek":"FRIDAY","hour":13,"minute":32,"second":34,"nano":0,"chronology":{"id":"ISO","calendarType":"iso8601"}},"response":1746768754327}]]</f>
        <v/>
      </c>
      <c r="C865" t="inlineStr">
        <is>
          <t>INFO</t>
        </is>
      </c>
      <c r="D865" t="inlineStr">
        <is>
          <t>vdh</t>
        </is>
      </c>
      <c r="E865" t="inlineStr">
        <is>
          <t>pro14</t>
        </is>
      </c>
      <c r="F865" t="inlineStr">
        <is>
          <t>prod</t>
        </is>
      </c>
    </row>
    <row r="866">
      <c r="A866" t="inlineStr">
        <is>
          <t>2025-05-09 13:32:37.708</t>
        </is>
      </c>
      <c r="B866">
        <f>=请求结束== [请求耗时]:13毫秒, [返回数据]:{"code":"000000","msg":"Success","traceId":"b3cef016ad677607383166c77aa7daf6"}</f>
        <v/>
      </c>
      <c r="C866" t="inlineStr">
        <is>
          <t>INFO</t>
        </is>
      </c>
      <c r="D866" t="inlineStr">
        <is>
          <t>vdh</t>
        </is>
      </c>
      <c r="E866" t="inlineStr">
        <is>
          <t>pro17</t>
        </is>
      </c>
      <c r="F866" t="inlineStr">
        <is>
          <t>prod</t>
        </is>
      </c>
    </row>
    <row r="867">
      <c r="A867" t="inlineStr">
        <is>
          <t>2025-05-09 13:32:37.695</t>
        </is>
      </c>
      <c r="B867">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13,"minute":32,"second":32,"nano":0,"chronology":{"id":"ISO","calendarType":"iso8601"}},"response":697787}]]</f>
        <v/>
      </c>
      <c r="C867" t="inlineStr">
        <is>
          <t>INFO</t>
        </is>
      </c>
      <c r="D867" t="inlineStr">
        <is>
          <t>vdh</t>
        </is>
      </c>
      <c r="E867" t="inlineStr">
        <is>
          <t>pro17</t>
        </is>
      </c>
      <c r="F867" t="inlineStr">
        <is>
          <t>prod</t>
        </is>
      </c>
    </row>
    <row r="868">
      <c r="A868" t="inlineStr">
        <is>
          <t>2025-05-09 13:29:42.076</t>
        </is>
      </c>
      <c r="B868">
        <f>=请求结束== [请求耗时]:16毫秒, [返回数据]:{"code":"000000","msg":"Success","traceId":"9a4b27817ed7f21ad2a7744f22b0cd58"}</f>
        <v/>
      </c>
      <c r="C868" t="inlineStr">
        <is>
          <t>INFO</t>
        </is>
      </c>
      <c r="D868" t="inlineStr">
        <is>
          <t>vdh</t>
        </is>
      </c>
      <c r="E868" t="inlineStr">
        <is>
          <t>pro14</t>
        </is>
      </c>
      <c r="F868" t="inlineStr">
        <is>
          <t>prod</t>
        </is>
      </c>
    </row>
    <row r="869">
      <c r="A869" t="inlineStr">
        <is>
          <t>2025-05-09 13:29:42.061</t>
        </is>
      </c>
      <c r="B869">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28:D0:EA:88:00:3B","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13,"minute":28,"second":54,"nano":0,"chronology":{"id":"ISO","calendarType":"iso8601"}},"response":1746768534787}]]</f>
        <v/>
      </c>
      <c r="C869" t="inlineStr">
        <is>
          <t>INFO</t>
        </is>
      </c>
      <c r="D869" t="inlineStr">
        <is>
          <t>vdh</t>
        </is>
      </c>
      <c r="E869" t="inlineStr">
        <is>
          <t>pro14</t>
        </is>
      </c>
      <c r="F869" t="inlineStr">
        <is>
          <t>prod</t>
        </is>
      </c>
    </row>
    <row r="870">
      <c r="A870" t="inlineStr">
        <is>
          <t>2025-05-09 13:29:26.538</t>
        </is>
      </c>
      <c r="B870">
        <f>=请求结束== [请求耗时]:13毫秒, [返回数据]:{"code":"000000","msg":"Success","traceId":"8f533294a469b6ef7838828e657b23d8"}</f>
        <v/>
      </c>
      <c r="C870" t="inlineStr">
        <is>
          <t>INFO</t>
        </is>
      </c>
      <c r="D870" t="inlineStr">
        <is>
          <t>vdh</t>
        </is>
      </c>
      <c r="E870" t="inlineStr">
        <is>
          <t>pro17</t>
        </is>
      </c>
      <c r="F870" t="inlineStr">
        <is>
          <t>prod</t>
        </is>
      </c>
    </row>
    <row r="871">
      <c r="A871" t="inlineStr">
        <is>
          <t>2025-05-09 13:29:26.525</t>
        </is>
      </c>
      <c r="B871">
        <f>=请求开始== [请求IP]:218.17.115.163 ,[请求方式]:POST， [请求URL]:https://172.30.103.196:8080/api/appservice/bfv/v1/chatHistory/batchSave, [请求类名]:com.yingzi.appservice.bfv.provider.rest.ChatHistoryController,[请求方法名]:batchSave, [请求头参数]:{"host":"172.30.103.196:8080"}, [请求参数]:[[{"userId":1163481844748582912,"deviceId":"64:79:F0:79:7A:A7","sessionId":"","avatarId":"11200220000208050000000000000000","appCode":"VDHtestWDC","instructionTemplateType":"","recordId":"","asrResult":"","knowledgeId":"","knowledgeMasterId":"","instructionType":"","instructionName":"","instructionFlag":"","parameter":"{}","ttsResultSource":"","ttsResult":"","response":0}]]</f>
        <v/>
      </c>
      <c r="C871" t="inlineStr">
        <is>
          <t>INFO</t>
        </is>
      </c>
      <c r="D871" t="inlineStr">
        <is>
          <t>vdh</t>
        </is>
      </c>
      <c r="E871" t="inlineStr">
        <is>
          <t>pro17</t>
        </is>
      </c>
      <c r="F871" t="inlineStr">
        <is>
          <t>prod</t>
        </is>
      </c>
    </row>
    <row r="872">
      <c r="A872" t="inlineStr">
        <is>
          <t>2025-05-09 13:27:13.184</t>
        </is>
      </c>
      <c r="B872">
        <f>=请求结束== [请求耗时]:15毫秒, [返回数据]:{"code":"000000","msg":"Success","traceId":"4bc01e2ed635266c049d1b3d66d5acee"}</f>
        <v/>
      </c>
      <c r="C872" t="inlineStr">
        <is>
          <t>INFO</t>
        </is>
      </c>
      <c r="D872" t="inlineStr">
        <is>
          <t>vdh</t>
        </is>
      </c>
      <c r="E872" t="inlineStr">
        <is>
          <t>pro14</t>
        </is>
      </c>
      <c r="F872" t="inlineStr">
        <is>
          <t>prod</t>
        </is>
      </c>
    </row>
    <row r="873">
      <c r="A873" t="inlineStr">
        <is>
          <t>2025-05-09 13:27:13.169</t>
        </is>
      </c>
      <c r="B873">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knowledgeId":"","knowledgeMasterId":"","instructionType":"","instructionName":"","instructionFlag":"","parameter":"{}","ttsResultSource":"local","ttsResult":"好的烹饪完成,请取餐,小心烫","ttsResultTime":{"year":2025,"monthValue":5,"month":"MAY","dayOfMonth":9,"dayOfYear":129,"dayOfWeek":"FRIDAY","hour":13,"minute":27,"second":0,"nano":0,"chronology":{"id":"ISO","calendarType":"iso8601"}},"response":366427}]]</f>
        <v/>
      </c>
      <c r="C873" t="inlineStr">
        <is>
          <t>INFO</t>
        </is>
      </c>
      <c r="D873" t="inlineStr">
        <is>
          <t>vdh</t>
        </is>
      </c>
      <c r="E873" t="inlineStr">
        <is>
          <t>pro14</t>
        </is>
      </c>
      <c r="F873" t="inlineStr">
        <is>
          <t>prod</t>
        </is>
      </c>
    </row>
    <row r="874">
      <c r="A874" t="inlineStr">
        <is>
          <t>2025-05-09 13:22:28.906</t>
        </is>
      </c>
      <c r="B874">
        <f>=请求结束== [请求耗时]:17毫秒, [返回数据]:{"code":"000000","msg":"Success","traceId":"7a0a0d5f09e365ed6190d7b39953090f"}</f>
        <v/>
      </c>
      <c r="C874" t="inlineStr">
        <is>
          <t>INFO</t>
        </is>
      </c>
      <c r="D874" t="inlineStr">
        <is>
          <t>vdh</t>
        </is>
      </c>
      <c r="E874" t="inlineStr">
        <is>
          <t>pro17</t>
        </is>
      </c>
      <c r="F874" t="inlineStr">
        <is>
          <t>prod</t>
        </is>
      </c>
    </row>
    <row r="875">
      <c r="A875" t="inlineStr">
        <is>
          <t>2025-05-09 13:22:28.889</t>
        </is>
      </c>
      <c r="B875">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28:D0:EA:88:00:3B","sessionId":"","avatarId":"11200220000208050000000000000000","appCode":"VDHtestWDC","instructionTemplateType":"","recordId":"","asrResult":"","knowledgeId":"","knowledgeMasterId":"","instructionType":"","instructionName":"","instructionFlag":"","parameter":"{}","ttsResultSource":"local","ttsResult":"好的搞定了","ttsResultTime":{"year":2025,"monthValue":5,"month":"MAY","dayOfMonth":9,"dayOfYear":129,"dayOfWeek":"FRIDAY","hour":13,"minute":22,"second":1,"nano":0,"chronology":{"id":"ISO","calendarType":"iso8601"}},"response":1746768121147}]]</f>
        <v/>
      </c>
      <c r="C875" t="inlineStr">
        <is>
          <t>INFO</t>
        </is>
      </c>
      <c r="D875" t="inlineStr">
        <is>
          <t>vdh</t>
        </is>
      </c>
      <c r="E875" t="inlineStr">
        <is>
          <t>pro17</t>
        </is>
      </c>
      <c r="F875" t="inlineStr">
        <is>
          <t>prod</t>
        </is>
      </c>
    </row>
    <row r="876">
      <c r="A876" t="inlineStr">
        <is>
          <t>2025-05-09 13:21:55.544</t>
        </is>
      </c>
      <c r="B876">
        <f>=请求结束== [请求耗时]:15毫秒, [返回数据]:{"code":"000000","msg":"Success","traceId":"75355e85d776c1940a28e38a3388713c"}</f>
        <v/>
      </c>
      <c r="C876" t="inlineStr">
        <is>
          <t>INFO</t>
        </is>
      </c>
      <c r="D876" t="inlineStr">
        <is>
          <t>vdh</t>
        </is>
      </c>
      <c r="E876" t="inlineStr">
        <is>
          <t>pro14</t>
        </is>
      </c>
      <c r="F876" t="inlineStr">
        <is>
          <t>prod</t>
        </is>
      </c>
    </row>
    <row r="877">
      <c r="A877" t="inlineStr">
        <is>
          <t>2025-05-09 13:21:55.529</t>
        </is>
      </c>
      <c r="B877">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13,"minute":21,"second":50,"nano":0,"chronology":{"id":"ISO","calendarType":"iso8601"}},"response":55835}]]</f>
        <v/>
      </c>
      <c r="C877" t="inlineStr">
        <is>
          <t>INFO</t>
        </is>
      </c>
      <c r="D877" t="inlineStr">
        <is>
          <t>vdh</t>
        </is>
      </c>
      <c r="E877" t="inlineStr">
        <is>
          <t>pro14</t>
        </is>
      </c>
      <c r="F877" t="inlineStr">
        <is>
          <t>prod</t>
        </is>
      </c>
    </row>
    <row r="878">
      <c r="A878" t="inlineStr">
        <is>
          <t>2025-05-09 13:21:26.117</t>
        </is>
      </c>
      <c r="B878">
        <f>=请求结束== [请求耗时]:15毫秒, [返回数据]:{"code":"000000","msg":"Success","traceId":"210ee7eb2b3124c8f1a843f260563f14"}</f>
        <v/>
      </c>
      <c r="C878" t="inlineStr">
        <is>
          <t>INFO</t>
        </is>
      </c>
      <c r="D878" t="inlineStr">
        <is>
          <t>vdh</t>
        </is>
      </c>
      <c r="E878" t="inlineStr">
        <is>
          <t>pro17</t>
        </is>
      </c>
      <c r="F878" t="inlineStr">
        <is>
          <t>prod</t>
        </is>
      </c>
    </row>
    <row r="879">
      <c r="A879" t="inlineStr">
        <is>
          <t>2025-05-09 13:21:26.102</t>
        </is>
      </c>
      <c r="B879">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recordId":"","asrResult":"","knowledgeId":"","knowledgeMasterId":"","instructionType":"","instructionName":"","instructionFlag":"","parameter":"{}","ttsResultSource":"local","ttsResult":"开始烹饪,请耐心等待烹饪完成,请取餐,小心烫","ttsResultTime":{"year":2025,"monthValue":5,"month":"MAY","dayOfMonth":9,"dayOfYear":129,"dayOfWeek":"FRIDAY","hour":13,"minute":21,"second":17,"nano":0,"chronology":{"id":"ISO","calendarType":"iso8601"}},"response":23482}]]</f>
        <v/>
      </c>
      <c r="C879" t="inlineStr">
        <is>
          <t>INFO</t>
        </is>
      </c>
      <c r="D879" t="inlineStr">
        <is>
          <t>vdh</t>
        </is>
      </c>
      <c r="E879" t="inlineStr">
        <is>
          <t>pro17</t>
        </is>
      </c>
      <c r="F879" t="inlineStr">
        <is>
          <t>prod</t>
        </is>
      </c>
    </row>
    <row r="880">
      <c r="A880" t="inlineStr">
        <is>
          <t>2025-05-09 13:20:57.058</t>
        </is>
      </c>
      <c r="B880">
        <f>=请求结束== [请求耗时]:16毫秒, [返回数据]:{"code":"000000","msg":"Success","traceId":"7ee0a30b05f2b4b82cf5ce1e5d7c9e9f"}</f>
        <v/>
      </c>
      <c r="C880" t="inlineStr">
        <is>
          <t>INFO</t>
        </is>
      </c>
      <c r="D880" t="inlineStr">
        <is>
          <t>vdh</t>
        </is>
      </c>
      <c r="E880" t="inlineStr">
        <is>
          <t>pro14</t>
        </is>
      </c>
      <c r="F880" t="inlineStr">
        <is>
          <t>prod</t>
        </is>
      </c>
    </row>
    <row r="881">
      <c r="A881" t="inlineStr">
        <is>
          <t>2025-05-09 13:20:57.042</t>
        </is>
      </c>
      <c r="B881">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Instruction_library","recordId":"","asrResult":"所以智能复热","instructionAsrFirstTime":{"year":2025,"monthValue":5,"month":"MAY","dayOfMonth":9,"dayOfYear":129,"dayOfWeek":"FRIDAY","hour":13,"minute":20,"second":52,"nano":0,"chronology":{"id":"ISO","calendarType":"iso8601"}},"knowledgeId":"","knowledgeMasterId":"295","instructionType":"COOKING","instructionName":"选择智能复热模式","instructionFlag":"heat_cooking_page_open","parameter":"{\"answer\":\"DEFAULT\",\"code\":\"heat_cooking_page_open\",\"continue_answer\":\"\",\"continue_failed_answer\":\"\",\"entities\":\"\",\"failed_answer\":\"{\\\"answerId\\\":\\\"\\\",\\\"value\\\":\\\"抱歉，执行失败\\\",\\\"hidb\\\":\\\"\\\",\\\"aplusId\\\":\\\"\\\",\\\"flag\\\":true,\\\"updFlag\\\":false,\\\"cache\\\":false}\",\"hitBusiness\":\"295\",\"init_state\":\"false\",\"intent\":\"选择智能复热模式\",\"intentType\":\"COOKING\",\"isEnd\":\"true\",\"isMulti\":\"false\",\"service\":\"Instruction_library\",\"succeed_answer\":\"{\\\"answerId\\\":\\\"\\\",\\\"value\\\":\\\"好的\\\",\\\"hidb\\\":\\\"\\\",\\\"aplusId\\\":\\\"\\\",\\\"flag\\\":true,\\\"updFlag\\\":false,\\\"cache\\\":false}\"}","ttsResultSource":"local","ttsResult":"好的","ttsResultTime":{"year":2025,"monthValue":5,"month":"MAY","dayOfMonth":9,"dayOfYear":129,"dayOfWeek":"FRIDAY","hour":13,"minute":20,"second":56,"nano":0,"chronology":{"id":"ISO","calendarType":"iso8601"}},"response":1835}]]</f>
        <v/>
      </c>
      <c r="C881" t="inlineStr">
        <is>
          <t>INFO</t>
        </is>
      </c>
      <c r="D881" t="inlineStr">
        <is>
          <t>vdh</t>
        </is>
      </c>
      <c r="E881" t="inlineStr">
        <is>
          <t>pro14</t>
        </is>
      </c>
      <c r="F881" t="inlineStr">
        <is>
          <t>prod</t>
        </is>
      </c>
    </row>
    <row r="882">
      <c r="A882" t="inlineStr">
        <is>
          <t>2025-05-09 13:20:46.471</t>
        </is>
      </c>
      <c r="B882">
        <f>=请求结束== [请求耗时]:14毫秒, [返回数据]:{"code":"000000","msg":"Success","traceId":"b7c235be9ab9da7cdeb5a6806c33bd06"}</f>
        <v/>
      </c>
      <c r="C882" t="inlineStr">
        <is>
          <t>INFO</t>
        </is>
      </c>
      <c r="D882" t="inlineStr">
        <is>
          <t>vdh</t>
        </is>
      </c>
      <c r="E882" t="inlineStr">
        <is>
          <t>pro17</t>
        </is>
      </c>
      <c r="F882" t="inlineStr">
        <is>
          <t>prod</t>
        </is>
      </c>
    </row>
    <row r="883">
      <c r="A883" t="inlineStr">
        <is>
          <t>2025-05-09 13:20:46.457</t>
        </is>
      </c>
      <c r="B883">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Chat_library","recordId":"","asrResult":"继续肉末豆腐","instructionAsrFirstTime":{"year":2025,"monthValue":5,"month":"MAY","dayOfMonth":9,"dayOfYear":129,"dayOfWeek":"FRIDAY","hour":13,"minute":20,"second":33,"nano":0,"chronology":{"id":"ISO","calendarType":"iso8601"}},"knowledgeId":"","knowledgeMasterId":"","instructionType":"","instructionName":"","instructionFlag":"","parameter":"{\"nlpId\":\"17300825629321642727spln\",\"service\":\"Chat_library\"}","ttsResultSource":"FTT","ttsResult":"请使用微波炉上的“继续烹调”按钮来进行操作。","ttsResultTime":{"year":2025,"monthValue":5,"month":"MAY","dayOfMonth":9,"dayOfYear":129,"dayOfWeek":"FRIDAY","hour":13,"minute":20,"second":42,"nano":0,"chronology":{"id":"ISO","calendarType":"iso8601"}},"response":5501}]]</f>
        <v/>
      </c>
      <c r="C883" t="inlineStr">
        <is>
          <t>INFO</t>
        </is>
      </c>
      <c r="D883" t="inlineStr">
        <is>
          <t>vdh</t>
        </is>
      </c>
      <c r="E883" t="inlineStr">
        <is>
          <t>pro17</t>
        </is>
      </c>
      <c r="F883" t="inlineStr">
        <is>
          <t>prod</t>
        </is>
      </c>
    </row>
    <row r="884">
      <c r="A884" t="inlineStr">
        <is>
          <t>2025-05-09 13:20:41.232</t>
        </is>
      </c>
      <c r="B884">
        <f>=请求结束== [请求耗时]:3695毫秒</f>
        <v/>
      </c>
      <c r="C884" t="inlineStr">
        <is>
          <t>INFO</t>
        </is>
      </c>
      <c r="D884" t="inlineStr">
        <is>
          <t>vdh</t>
        </is>
      </c>
      <c r="E884" t="inlineStr">
        <is>
          <t>pro17</t>
        </is>
      </c>
      <c r="F884" t="inlineStr">
        <is>
          <t>prod</t>
        </is>
      </c>
    </row>
    <row r="885">
      <c r="A885" t="inlineStr">
        <is>
          <t>2025-05-09 13:20:41.231</t>
        </is>
      </c>
      <c r="B885" t="inlineStr">
        <is>
          <t>第1次流式调用完成，耗时：3218ms，response: Response { content = AiMessage { text = "请使用微波炉上的“继续烹调”按钮来进行操作。" toolExecutionRequests = null }, tokenUsage = TokenUsage { inputTokenCount = 4518, outputTokenCount = 25, totalTokenCount = 4543 }, finishReason = STOP }</t>
        </is>
      </c>
      <c r="C885" t="inlineStr">
        <is>
          <t>INFO</t>
        </is>
      </c>
      <c r="D885" t="inlineStr">
        <is>
          <t>vdh</t>
        </is>
      </c>
      <c r="E885" t="inlineStr">
        <is>
          <t>pro17</t>
        </is>
      </c>
      <c r="F885" t="inlineStr">
        <is>
          <t>prod</t>
        </is>
      </c>
    </row>
    <row r="886">
      <c r="A886" t="inlineStr">
        <is>
          <t>2025-05-09 13:20:41.010</t>
        </is>
      </c>
      <c r="B886" t="inlineStr">
        <is>
          <t xml:space="preserve">第1次流式调用开始回复，耗时：2997ms，第一个token: </t>
        </is>
      </c>
      <c r="C886" t="inlineStr">
        <is>
          <t>INFO</t>
        </is>
      </c>
      <c r="D886" t="inlineStr">
        <is>
          <t>vdh</t>
        </is>
      </c>
      <c r="E886" t="inlineStr">
        <is>
          <t>pro17</t>
        </is>
      </c>
      <c r="F886" t="inlineStr">
        <is>
          <t>prod</t>
        </is>
      </c>
    </row>
    <row r="887">
      <c r="A887" t="inlineStr">
        <is>
          <t>2025-05-09 13:20:38.013</t>
        </is>
      </c>
      <c r="B887" t="inlineStr">
        <is>
          <t>streaming provider=gpt, model: gpt-4o</t>
        </is>
      </c>
      <c r="C887" t="inlineStr">
        <is>
          <t>INFO</t>
        </is>
      </c>
      <c r="D887" t="inlineStr">
        <is>
          <t>vdh</t>
        </is>
      </c>
      <c r="E887" t="inlineStr">
        <is>
          <t>pro17</t>
        </is>
      </c>
      <c r="F887" t="inlineStr">
        <is>
          <t>prod</t>
        </is>
      </c>
    </row>
    <row r="888">
      <c r="A888" t="inlineStr">
        <is>
          <t>2025-05-09 13:20:38.008</t>
        </is>
      </c>
      <c r="B888">
        <f>=请求结束== [请求耗时]:457毫秒, [返回数据]:{"code":"000000","msg":"Success","data":[{"knowledgeId":"1326868148286373888","knowledgeContent":[{"score":0.7275050974999999,"content":"：2025年春节/过年/大年初一是1月29日，农历正月初一，星期三。","fileId":"1326944717968060416","chunkId":"paragraph-1"},{"score":0.7163253875,"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国庆节、中秋节：10月1日至8日（周三至周三）放假，共8天。9月28日（周日）、10月11日（周六）上班。","fileId":"1326944717968060416","chunkId":"paragraph-2"},{"score":0.7101725775,"content":"：2025年放假调休日期的具体安排如下： 2025年元旦：1月1日，周三，放假1天，不调休。 2025年除夕/大年夜是1月28日，农历十二月二十九，星期二。","fileId":"1326944717968060416","chunkId":"paragraph-0"}]},{"knowledgeId":"1272948056214077440","knowledgeContent":[{"score":0.7458019,"content":"问题：可以通过哪个平台了姐到关于你们的情况。\\n回复：您可以通过关注我们的微信公众号、抖音“万得厨的厨”，了解更多关于烹饪技巧和美食分享的内容。","fileId":"1303425377255075840","chunkId":"715","textGroup":"可以从哪了解你们"},{"score":0.7439731675,"content":"问题：万能除有微信公众号吗。\\n回复：万得厨微信官方公众号为“万得厨的厨”，不定时为您推送最全使用指南及最美味的食品食谱，期待您的关注！","fileId":"1303425377255075840","chunkId":"530","textGroup":"你有公众号吗"},{"score":0.74082039,"content":"问题：请问你是否拥有抖音账号。\\n回复：万得厨官方抖音账号为“万得厨的厨”，不定时为您推送最全使用指南及最美味的食品食谱，期待您的关注！","fileId":"1303425377255075840","chunkId":"592","textGroup":"你有抖音账号吗"},{"score":0.739982885,"content":"问题：你做的饭真难吃。\\n回复：感谢您的意见，我会努力提升厨艺","fileId":"1303425377255075840","chunkId":"2684","textGroup":"你做的饭真难吃"}]},{"knowledgeId":"1272947938412855296","knowledgeContent":[{"score":0.75804445,"content":"推荐几个肉菜","fileId":"1275470180282040320","chunkId":"131","textGroup":"SELECT id, title FROM recipe_knowledge_nutrition WHERE classify_ingredient LIKE '%肉%' ORDER BY random() LIMIT 5;"},{"score":0.09320084100000002,"content":"豆腐鸡蛋羹食谱中含有香菇吗","fileId":"1275470180282040320","chunkId":"169","textGroup":"SELECT id, title, materials_list FROM recipe_knowledge_nutrition WHERE title LIKE '%豆腐鸡蛋羹%' LIMIT 5;"}]},{"knowledgeId":"1329399948694220800","knowledgeContent":[{"score":0.787505025,"content":"继续烹调","fileId":"1347217269055369216","chunkId":"219","textGroup":"cooking_control {type=continue}"},{"score":0.7610325824999999,"content":"烹饪到此为止","fileId":"1347217269055369216","chunkId":"358","textGroup":"cooking_control {type=stop}"},{"score":0.758189035,"content":"开始烹调","fileId":"1347217269055369216","chunkId":"52","textGroup":"cooking_control {type=start}"}]}]}</f>
        <v/>
      </c>
      <c r="C888" t="inlineStr">
        <is>
          <t>INFO</t>
        </is>
      </c>
      <c r="D888" t="inlineStr">
        <is>
          <t>vdh</t>
        </is>
      </c>
      <c r="E888" t="inlineStr">
        <is>
          <t>pro14</t>
        </is>
      </c>
      <c r="F888" t="inlineStr">
        <is>
          <t>prod</t>
        </is>
      </c>
    </row>
    <row r="889">
      <c r="A889" t="inlineStr">
        <is>
          <t>2025-05-09 13:20:38.007</t>
        </is>
      </c>
      <c r="B889" t="inlineStr">
        <is>
          <t>知识库插件检索耗时: 454ms</t>
        </is>
      </c>
      <c r="C889" t="inlineStr">
        <is>
          <t>INFO</t>
        </is>
      </c>
      <c r="D889" t="inlineStr">
        <is>
          <t>vdh</t>
        </is>
      </c>
      <c r="E889" t="inlineStr">
        <is>
          <t>pro14</t>
        </is>
      </c>
      <c r="F889" t="inlineStr">
        <is>
          <t>prod</t>
        </is>
      </c>
    </row>
    <row r="890">
      <c r="A890" t="inlineStr">
        <is>
          <t>2025-05-09 13:20:37.552</t>
        </is>
      </c>
      <c r="B890">
        <f>=请求开始== [请求IP]:172.18.33.17 ,[请求方式]:POST， [请求URL]:https://172.30.212.148:8080/api/appservice/bfv/v1/knowledge/retrieval/plugin, [请求类名]:com.yingzi.appservice.bfv.provider.rest.KnowledgeRetrievalController,[请求方法名]:plugin, [请求头参数]:{"host":"172.30.212.148:8080"}, [请求参数]:[{"query":"继续肉末豆腐","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890" t="inlineStr">
        <is>
          <t>INFO</t>
        </is>
      </c>
      <c r="D890" t="inlineStr">
        <is>
          <t>vdh</t>
        </is>
      </c>
      <c r="E890" t="inlineStr">
        <is>
          <t>pro14</t>
        </is>
      </c>
      <c r="F890" t="inlineStr">
        <is>
          <t>prod</t>
        </is>
      </c>
    </row>
    <row r="891">
      <c r="A891" t="inlineStr">
        <is>
          <t>2025-05-09 13:20:37.537</t>
        </is>
      </c>
      <c r="B891">
        <f>=请求开始== [请求IP]:172.18.114.116 ,[请求方式]:POST， [请求URL]:https://172.30.103.196:8080/api/appservice/bfv/v1/chat/, [请求类名]:com.yingzi.appservice.bfv.provider.rest.ChatV1Controller,[请求方法名]:chat, [请求头参数]:{"host":"172.30.103.196:8080"}, [请求参数]:[{"stream":true,"message":"继续肉末豆腐","args":"{\"adcode\":\"450800\",\"channel_id\":\"9\"}"}]</f>
        <v/>
      </c>
      <c r="C891" t="inlineStr">
        <is>
          <t>INFO</t>
        </is>
      </c>
      <c r="D891" t="inlineStr">
        <is>
          <t>vdh</t>
        </is>
      </c>
      <c r="E891" t="inlineStr">
        <is>
          <t>pro17</t>
        </is>
      </c>
      <c r="F891" t="inlineStr">
        <is>
          <t>prod</t>
        </is>
      </c>
    </row>
    <row r="892">
      <c r="A892" t="inlineStr">
        <is>
          <t>2025-05-09 13:20:23.369</t>
        </is>
      </c>
      <c r="B892">
        <f>=请求结束== [请求耗时]:16毫秒, [返回数据]:{"code":"000000","msg":"Success","traceId":"0aed20bb4a6b68a9f502b6fc3a1117b8"}</f>
        <v/>
      </c>
      <c r="C892" t="inlineStr">
        <is>
          <t>INFO</t>
        </is>
      </c>
      <c r="D892" t="inlineStr">
        <is>
          <t>vdh</t>
        </is>
      </c>
      <c r="E892" t="inlineStr">
        <is>
          <t>pro14</t>
        </is>
      </c>
      <c r="F892" t="inlineStr">
        <is>
          <t>prod</t>
        </is>
      </c>
    </row>
    <row r="893">
      <c r="A893" t="inlineStr">
        <is>
          <t>2025-05-09 13:20:23.354</t>
        </is>
      </c>
      <c r="B893">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微肉沫豆腐信息文书","instructionAsrFirstTime":{"year":2025,"monthValue":5,"month":"MAY","dayOfMonth":9,"dayOfYear":129,"dayOfWeek":"FRIDAY","hour":13,"minute":20,"second":1,"nano":0,"chronology":{"id":"ISO","calendarType":"iso8601"}},"knowledgeId":"","knowledgeMasterId":"","instructionType":"","instructionName":"","instructionFlag":"","parameter":"{}","ttsResultSource":"local","ttsResult":"网络开小差了,请稍后再试","ttsResultTime":{"year":2025,"monthValue":5,"month":"MAY","dayOfMonth":9,"dayOfYear":129,"dayOfWeek":"FRIDAY","hour":13,"minute":20,"second":17,"nano":0,"chronology":{"id":"ISO","calendarType":"iso8601"}},"response":11740}]]</f>
        <v/>
      </c>
      <c r="C893" t="inlineStr">
        <is>
          <t>INFO</t>
        </is>
      </c>
      <c r="D893" t="inlineStr">
        <is>
          <t>vdh</t>
        </is>
      </c>
      <c r="E893" t="inlineStr">
        <is>
          <t>pro14</t>
        </is>
      </c>
      <c r="F893" t="inlineStr">
        <is>
          <t>prod</t>
        </is>
      </c>
    </row>
    <row r="894">
      <c r="A894" t="inlineStr">
        <is>
          <t>2025-05-09 13:20:15.173</t>
        </is>
      </c>
      <c r="B894" t="inlineStr">
        <is>
          <t>第2次流式调用完成，耗时：4946ms，response: Response { content = AiMessage { text = "抱歉，我未能找到关于“微肉沫豆腐”的具体食谱信息。如果您有其他想了解的菜品或食谱，欢迎随时告诉我，我将竭诚为您提供帮助。" toolExecutionRequests = null }, tokenUsage = TokenUsage { inputTokenCount = 4399, outputTokenCount = 77, totalTokenCount = 4476 }, finishReason = STOP }</t>
        </is>
      </c>
      <c r="C894" t="inlineStr">
        <is>
          <t>INFO</t>
        </is>
      </c>
      <c r="D894" t="inlineStr">
        <is>
          <t>vdh</t>
        </is>
      </c>
      <c r="E894" t="inlineStr">
        <is>
          <t>pro17</t>
        </is>
      </c>
      <c r="F894" t="inlineStr">
        <is>
          <t>prod</t>
        </is>
      </c>
    </row>
    <row r="895">
      <c r="A895" t="inlineStr">
        <is>
          <t>2025-05-09 13:20:15.173</t>
        </is>
      </c>
      <c r="B895">
        <f>=请求结束== [请求耗时]:8831毫秒</f>
        <v/>
      </c>
      <c r="C895" t="inlineStr">
        <is>
          <t>INFO</t>
        </is>
      </c>
      <c r="D895" t="inlineStr">
        <is>
          <t>vdh</t>
        </is>
      </c>
      <c r="E895" t="inlineStr">
        <is>
          <t>pro17</t>
        </is>
      </c>
      <c r="F895" t="inlineStr">
        <is>
          <t>prod</t>
        </is>
      </c>
    </row>
    <row r="896">
      <c r="A896" t="inlineStr">
        <is>
          <t>2025-05-09 13:20:13.791</t>
        </is>
      </c>
      <c r="B896" t="inlineStr">
        <is>
          <t xml:space="preserve">第2次流式调用开始回复，耗时：3564ms，第一个token: </t>
        </is>
      </c>
      <c r="C896" t="inlineStr">
        <is>
          <t>INFO</t>
        </is>
      </c>
      <c r="D896" t="inlineStr">
        <is>
          <t>vdh</t>
        </is>
      </c>
      <c r="E896" t="inlineStr">
        <is>
          <t>pro17</t>
        </is>
      </c>
      <c r="F896" t="inlineStr">
        <is>
          <t>prod</t>
        </is>
      </c>
    </row>
    <row r="897">
      <c r="A897" t="inlineStr">
        <is>
          <t>2025-05-09 13:20:10.227</t>
        </is>
      </c>
      <c r="B897" t="inlineStr">
        <is>
          <t>streaming provider=gpt, model: gpt-4o-mini</t>
        </is>
      </c>
      <c r="C897" t="inlineStr">
        <is>
          <t>INFO</t>
        </is>
      </c>
      <c r="D897" t="inlineStr">
        <is>
          <t>vdh</t>
        </is>
      </c>
      <c r="E897" t="inlineStr">
        <is>
          <t>pro17</t>
        </is>
      </c>
      <c r="F897" t="inlineStr">
        <is>
          <t>prod</t>
        </is>
      </c>
    </row>
    <row r="898">
      <c r="A898" t="inlineStr">
        <is>
          <t>2025-05-09 13:20:10.227</t>
        </is>
      </c>
      <c r="B898" t="inlineStr">
        <is>
          <t>执行SQL工具，耗时: 31ms</t>
        </is>
      </c>
      <c r="C898" t="inlineStr">
        <is>
          <t>INFO</t>
        </is>
      </c>
      <c r="D898" t="inlineStr">
        <is>
          <t>vdh</t>
        </is>
      </c>
      <c r="E898" t="inlineStr">
        <is>
          <t>pro17</t>
        </is>
      </c>
      <c r="F898" t="inlineStr">
        <is>
          <t>prod</t>
        </is>
      </c>
    </row>
    <row r="899">
      <c r="A899" t="inlineStr">
        <is>
          <t>2025-05-09 13:20:10.225</t>
        </is>
      </c>
      <c r="B899" t="inlineStr">
        <is>
          <t>执行SQL：SELECT id, title, materials_list FROM recipe_knowledge_nutrition WHERE title LIKE '%微肉沫豆腐%' LIMIT 5;， 耗时: 29ms</t>
        </is>
      </c>
      <c r="C899" t="inlineStr">
        <is>
          <t>INFO</t>
        </is>
      </c>
      <c r="D899" t="inlineStr">
        <is>
          <t>vdh</t>
        </is>
      </c>
      <c r="E899" t="inlineStr">
        <is>
          <t>pro17</t>
        </is>
      </c>
      <c r="F899" t="inlineStr">
        <is>
          <t>prod</t>
        </is>
      </c>
    </row>
    <row r="900">
      <c r="A900" t="inlineStr">
        <is>
          <t>2025-05-09 13:20:10.195</t>
        </is>
      </c>
      <c r="B900" t="inlineStr">
        <is>
          <t>SQL函数调用，回复内容: {"sql":"SELECT id, title, materials_list FROM recipe_knowledge_nutrition WHERE title LIKE '%微肉沫豆腐%' LIMIT 5;"}</t>
        </is>
      </c>
      <c r="C900" t="inlineStr">
        <is>
          <t>INFO</t>
        </is>
      </c>
      <c r="D900" t="inlineStr">
        <is>
          <t>vdh</t>
        </is>
      </c>
      <c r="E900" t="inlineStr">
        <is>
          <t>pro17</t>
        </is>
      </c>
      <c r="F900" t="inlineStr">
        <is>
          <t>prod</t>
        </is>
      </c>
    </row>
    <row r="901">
      <c r="A901" t="inlineStr">
        <is>
          <t>2025-05-09 13:20:10.194</t>
        </is>
      </c>
      <c r="B901" t="inlineStr">
        <is>
          <t>第1次流式调用完成，耗时：3076ms，response: Response { content = AiMessage { text = null toolExecutionRequests = [ToolExecutionRequest { id = "call_YPMQ5N60V3vbgeQQ2kRYcI3Q", name = "getCustomSql", arguments = "{"sql":"SELECT id, title, materials_list FROM recipe_knowledge_nutrition WHERE title LIKE '%微肉沫豆腐%' LIMIT 5;"}" }] }, tokenUsage = TokenUsage { inputTokenCount = 4957, outputTokenCount = 44, totalTokenCount = 5001 }, finishReason = TOOL_EXECUTION }</t>
        </is>
      </c>
      <c r="C901" t="inlineStr">
        <is>
          <t>INFO</t>
        </is>
      </c>
      <c r="D901" t="inlineStr">
        <is>
          <t>vdh</t>
        </is>
      </c>
      <c r="E901" t="inlineStr">
        <is>
          <t>pro17</t>
        </is>
      </c>
      <c r="F901" t="inlineStr">
        <is>
          <t>prod</t>
        </is>
      </c>
    </row>
    <row r="902">
      <c r="A902" t="inlineStr">
        <is>
          <t>2025-05-09 13:20:07.118</t>
        </is>
      </c>
      <c r="B902" t="inlineStr">
        <is>
          <t>streaming provider=gpt, model: gpt-4o</t>
        </is>
      </c>
      <c r="C902" t="inlineStr">
        <is>
          <t>INFO</t>
        </is>
      </c>
      <c r="D902" t="inlineStr">
        <is>
          <t>vdh</t>
        </is>
      </c>
      <c r="E902" t="inlineStr">
        <is>
          <t>pro17</t>
        </is>
      </c>
      <c r="F902" t="inlineStr">
        <is>
          <t>prod</t>
        </is>
      </c>
    </row>
    <row r="903">
      <c r="A903" t="inlineStr">
        <is>
          <t>2025-05-09 13:20:07.111</t>
        </is>
      </c>
      <c r="B903">
        <f>=请求结束== [请求耗时]:723毫秒, [返回数据]:{"code":"000000","msg":"Success","data":[{"knowledgeId":"1326868148286373888","knowledgeContent":[{"score":0.715177165,"content":"：2025年春节/过年/大年初一是1月29日，农历正月初一，星期三。","fileId":"1326944717968060416","chunkId":"paragraph-1"},{"score":0.7086460625,"content":"：深圳数影科技的股价是多少？深圳数影科技有限公司没有上市，因此没有股价信息。 广西扬翔股份上市了吗？广西扬翔股份没有上市。","fileId":"1326944717968060416","chunkId":"paragraph-6"},{"score":0.7080569274999999,"content":"：广州影子科技的股价是多少？广州影子科技有限公司没有上市，因此没有股价信息。","fileId":"1326944717968060416","chunkId":"paragraph-5"}]},{"knowledgeId":"1272948056214077440","knowledgeContent":[{"score":0.7488621125,"content":"问题：能否提供一些扬翔相关的信息。\\n回复：广西扬翔股份有限公司是一家从农场到餐桌的智能技术服务企业，聚焦产业互联网支撑的猪业料、养、宰、商一体全产业链，致力于为公众提供实在、便利、健康、安全的美食体验。","fileId":"1303425377255075840","chunkId":"369","textGroup":"介绍一下扬翔"},{"score":0.7475259975,"content":"问题：你们的信息可以从哪里获取。\\n回复：您可以通过关注我们的微信公众号、抖音“万得厨的厨”，了解更多关于烹饪技巧和美食分享的内容。","fileId":"1303425377255075840","chunkId":"699","textGroup":"可以从哪了解你们"},{"score":0.7458096775,"content":"问题：能否提供一些影子科技相关的信息。\\n回复：广州影子科技有限公司，成立于2018年6月，致力于成为农牧食品产业互联网平台企业，利用基因科学、区块链、人工智能等技术，为农牧食品产业各环节提供智能解决方案与服务，驱动“农场到餐桌”产业链智能化转型升级，实现“让食品健康、安全、美味、便利”的愿景。","fileId":"1303425377255075840","chunkId":"766","textGroup":"影子科技是"},{"score":0.744503185,"content":"问题：能否提供一些新食记相关的信息。\\n回复：贵港新食记食品有限公司成立于2021年7月，依托AI技术，新食记解决普通消费者下厨房的油烟问题，其所有食品、食材满足扫码即烹、鲜烹鲜吃，开创了“智能餐厨+一码鲜烹”共享厨房新模式，依托影子美食平台，共同提供了智能厨师解决方案。","fileId":"1303425377255075840","chunkId":"448","textGroup":"介绍一下新食记"}]},{"knowledgeId":"1272947938412855296","knowledgeContent":[{"score":0.841681431,"content":"豆腐鸡蛋羹食谱中含有香菇吗","fileId":"1275470180282040320","chunkId":"169","textGroup":"SELECT id, title, materials_list FROM recipe_knowledge_nutrition WHERE title LIKE '%豆腐鸡蛋羹%' LIMIT 5;"},{"score":0.8333696289999999,"content":"肉肉不白吃总共有多少食谱","fileId":"1275470180282040320","chunkId":"143","textGroup":"SELECT COUNT(*) AS recipe_num FROM recipe_knowledge_nutrition WHERE publisher_name LIKE '%肉肉不白吃%';"},{"score":0.7436798324999999,"content":"蒜泥白肉可以使用2.0微波炉烹饪吗","fileId":"1275470180282040320","chunkId":"159","textGroup":"SELECT id, title, scheme_version FROM recipe_knowledge_nutrition WHERE title LIKE '%蒜泥白肉%' AND scheme_version LIKE '%2.0%' LIMIT 5;"},{"score":0.7388174925,"content":"豉汁带鱼分别需要多少斤带鱼，多少豆豉","fileId":"1275470180282040320","chunkId":"86","textGroup":"SELECT materials_list FROM recipe_knowledge_nutrition WHERE title LIKE '%豉汁带鱼%' LIMIT 5;"},{"score":0.7358744949999999,"content":"牛肉有些什么做法","fileId":"1275470180282040320","chunkId":"129","textGroup":"SELECT id, title, step_contents_list FROM recipe_knowledge_nutrition WHERE title LIKE '%牛肉%' OR materials_list LIKE '%牛肉%' ORDER BY random() LIMIT 5;"},{"score":0.08767929600000002,"content":"推荐几个肉菜","fileId":"1275470180282040320","chunkId":"131","textGroup":"SELECT id, title FROM recipe_knowledge_nutrition WHERE classify_ingredient LIKE '%肉%' ORDER BY random() LIMIT 5;"}]},{"knowledgeId":"1329399948694220800","knowledgeContent":[{"score":0.745510605,"content":"启动微博烹饪","fileId":"1347217269055369216","chunkId":"113","textGroup":"cooking_control {type=start}"},{"score":0.7379443299999999,"content":"继续微博烹饪","fileId":"1347217269055369216","chunkId":"230","textGroup":"cooking_control {type=continue}"},{"score":0.73702837,"content":"我想结束微波烹调","fileId":"1347217269055369216","chunkId":"325","textGroup":"cooking_control {type=stop}"},{"score":0.7361005949999999,"content":"暂停智能烹饪","fileId":"1347217269055369216","chunkId":"203","textGroup":"cooking_control {type=pause}"},{"score":0.7355708325,"content":"帮我烹饪一下腊味排骨锅巴饭","fileId":"1347217269055369216","chunkId":"44","textGroup":"set_foodtype_taste"},{"score":0.08607474750000002,"content":"腾讯的股票信息","fileId":"1329400169758941184","chunkId":"88","textGroup":"ticker {name=腾讯控股}"},{"score":0.08607474750000002,"content":"现在的天气信息","fileId":"1329400169758941184","chunkId":"15","textGroup":"getCurrentWeather"}]}]}</f>
        <v/>
      </c>
      <c r="C903" t="inlineStr">
        <is>
          <t>INFO</t>
        </is>
      </c>
      <c r="D903" t="inlineStr">
        <is>
          <t>vdh</t>
        </is>
      </c>
      <c r="E903" t="inlineStr">
        <is>
          <t>pro14</t>
        </is>
      </c>
      <c r="F903" t="inlineStr">
        <is>
          <t>prod</t>
        </is>
      </c>
    </row>
    <row r="904">
      <c r="A904" t="inlineStr">
        <is>
          <t>2025-05-09 13:20:07.110</t>
        </is>
      </c>
      <c r="B904" t="inlineStr">
        <is>
          <t>知识库插件检索耗时: 720ms</t>
        </is>
      </c>
      <c r="C904" t="inlineStr">
        <is>
          <t>INFO</t>
        </is>
      </c>
      <c r="D904" t="inlineStr">
        <is>
          <t>vdh</t>
        </is>
      </c>
      <c r="E904" t="inlineStr">
        <is>
          <t>pro14</t>
        </is>
      </c>
      <c r="F904" t="inlineStr">
        <is>
          <t>prod</t>
        </is>
      </c>
    </row>
    <row r="905">
      <c r="A905" t="inlineStr">
        <is>
          <t>2025-05-09 13:20:06.388</t>
        </is>
      </c>
      <c r="B905">
        <f>=请求开始== [请求IP]:172.18.33.17 ,[请求方式]:POST， [请求URL]:https://172.30.212.148:8080/api/appservice/bfv/v1/knowledge/retrieval/plugin, [请求类名]:com.yingzi.appservice.bfv.provider.rest.KnowledgeRetrievalController,[请求方法名]:plugin, [请求头参数]:{"host":"172.30.212.148:8080"}, [请求参数]:[{"query":"微肉沫豆腐信息文书","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905" t="inlineStr">
        <is>
          <t>INFO</t>
        </is>
      </c>
      <c r="D905" t="inlineStr">
        <is>
          <t>vdh</t>
        </is>
      </c>
      <c r="E905" t="inlineStr">
        <is>
          <t>pro14</t>
        </is>
      </c>
      <c r="F905" t="inlineStr">
        <is>
          <t>prod</t>
        </is>
      </c>
    </row>
    <row r="906">
      <c r="A906" t="inlineStr">
        <is>
          <t>2025-05-09 13:20:06.342</t>
        </is>
      </c>
      <c r="B906">
        <f>=请求开始== [请求IP]:172.18.114.116 ,[请求方式]:POST， [请求URL]:https://172.30.103.196:8080/api/appservice/bfv/v1/chat/, [请求类名]:com.yingzi.appservice.bfv.provider.rest.ChatV1Controller,[请求方法名]:chat, [请求头参数]:{"host":"172.30.103.196:8080"}, [请求参数]:[{"stream":true,"message":"微肉沫豆腐信息文书","args":"{\"adcode\":\"450800\",\"channel_id\":\"9\"}"}]</f>
        <v/>
      </c>
      <c r="C906" t="inlineStr">
        <is>
          <t>INFO</t>
        </is>
      </c>
      <c r="D906" t="inlineStr">
        <is>
          <t>vdh</t>
        </is>
      </c>
      <c r="E906" t="inlineStr">
        <is>
          <t>pro17</t>
        </is>
      </c>
      <c r="F906" t="inlineStr">
        <is>
          <t>prod</t>
        </is>
      </c>
    </row>
    <row r="907">
      <c r="A907" t="inlineStr">
        <is>
          <t>2025-05-09 13:19:59.134</t>
        </is>
      </c>
      <c r="B907">
        <f>=请求结束== [请求耗时]:15毫秒, [返回数据]:{"code":"000000","msg":"Success","traceId":"d5426da6894333a844d67b56af9c1ad0"}</f>
        <v/>
      </c>
      <c r="C907" t="inlineStr">
        <is>
          <t>INFO</t>
        </is>
      </c>
      <c r="D907" t="inlineStr">
        <is>
          <t>vdh</t>
        </is>
      </c>
      <c r="E907" t="inlineStr">
        <is>
          <t>pro17</t>
        </is>
      </c>
      <c r="F907" t="inlineStr">
        <is>
          <t>prod</t>
        </is>
      </c>
    </row>
    <row r="908">
      <c r="A908" t="inlineStr">
        <is>
          <t>2025-05-09 13:19:59.120</t>
        </is>
      </c>
      <c r="B908">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recordId":"","asrResult":"","knowledgeId":"","knowledgeMasterId":"","instructionType":"","instructionName":"","instructionFlag":"","parameter":"{}","ttsResultSource":"","ttsResult":"","response":0}]]</f>
        <v/>
      </c>
      <c r="C908" t="inlineStr">
        <is>
          <t>INFO</t>
        </is>
      </c>
      <c r="D908" t="inlineStr">
        <is>
          <t>vdh</t>
        </is>
      </c>
      <c r="E908" t="inlineStr">
        <is>
          <t>pro17</t>
        </is>
      </c>
      <c r="F908" t="inlineStr">
        <is>
          <t>prod</t>
        </is>
      </c>
    </row>
    <row r="909">
      <c r="A909" t="inlineStr">
        <is>
          <t>2025-05-09 13:14:30.944</t>
        </is>
      </c>
      <c r="B909">
        <f>=请求结束== [请求耗时]:15毫秒, [返回数据]:{"code":"000000","msg":"Success","traceId":"93a3d9f9793d1efd5a037a16b9d75a15"}</f>
        <v/>
      </c>
      <c r="C909" t="inlineStr">
        <is>
          <t>INFO</t>
        </is>
      </c>
      <c r="D909" t="inlineStr">
        <is>
          <t>vdh</t>
        </is>
      </c>
      <c r="E909" t="inlineStr">
        <is>
          <t>pro14</t>
        </is>
      </c>
      <c r="F909" t="inlineStr">
        <is>
          <t>prod</t>
        </is>
      </c>
    </row>
    <row r="910">
      <c r="A910" t="inlineStr">
        <is>
          <t>2025-05-09 13:14:30.929</t>
        </is>
      </c>
      <c r="B910">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13,"minute":14,"second":25,"nano":0,"chronology":{"id":"ISO","calendarType":"iso8601"}},"response":27174}]]</f>
        <v/>
      </c>
      <c r="C910" t="inlineStr">
        <is>
          <t>INFO</t>
        </is>
      </c>
      <c r="D910" t="inlineStr">
        <is>
          <t>vdh</t>
        </is>
      </c>
      <c r="E910" t="inlineStr">
        <is>
          <t>pro14</t>
        </is>
      </c>
      <c r="F910" t="inlineStr">
        <is>
          <t>prod</t>
        </is>
      </c>
    </row>
    <row r="911">
      <c r="A911" t="inlineStr">
        <is>
          <t>2025-05-09 13:14:05.757</t>
        </is>
      </c>
      <c r="B911">
        <f>=请求结束== [请求耗时]:12毫秒, [返回数据]:{"code":"000000","msg":"Success","traceId":"d9ca8fa49985e3c0caa99aa026d6b41d"}</f>
        <v/>
      </c>
      <c r="C911" t="inlineStr">
        <is>
          <t>INFO</t>
        </is>
      </c>
      <c r="D911" t="inlineStr">
        <is>
          <t>vdh</t>
        </is>
      </c>
      <c r="E911" t="inlineStr">
        <is>
          <t>pro17</t>
        </is>
      </c>
      <c r="F911" t="inlineStr">
        <is>
          <t>prod</t>
        </is>
      </c>
    </row>
    <row r="912">
      <c r="A912" t="inlineStr">
        <is>
          <t>2025-05-09 13:14:05.745</t>
        </is>
      </c>
      <c r="B912">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Instruction_library","recordId":"","asrResult":"肉末豆腐","instructionAsrFirstTime":{"year":2025,"monthValue":5,"month":"MAY","dayOfMonth":9,"dayOfYear":129,"dayOfWeek":"FRIDAY","hour":13,"minute":13,"second":57,"nano":0,"chronology":{"id":"ISO","calendarType":"iso8601"}},"knowledgeId":"","knowledgeMasterId":"295","instructionType":"COOKING","instructionName":"选择食物","instructionFlag":"set_foodtype","parameter":"{\"answer\":\"DEFAULT\",\"code\":\"set_foodtype\",\"continue_answer\":\"\",\"continue_failed_answer\":\"\",\"entities\":\"[{\\\"name\\\":\\\"菜品名称\\\",\\\"value\\\":\\\"肉末豆腐\\\",\\\"similar_value\\\":\\\"肉末豆腐\\\",\\\"similar_standard_value\\\":\\\"肉末豆腐\\\",\\\"similar_target_id\\\":\\\"398\\\",\\\"answer\\\":{\\\"answerId\\\":\\\"\\\",\\\"value\\\":\\\"\\\",\\\"hidb\\\":\\\"\\\",\\\"aplusId\\\":\\\"\\\",\\\"flag\\\":true,\\\"updFlag\\\":false,\\\"cache\\\":false}}]\",\"failed_answer\":\"{\\\"answerId\\\":\\\"\\\",\\\"value\\\":\\\"抱歉，执行失败\\\",\\\"hidb\\\":\\\"\\\",\\\"aplusId\\\":\\\"\\\",\\\"flag\\\":true,\\\"updFlag\\\":false,\\\"cache\\\":false}\",\"hitBusiness\":\"295\",\"init_state\":\"false\",\"intent\":\"选择食物\",\"intentType\":\"COOKING\",\"isEnd\":\"true\",\"isMulti\":\"false\",\"service\":\"Instruction_library\",\"succeed_answer\":\"{\\\"answerId\\\":\\\"\\\",\\\"value\\\":\\\"好嘞，小万会按照主人吩咐的烹饪哒\\\",\\\"hidb\\\":\\\"\\\",\\\"aplusId\\\":\\\"\\\",\\\"flag\\\":true,\\\"updFlag\\\":false,\\\"cache\\\":false}\"}","ttsResultSource":"local","ttsResult":"好的","ttsResultTime":{"year":2025,"monthValue":5,"month":"MAY","dayOfMonth":9,"dayOfYear":129,"dayOfWeek":"FRIDAY","hour":13,"minute":14,"second":1,"nano":0,"chronology":{"id":"ISO","calendarType":"iso8601"}},"response":3238}]]</f>
        <v/>
      </c>
      <c r="C912" t="inlineStr">
        <is>
          <t>INFO</t>
        </is>
      </c>
      <c r="D912" t="inlineStr">
        <is>
          <t>vdh</t>
        </is>
      </c>
      <c r="E912" t="inlineStr">
        <is>
          <t>pro17</t>
        </is>
      </c>
      <c r="F912" t="inlineStr">
        <is>
          <t>prod</t>
        </is>
      </c>
    </row>
    <row r="913">
      <c r="A913" t="inlineStr">
        <is>
          <t>2025-05-09 13:13:55.024</t>
        </is>
      </c>
      <c r="B913">
        <f>=请求结束== [请求耗时]:11毫秒, [返回数据]:{"code":"000000","msg":"Success","traceId":"45a9f96cb8b8b00c9e275db300bb2c10"}</f>
        <v/>
      </c>
      <c r="C913" t="inlineStr">
        <is>
          <t>INFO</t>
        </is>
      </c>
      <c r="D913" t="inlineStr">
        <is>
          <t>vdh</t>
        </is>
      </c>
      <c r="E913" t="inlineStr">
        <is>
          <t>pro14</t>
        </is>
      </c>
      <c r="F913" t="inlineStr">
        <is>
          <t>prod</t>
        </is>
      </c>
    </row>
    <row r="914">
      <c r="A914" t="inlineStr">
        <is>
          <t>2025-05-09 13:13:55.013</t>
        </is>
      </c>
      <c r="B914">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instructionAsrFirstTime":{"year":2025,"monthValue":5,"month":"MAY","dayOfMonth":9,"dayOfYear":129,"dayOfWeek":"FRIDAY","hour":5,"minute":13,"second":45,"nano":0,"chronology":{"id":"ISO","calendarType":"iso8601"}},"knowledgeId":"","knowledgeMasterId":"","instructionType":"","instructionName":"","instructionFlag":"","parameter":"{}","ttsResultSource":"","ttsResult":"","response":0}]]</f>
        <v/>
      </c>
      <c r="C914" t="inlineStr">
        <is>
          <t>INFO</t>
        </is>
      </c>
      <c r="D914" t="inlineStr">
        <is>
          <t>vdh</t>
        </is>
      </c>
      <c r="E914" t="inlineStr">
        <is>
          <t>pro14</t>
        </is>
      </c>
      <c r="F914" t="inlineStr">
        <is>
          <t>prod</t>
        </is>
      </c>
    </row>
    <row r="915">
      <c r="A915" t="inlineStr">
        <is>
          <t>2025-05-09 13:13:40.769</t>
        </is>
      </c>
      <c r="B915">
        <f>=请求结束== [请求耗时]:15毫秒, [返回数据]:{"code":"000000","msg":"Success","traceId":"96933532b5b7615a2f547e59ed855157"}</f>
        <v/>
      </c>
      <c r="C915" t="inlineStr">
        <is>
          <t>INFO</t>
        </is>
      </c>
      <c r="D915" t="inlineStr">
        <is>
          <t>vdh</t>
        </is>
      </c>
      <c r="E915" t="inlineStr">
        <is>
          <t>pro17</t>
        </is>
      </c>
      <c r="F915" t="inlineStr">
        <is>
          <t>prod</t>
        </is>
      </c>
    </row>
    <row r="916">
      <c r="A916" t="inlineStr">
        <is>
          <t>2025-05-09 13:13:40.754</t>
        </is>
      </c>
      <c r="B916">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Instruction_library","recordId":"","asrResult":"肉末豆腐","instructionAsrFirstTime":{"year":2025,"monthValue":5,"month":"MAY","dayOfMonth":9,"dayOfYear":129,"dayOfWeek":"FRIDAY","hour":13,"minute":13,"second":30,"nano":0,"chronology":{"id":"ISO","calendarType":"iso8601"}},"knowledgeId":"","knowledgeMasterId":"295","instructionType":"COOKING","instructionName":"选择食物","instructionFlag":"set_foodtype","parameter":"{\"answer\":\"DEFAULT\",\"code\":\"set_foodtype\",\"continue_answer\":\"\",\"continue_failed_answer\":\"\",\"entities\":\"[{\\\"name\\\":\\\"菜品名称\\\",\\\"value\\\":\\\"肉末豆腐\\\",\\\"similar_value\\\":\\\"肉末豆腐\\\",\\\"similar_standard_value\\\":\\\"肉末豆腐\\\",\\\"similar_target_id\\\":\\\"398\\\",\\\"answer\\\":{\\\"answerId\\\":\\\"\\\",\\\"value\\\":\\\"\\\",\\\"hidb\\\":\\\"\\\",\\\"aplusId\\\":\\\"\\\",\\\"flag\\\":true,\\\"updFlag\\\":false,\\\"cache\\\":false}}]\",\"failed_answer\":\"{\\\"answerId\\\":\\\"\\\",\\\"value\\\":\\\"抱歉，执行失败\\\",\\\"hidb\\\":\\\"\\\",\\\"aplusId\\\":\\\"\\\",\\\"flag\\\":true,\\\"updFlag\\\":false,\\\"cache\\\":false}\",\"hitBusiness\":\"295\",\"init_state\":\"false\",\"intent\":\"选择食物\",\"intentType\":\"COOKING\",\"isEnd\":\"true\",\"isMulti\":\"false\",\"service\":\"Instruction_library\",\"succeed_answer\":\"{\\\"answerId\\\":\\\"\\\",\\\"value\\\":\\\"好嘞，小万会按照主人吩咐的烹饪哒\\\",\\\"hidb\\\":\\\"\\\",\\\"aplusId\\\":\\\"\\\",\\\"flag\\\":true,\\\"updFlag\\\":false,\\\"cache\\\":false}\"}","ttsResultSource":"local","ttsResult":"找到烹饪方案啦,请选择一下吧","ttsResultTime":{"year":2025,"monthValue":5,"month":"MAY","dayOfMonth":9,"dayOfYear":129,"dayOfWeek":"FRIDAY","hour":13,"minute":13,"second":37,"nano":0,"chronology":{"id":"ISO","calendarType":"iso8601"}},"response":5898}]]</f>
        <v/>
      </c>
      <c r="C916" t="inlineStr">
        <is>
          <t>INFO</t>
        </is>
      </c>
      <c r="D916" t="inlineStr">
        <is>
          <t>vdh</t>
        </is>
      </c>
      <c r="E916" t="inlineStr">
        <is>
          <t>pro17</t>
        </is>
      </c>
      <c r="F916" t="inlineStr">
        <is>
          <t>prod</t>
        </is>
      </c>
    </row>
    <row r="917">
      <c r="A917" t="inlineStr">
        <is>
          <t>2025-05-09 13:13:28.954</t>
        </is>
      </c>
      <c r="B917">
        <f>=请求结束== [请求耗时]:15毫秒, [返回数据]:{"code":"000000","msg":"Success","traceId":"96e737b477c1ccb89cb743f046f415cb"}</f>
        <v/>
      </c>
      <c r="C917" t="inlineStr">
        <is>
          <t>INFO</t>
        </is>
      </c>
      <c r="D917" t="inlineStr">
        <is>
          <t>vdh</t>
        </is>
      </c>
      <c r="E917" t="inlineStr">
        <is>
          <t>pro14</t>
        </is>
      </c>
      <c r="F917" t="inlineStr">
        <is>
          <t>prod</t>
        </is>
      </c>
    </row>
    <row r="918">
      <c r="A918" t="inlineStr">
        <is>
          <t>2025-05-09 13:13:28.939</t>
        </is>
      </c>
      <c r="B918">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肉末到付","instructionAsrFirstTime":{"year":2025,"monthValue":5,"month":"MAY","dayOfMonth":9,"dayOfYear":129,"dayOfWeek":"FRIDAY","hour":13,"minute":11,"second":41,"nano":0,"chronology":{"id":"ISO","calendarType":"iso8601"}},"knowledgeId":"","knowledgeMasterId":"","instructionType":"","instructionName":"","instructionFlag":"","parameter":"{}","ttsResultSource":"FTT","ttsResult":"","response":0}]]</f>
        <v/>
      </c>
      <c r="C918" t="inlineStr">
        <is>
          <t>INFO</t>
        </is>
      </c>
      <c r="D918" t="inlineStr">
        <is>
          <t>vdh</t>
        </is>
      </c>
      <c r="E918" t="inlineStr">
        <is>
          <t>pro14</t>
        </is>
      </c>
      <c r="F918" t="inlineStr">
        <is>
          <t>prod</t>
        </is>
      </c>
    </row>
    <row r="919">
      <c r="A919" t="inlineStr">
        <is>
          <t>2025-05-09 13:11:58.744</t>
        </is>
      </c>
      <c r="B919">
        <f>=请求结束== [请求耗时]:13226毫秒</f>
        <v/>
      </c>
      <c r="C919" t="inlineStr">
        <is>
          <t>INFO</t>
        </is>
      </c>
      <c r="D919" t="inlineStr">
        <is>
          <t>vdh</t>
        </is>
      </c>
      <c r="E919" t="inlineStr">
        <is>
          <t>pro14</t>
        </is>
      </c>
      <c r="F919" t="inlineStr">
        <is>
          <t>prod</t>
        </is>
      </c>
    </row>
    <row r="920">
      <c r="A920" t="inlineStr">
        <is>
          <t>2025-05-09 13:11:58.743</t>
        </is>
      </c>
      <c r="B920" t="inlineStr">
        <is>
          <t>第2次流式调用完成，耗时：9855ms，response: Response { content = AiMessage { text = "这里有几道肉末相关的食谱推荐给您：
- **肉末豆腐**：将豆腐切丁，瘦肉剁成末，鲜香菇和番茄切丁，调味后淋在豆腐上，微波烹饪6分钟即可。
- **肉末香芋丝**：香芋切丝，猪肉切末，腌制后和香芋丝混合均匀，放入万得厨烹饪完成后即可享用。
- **肉末葫瓜汤**：瘦肉切末，葫瓜切片，腌制后与葫瓜和调料混合，微波烹饪7分钟搅拌均匀后食用。
- **肉末蛋饼**：将瘦肉、胡萝卜、香菇和鸡蛋混合，分两次倒入微波碟中烹饪，最后取出即可吃。
这几道菜简单易做，适合不同的场合。希望您喜欢！" toolExecutionRequests = null }, tokenUsage = TokenUsage { inputTokenCount = 5729, outputTokenCount = 353, totalTokenCount = 6082 }, finishReason = STOP }</t>
        </is>
      </c>
      <c r="C920" t="inlineStr">
        <is>
          <t>INFO</t>
        </is>
      </c>
      <c r="D920" t="inlineStr">
        <is>
          <t>vdh</t>
        </is>
      </c>
      <c r="E920" t="inlineStr">
        <is>
          <t>pro14</t>
        </is>
      </c>
      <c r="F920" t="inlineStr">
        <is>
          <t>prod</t>
        </is>
      </c>
    </row>
    <row r="921">
      <c r="A921" t="inlineStr">
        <is>
          <t>2025-05-09 13:11:53.518</t>
        </is>
      </c>
      <c r="B921" t="inlineStr">
        <is>
          <t xml:space="preserve">第2次流式调用开始回复，耗时：4630ms，第一个token: </t>
        </is>
      </c>
      <c r="C921" t="inlineStr">
        <is>
          <t>INFO</t>
        </is>
      </c>
      <c r="D921" t="inlineStr">
        <is>
          <t>vdh</t>
        </is>
      </c>
      <c r="E921" t="inlineStr">
        <is>
          <t>pro14</t>
        </is>
      </c>
      <c r="F921" t="inlineStr">
        <is>
          <t>prod</t>
        </is>
      </c>
    </row>
    <row r="922">
      <c r="A922" t="inlineStr">
        <is>
          <t>2025-05-09 13:11:48.889</t>
        </is>
      </c>
      <c r="B922" t="inlineStr">
        <is>
          <t>streaming provider=gpt, model: gpt-4o-mini</t>
        </is>
      </c>
      <c r="C922" t="inlineStr">
        <is>
          <t>INFO</t>
        </is>
      </c>
      <c r="D922" t="inlineStr">
        <is>
          <t>vdh</t>
        </is>
      </c>
      <c r="E922" t="inlineStr">
        <is>
          <t>pro14</t>
        </is>
      </c>
      <c r="F922" t="inlineStr">
        <is>
          <t>prod</t>
        </is>
      </c>
    </row>
    <row r="923">
      <c r="A923" t="inlineStr">
        <is>
          <t>2025-05-09 13:11:48.888</t>
        </is>
      </c>
      <c r="B923" t="inlineStr">
        <is>
          <t>执行SQL工具，耗时: 112ms</t>
        </is>
      </c>
      <c r="C923" t="inlineStr">
        <is>
          <t>INFO</t>
        </is>
      </c>
      <c r="D923" t="inlineStr">
        <is>
          <t>vdh</t>
        </is>
      </c>
      <c r="E923" t="inlineStr">
        <is>
          <t>pro14</t>
        </is>
      </c>
      <c r="F923" t="inlineStr">
        <is>
          <t>prod</t>
        </is>
      </c>
    </row>
    <row r="924">
      <c r="A924" t="inlineStr">
        <is>
          <t>2025-05-09 13:11:48.887</t>
        </is>
      </c>
      <c r="B924" t="inlineStr">
        <is>
          <t>执行SQL：SELECT id, title, step_contents_list FROM recipe_knowledge_nutrition WHERE title LIKE '%肉末%' OR materials_list LIKE '%肉末%' ORDER BY random() LIMIT 5;， 耗时: 109ms</t>
        </is>
      </c>
      <c r="C924" t="inlineStr">
        <is>
          <t>INFO</t>
        </is>
      </c>
      <c r="D924" t="inlineStr">
        <is>
          <t>vdh</t>
        </is>
      </c>
      <c r="E924" t="inlineStr">
        <is>
          <t>pro14</t>
        </is>
      </c>
      <c r="F924" t="inlineStr">
        <is>
          <t>prod</t>
        </is>
      </c>
    </row>
    <row r="925">
      <c r="A925" t="inlineStr">
        <is>
          <t>2025-05-09 13:11:48.775</t>
        </is>
      </c>
      <c r="B925" t="inlineStr">
        <is>
          <t>第1次流式调用完成，耗时：2717ms，response: Response { content = AiMessage { text = null toolExecutionRequests = [ToolExecutionRequest { id = "call_WM0ZlrOpyNBXYsV4IkgU4z2x", name = "getCustomSql", arguments = "{"sql":"SELECT id, title, step_contents_list FROM recipe_knowledge_nutrition WHERE title LIKE '%肉末%' OR materials_list LIKE '%肉末%' ORDER BY random() LIMIT 5;"}" }] }, tokenUsage = TokenUsage { inputTokenCount = 4955, outputTokenCount = 53, totalTokenCount = 5008 }, finishReason = TOOL_EXECUTION }</t>
        </is>
      </c>
      <c r="C925" t="inlineStr">
        <is>
          <t>INFO</t>
        </is>
      </c>
      <c r="D925" t="inlineStr">
        <is>
          <t>vdh</t>
        </is>
      </c>
      <c r="E925" t="inlineStr">
        <is>
          <t>pro14</t>
        </is>
      </c>
      <c r="F925" t="inlineStr">
        <is>
          <t>prod</t>
        </is>
      </c>
    </row>
    <row r="926">
      <c r="A926" t="inlineStr">
        <is>
          <t>2025-05-09 13:11:48.775</t>
        </is>
      </c>
      <c r="B926" t="inlineStr">
        <is>
          <t>SQL函数调用，回复内容: {"sql":"SELECT id, title, step_contents_list FROM recipe_knowledge_nutrition WHERE title LIKE '%肉末%' OR materials_list LIKE '%肉末%' ORDER BY random() LIMIT 5;"}</t>
        </is>
      </c>
      <c r="C926" t="inlineStr">
        <is>
          <t>INFO</t>
        </is>
      </c>
      <c r="D926" t="inlineStr">
        <is>
          <t>vdh</t>
        </is>
      </c>
      <c r="E926" t="inlineStr">
        <is>
          <t>pro14</t>
        </is>
      </c>
      <c r="F926" t="inlineStr">
        <is>
          <t>prod</t>
        </is>
      </c>
    </row>
    <row r="927">
      <c r="A927" t="inlineStr">
        <is>
          <t>2025-05-09 13:11:46.058</t>
        </is>
      </c>
      <c r="B927" t="inlineStr">
        <is>
          <t>streaming provider=gpt, model: gpt-4o</t>
        </is>
      </c>
      <c r="C927" t="inlineStr">
        <is>
          <t>INFO</t>
        </is>
      </c>
      <c r="D927" t="inlineStr">
        <is>
          <t>vdh</t>
        </is>
      </c>
      <c r="E927" t="inlineStr">
        <is>
          <t>pro14</t>
        </is>
      </c>
      <c r="F927" t="inlineStr">
        <is>
          <t>prod</t>
        </is>
      </c>
    </row>
    <row r="928">
      <c r="A928" t="inlineStr">
        <is>
          <t>2025-05-09 13:11:46.053</t>
        </is>
      </c>
      <c r="B928">
        <f>=请求结束== [请求耗时]:520毫秒, [返回数据]:{"code":"000000","msg":"Success","data":[{"knowledgeId":"1326868148286373888","knowledgeContent":[{"score":0.7267726525,"content":"：2025年春节/过年/大年初一是1月29日，农历正月初一，星期三。","fileId":"1326944717968060416","chunkId":"paragraph-1"},{"score":0.70497334,"content":"：深圳数影科技的股价是多少？深圳数影科技有限公司没有上市，因此没有股价信息。 广西扬翔股份上市了吗？广西扬翔股份没有上市。","fileId":"1326944717968060416","chunkId":"paragraph-6"},{"score":0.70448,"content":"：2025年元宵节是2月12日，农历正月十五，星期三。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1272947938412855296","knowledgeContent":[{"score":0.754959885,"content":"推荐几个肉菜","fileId":"1275470180282040320","chunkId":"131","textGroup":"SELECT id, title FROM recipe_knowledge_nutrition WHERE classify_ingredient LIKE '%肉%' ORDER BY random() LIMIT 5;"},{"score":0.74891596,"content":"推荐个肉类食谱，但是我不想吃辣的","fileId":"1275470180282040320","chunkId":"102","textGroup":"SELECT id, title FROM recipe_knowledge_nutrition WHERE classify_ingredient LIKE '%肉%' AND classify_taste NOT LIKE '%辣%' ORDER BY random() LIMIT 1;"},{"score":0.7469784275,"content":"有哪些简单易做的鸡肉食谱？","fileId":"1275470180282040320","chunkId":"160","textGroup":"SELECT id, title FROM recipe_knowledge_nutrition WHERE classify_crowd LIKE '%懒人%' AND materials_list LIKE '%鸡肉%' ORDER BY random() LIMIT 5;"},{"score":0.7467643125,"content":"甜味的肉类食谱有哪些？","fileId":"1275470180282040320","chunkId":"101","textGroup":"SELECT id, title FROM recipe_knowledge_nutrition WHERE classify_ingredient LIKE '%肉%' AND classify_taste LIKE '%甜%' ORDER BY random() LIMIT 5;"},{"score":0.74449307,"content":"推荐个口味比较辣的肉菜","fileId":"1275470180282040320","chunkId":"100","textGroup":"SELECT id, title FROM recipe_knowledge_nutrition WHERE classify_ingredient LIKE '%肉%' AND classify_taste LIKE '%辣%' ORDER BY random() LIMIT 5;"},{"score":0.743987065,"content":"牛肉有些什么做法","fileId":"1275470180282040320","chunkId":"129","textGroup":"SELECT id, title, step_contents_list FROM recipe_knowledge_nutrition WHERE title LIKE '%牛肉%' OR materials_list LIKE '%牛肉%' ORDER BY random() LIMIT 5;"},{"score":0.08889573000000002,"content":"到下午茶时间了，推荐几个甜品","fileId":"1275470180282040320","chunkId":"106","textGroup":"SELECT id, title FROM recipe_knowledge_nutrition WHERE classify_scene LIKE '%下午茶%' AND classify_taste LIKE '%甜%' ORDER BY random() LIMIT 5;"}]},{"knowledgeId":"1329399948694220800","knowledgeContent":[{"score":0.7561911099999999,"content":"烹饪到此为止","fileId":"1347217269055369216","chunkId":"358","textGroup":"cooking_control {type=stop}"},{"score":0.7532137725,"content":"切到[菜品名称]","fileId":"1347217269055369216","chunkId":"21","textGroup":"set_foodtype_taste"},{"score":0.75121385,"content":"烹调开始","fileId":"1347217269055369216","chunkId":"97","textGroup":"cooking_control {type=start}"},{"score":0.747286,"content":"烹饪暂停","fileId":"1347217269055369216","chunkId":"162","textGroup":"cooking_control {type=pause}"},{"score":0.74303022,"content":"烹饪继续","fileId":"1347217269055369216","chunkId":"222","textGroup":"cooking_control {type=continue}"}]},{"knowledgeId":"1272948056214077440","knowledgeContent":[{"score":0.73893798,"content":"问题：可以从哪了姐你们。\\n回复：您可以通过关注我们的微信公众号、抖音“万得厨的厨”，了解更多关于烹饪技巧和美食分享的内容。","fileId":"1303425377255075840","chunkId":"704","textGroup":"可以从哪了解你们"},{"score":0.73657651,"content":"问题：你们是否与盈康食品有交涉。\\n回复：盈康食品是与万得厨进行深度合作的可靠食品供应商。盈康食品为万得厨平台提供了多样可靠的鲜肉食品选择。","fileId":"1303425377255075840","chunkId":"275","textGroup":"万得厨跟盈康食品是否有关系"},{"score":0.7330647775,"content":"问题：请问你是否拥有公众号账号。\\n回复：万得厨微信官方公众号为“万得厨的厨”，不定时为您推送最全使用指南及最美味的食品食谱，期待您的关注！","fileId":"1303425377255075840","chunkId":"544","textGroup":"你有公众号吗"},{"score":0.7309491275,"content":"问题：你认识扬翔吗。\\n回复：广西扬翔股份有限公司是一家从农场到餐桌的智能技术服务企业，聚焦产业互联网支撑的猪业料、养、宰、商一体全产业链，致力于为公众提供实在、便利、健康、安全的美食体验。","fileId":"1303425377255075840","chunkId":"350","textGroup":"介绍一下扬翔"}]}]}</f>
        <v/>
      </c>
      <c r="C928" t="inlineStr">
        <is>
          <t>INFO</t>
        </is>
      </c>
      <c r="D928" t="inlineStr">
        <is>
          <t>vdh</t>
        </is>
      </c>
      <c r="E928" t="inlineStr">
        <is>
          <t>pro17</t>
        </is>
      </c>
      <c r="F928" t="inlineStr">
        <is>
          <t>prod</t>
        </is>
      </c>
    </row>
    <row r="929">
      <c r="A929" t="inlineStr">
        <is>
          <t>2025-05-09 13:11:46.052</t>
        </is>
      </c>
      <c r="B929" t="inlineStr">
        <is>
          <t>知识库插件检索耗时: 518ms</t>
        </is>
      </c>
      <c r="C929" t="inlineStr">
        <is>
          <t>INFO</t>
        </is>
      </c>
      <c r="D929" t="inlineStr">
        <is>
          <t>vdh</t>
        </is>
      </c>
      <c r="E929" t="inlineStr">
        <is>
          <t>pro17</t>
        </is>
      </c>
      <c r="F929" t="inlineStr">
        <is>
          <t>prod</t>
        </is>
      </c>
    </row>
    <row r="930">
      <c r="A930" t="inlineStr">
        <is>
          <t>2025-05-09 13:11:45.533</t>
        </is>
      </c>
      <c r="B930">
        <f>=请求开始== [请求IP]:172.18.33.14 ,[请求方式]:POST， [请求URL]:https://172.30.103.196:8080/api/appservice/bfv/v1/knowledge/retrieval/plugin, [请求类名]:com.yingzi.appservice.bfv.provider.rest.KnowledgeRetrievalController,[请求方法名]:plugin, [请求头参数]:{"host":"172.30.103.196:8080"}, [请求参数]:[{"query":"肉末到付","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930" t="inlineStr">
        <is>
          <t>INFO</t>
        </is>
      </c>
      <c r="D930" t="inlineStr">
        <is>
          <t>vdh</t>
        </is>
      </c>
      <c r="E930" t="inlineStr">
        <is>
          <t>pro17</t>
        </is>
      </c>
      <c r="F930" t="inlineStr">
        <is>
          <t>prod</t>
        </is>
      </c>
    </row>
    <row r="931">
      <c r="A931" t="inlineStr">
        <is>
          <t>2025-05-09 13:11:45.518</t>
        </is>
      </c>
      <c r="B931">
        <f>=请求开始== [请求IP]:172.18.114.116 ,[请求方式]:POST， [请求URL]:https://172.30.212.148:8080/api/appservice/bfv/v1/chat/, [请求类名]:com.yingzi.appservice.bfv.provider.rest.ChatV1Controller,[请求方法名]:chat, [请求头参数]:{"host":"172.30.212.148:8080"}, [请求参数]:[{"stream":true,"message":"肉末到付","args":"{\"adcode\":\"450800\",\"channel_id\":\"9\"}"}]</f>
        <v/>
      </c>
      <c r="C931" t="inlineStr">
        <is>
          <t>INFO</t>
        </is>
      </c>
      <c r="D931" t="inlineStr">
        <is>
          <t>vdh</t>
        </is>
      </c>
      <c r="E931" t="inlineStr">
        <is>
          <t>pro14</t>
        </is>
      </c>
      <c r="F931" t="inlineStr">
        <is>
          <t>prod</t>
        </is>
      </c>
    </row>
    <row r="932">
      <c r="A932" t="inlineStr">
        <is>
          <t>2025-05-09 13:11:39.872</t>
        </is>
      </c>
      <c r="B932">
        <f>=请求结束== [请求耗时]:12毫秒, [返回数据]:{"code":"000000","msg":"Success","traceId":"b42a699529a36f591af4fac35b508cf5"}</f>
        <v/>
      </c>
      <c r="C932" t="inlineStr">
        <is>
          <t>INFO</t>
        </is>
      </c>
      <c r="D932" t="inlineStr">
        <is>
          <t>vdh</t>
        </is>
      </c>
      <c r="E932" t="inlineStr">
        <is>
          <t>pro17</t>
        </is>
      </c>
      <c r="F932" t="inlineStr">
        <is>
          <t>prod</t>
        </is>
      </c>
    </row>
    <row r="933">
      <c r="A933" t="inlineStr">
        <is>
          <t>2025-05-09 13:11:39.860</t>
        </is>
      </c>
      <c r="B933">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Chat_library","recordId":"","asrResult":"柚木到付","instructionAsrFirstTime":{"year":2025,"monthValue":5,"month":"MAY","dayOfMonth":9,"dayOfYear":129,"dayOfWeek":"FRIDAY","hour":13,"minute":11,"second":14,"nano":0,"chronology":{"id":"ISO","calendarType":"iso8601"}},"knowledgeId":"","knowledgeMasterId":"","instructionType":"","instructionName":"","instructionFlag":"","parameter":"{\"nlpId\":\"17300825629321642727spln\",\"service\":\"Chat_library\"}","ttsResultSource":"FTT","ttsResult":"\"柚木到付\"可能是语音识别错误。请问您是想了解有关微波炉的某个功能,还是有其他问题需要帮助?如果是微波炉功能,具体说明您的需求。","ttsResultTime":{"year":2025,"monthValue":5,"month":"MAY","dayOfMonth":9,"dayOfYear":129,"dayOfWeek":"FRIDAY","hour":13,"minute":11,"second":23,"nano":0,"chronology":{"id":"ISO","calendarType":"iso8601"}},"response":7873}]]</f>
        <v/>
      </c>
      <c r="C933" t="inlineStr">
        <is>
          <t>INFO</t>
        </is>
      </c>
      <c r="D933" t="inlineStr">
        <is>
          <t>vdh</t>
        </is>
      </c>
      <c r="E933" t="inlineStr">
        <is>
          <t>pro17</t>
        </is>
      </c>
      <c r="F933" t="inlineStr">
        <is>
          <t>prod</t>
        </is>
      </c>
    </row>
    <row r="934">
      <c r="A934" t="inlineStr">
        <is>
          <t>2025-05-09 13:11:21.589</t>
        </is>
      </c>
      <c r="B934">
        <f>=请求结束== [请求耗时]:5598毫秒</f>
        <v/>
      </c>
      <c r="C934" t="inlineStr">
        <is>
          <t>INFO</t>
        </is>
      </c>
      <c r="D934" t="inlineStr">
        <is>
          <t>vdh</t>
        </is>
      </c>
      <c r="E934" t="inlineStr">
        <is>
          <t>pro14</t>
        </is>
      </c>
      <c r="F934" t="inlineStr">
        <is>
          <t>prod</t>
        </is>
      </c>
    </row>
    <row r="935">
      <c r="A935" t="inlineStr">
        <is>
          <t>2025-05-09 13:11:21.588</t>
        </is>
      </c>
      <c r="B935" t="inlineStr">
        <is>
          <t>第1次流式调用完成，耗时：5018ms，response: Response { content = AiMessage { text = ""柚木到付"可能是语音识别错误。请问您是想了解有关微波炉的某个功能，还是有其他问题需要帮助？如果是微波炉功能，请具体说明您的需求。" toolExecutionRequests = null }, tokenUsage = TokenUsage { inputTokenCount = 4709, outputTokenCount = 67, totalTokenCount = 4776 }, finishReason = STOP }</t>
        </is>
      </c>
      <c r="C935" t="inlineStr">
        <is>
          <t>INFO</t>
        </is>
      </c>
      <c r="D935" t="inlineStr">
        <is>
          <t>vdh</t>
        </is>
      </c>
      <c r="E935" t="inlineStr">
        <is>
          <t>pro14</t>
        </is>
      </c>
      <c r="F935" t="inlineStr">
        <is>
          <t>prod</t>
        </is>
      </c>
    </row>
    <row r="936">
      <c r="A936" t="inlineStr">
        <is>
          <t>2025-05-09 13:11:20.519</t>
        </is>
      </c>
      <c r="B936" t="inlineStr">
        <is>
          <t xml:space="preserve">第1次流式调用开始回复，耗时：3949ms，第一个token: </t>
        </is>
      </c>
      <c r="C936" t="inlineStr">
        <is>
          <t>INFO</t>
        </is>
      </c>
      <c r="D936" t="inlineStr">
        <is>
          <t>vdh</t>
        </is>
      </c>
      <c r="E936" t="inlineStr">
        <is>
          <t>pro14</t>
        </is>
      </c>
      <c r="F936" t="inlineStr">
        <is>
          <t>prod</t>
        </is>
      </c>
    </row>
    <row r="937">
      <c r="A937" t="inlineStr">
        <is>
          <t>2025-05-09 13:11:16.570</t>
        </is>
      </c>
      <c r="B937" t="inlineStr">
        <is>
          <t>streaming provider=gpt, model: gpt-4o</t>
        </is>
      </c>
      <c r="C937" t="inlineStr">
        <is>
          <t>INFO</t>
        </is>
      </c>
      <c r="D937" t="inlineStr">
        <is>
          <t>vdh</t>
        </is>
      </c>
      <c r="E937" t="inlineStr">
        <is>
          <t>pro14</t>
        </is>
      </c>
      <c r="F937" t="inlineStr">
        <is>
          <t>prod</t>
        </is>
      </c>
    </row>
    <row r="938">
      <c r="A938" t="inlineStr">
        <is>
          <t>2025-05-09 13:11:16.562</t>
        </is>
      </c>
      <c r="B938">
        <f>=请求结束== [请求耗时]:542毫秒, [返回数据]:{"code":"000000","msg":"Success","data":[{"knowledgeId":"1326868148286373888","knowledgeContent":[{"score":0.71946635,"content":"：2025年春节/过年/大年初一是1月29日，农历正月初一，星期三。","fileId":"1326944717968060416","chunkId":"paragraph-1"},{"score":0.7059673725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0.6995989175,"content":"：广州影子科技的股价是多少？广州影子科技有限公司没有上市，因此没有股价信息。","fileId":"1326944717968060416","chunkId":"paragraph-5"}]},{"knowledgeId":"1272947938412855296","knowledgeContent":[{"score":0.08889573000000002,"content":"到下午茶时间了，推荐几个甜品","fileId":"1275470180282040320","chunkId":"106","textGroup":"SELECT id, title FROM recipe_knowledge_nutrition WHERE classify_scene LIKE '%下午茶%' AND classify_taste LIKE '%甜%' ORDER BY random() LIMIT 5;"}]},{"knowledgeId":"1329399948694220800","knowledgeContent":[{"score":0.7337851099999999,"content":"暂停解冻","fileId":"1347217269055369216","chunkId":"198","textGroup":"cooking_control {type=pause}"},{"score":0.7284247125000001,"content":"开始做吧","fileId":"1347217269055369216","chunkId":"136","textGroup":"cooking_control {type=start}"},{"score":0.7283889275,"content":"请帮我继续微波","fileId":"1347217269055369216","chunkId":"256","textGroup":"cooking_control {type=continue}"},{"score":0.726926375,"content":"微波终止","fileId":"1347217269055369216","chunkId":"278","textGroup":"cooking_control {type=stop}"},{"score":0.7228090174999999,"content":"苹果的价格是多少","fileId":"1329400169758941184","chunkId":"95","textGroup":"search {questions=苹果的价格}"}]},{"knowledgeId":"1272948056214077440","knowledgeContent":[{"score":0.72746468,"content":"问题：怎么成为你们的商家。\\n回复：想要与我们进行合作，您可通过官方平台联系我们了解详细信息。","fileId":"1303425377255075840","chunkId":"749","textGroup":"如何申请成为平台商家"},{"score":0.727365995,"content":"问题：你们是否与银康食品有交涉。\\n回复：盈康食品是与万得厨进行深度合作的可靠食品供应商。盈康食品为万得厨平台提供了多样可靠的鲜肉食品选择。","fileId":"1303425377255075840","chunkId":"276","textGroup":"万得厨跟盈康食品是否有关系"},{"score":0.726110885,"content":"问题：竹子做的杯子可以用微博炉加热吗。\\n回复：不可以哦，因为木制餐具不能承受微波炉的高温","fileId":"1303425377255075840","chunkId":"2350","textGroup":"木制、竹制器具可以放进微波炉加热吗"},{"score":0.7247556875,"content":"问题：从哪里可以了姐到你们的产品信息。\\n回复：您可以通过关注我们的微信公众号、抖音“万得厨的厨”，了解更多关于烹饪技巧和美食分享的内容。","fileId":"1303425377255075840","chunkId":"696","textGroup":"可以从哪了解你们"},{"score":0.72456057,"content":"问题：你好。\\n回复：你好，有什么可以帮您。","fileId":"1303425377255075840","chunkId":"2699","textGroup":"你好"},{"score":0.7238183075,"content":"问题：你们是否与贵港万得科技有交涉。\\n回复：贵港万得科技是万得厨核心服务商哦","fileId":"1303425377255075840","chunkId":"325","textGroup":"万得厨跟贵港万得科技是否有关系"}]}]}</f>
        <v/>
      </c>
      <c r="C938" t="inlineStr">
        <is>
          <t>INFO</t>
        </is>
      </c>
      <c r="D938" t="inlineStr">
        <is>
          <t>vdh</t>
        </is>
      </c>
      <c r="E938" t="inlineStr">
        <is>
          <t>pro14</t>
        </is>
      </c>
      <c r="F938" t="inlineStr">
        <is>
          <t>prod</t>
        </is>
      </c>
    </row>
    <row r="939">
      <c r="A939" t="inlineStr">
        <is>
          <t>2025-05-09 13:11:16.561</t>
        </is>
      </c>
      <c r="B939" t="inlineStr">
        <is>
          <t>知识库插件检索耗时: 539ms</t>
        </is>
      </c>
      <c r="C939" t="inlineStr">
        <is>
          <t>INFO</t>
        </is>
      </c>
      <c r="D939" t="inlineStr">
        <is>
          <t>vdh</t>
        </is>
      </c>
      <c r="E939" t="inlineStr">
        <is>
          <t>pro14</t>
        </is>
      </c>
      <c r="F939" t="inlineStr">
        <is>
          <t>prod</t>
        </is>
      </c>
    </row>
    <row r="940">
      <c r="A940" t="inlineStr">
        <is>
          <t>2025-05-09 13:11:16.020</t>
        </is>
      </c>
      <c r="B940">
        <f>=请求开始== [请求IP]:172.18.33.14 ,[请求方式]:POST， [请求URL]:https://172.30.212.148:8080/api/appservice/bfv/v1/knowledge/retrieval/plugin, [请求类名]:com.yingzi.appservice.bfv.provider.rest.KnowledgeRetrievalController,[请求方法名]:plugin, [请求头参数]:{"host":"172.30.212.148:8080"}, [请求参数]:[{"query":"柚木到付","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940" t="inlineStr">
        <is>
          <t>INFO</t>
        </is>
      </c>
      <c r="D940" t="inlineStr">
        <is>
          <t>vdh</t>
        </is>
      </c>
      <c r="E940" t="inlineStr">
        <is>
          <t>pro14</t>
        </is>
      </c>
      <c r="F940" t="inlineStr">
        <is>
          <t>prod</t>
        </is>
      </c>
    </row>
    <row r="941">
      <c r="A941" t="inlineStr">
        <is>
          <t>2025-05-09 13:11:15.992</t>
        </is>
      </c>
      <c r="B941">
        <f>=请求开始== [请求IP]:172.18.114.116 ,[请求方式]:POST， [请求URL]:https://172.30.212.148:8080/api/appservice/bfv/v1/chat/, [请求类名]:com.yingzi.appservice.bfv.provider.rest.ChatV1Controller,[请求方法名]:chat, [请求头参数]:{"host":"172.30.212.148:8080"}, [请求参数]:[{"stream":true,"message":"柚木到付","args":"{\"adcode\":\"450800\",\"channel_id\":\"9\"}"}]</f>
        <v/>
      </c>
      <c r="C941" t="inlineStr">
        <is>
          <t>INFO</t>
        </is>
      </c>
      <c r="D941" t="inlineStr">
        <is>
          <t>vdh</t>
        </is>
      </c>
      <c r="E941" t="inlineStr">
        <is>
          <t>pro14</t>
        </is>
      </c>
      <c r="F941" t="inlineStr">
        <is>
          <t>prod</t>
        </is>
      </c>
    </row>
    <row r="942">
      <c r="A942" t="inlineStr">
        <is>
          <t>2025-05-09 13:11:12.098</t>
        </is>
      </c>
      <c r="B942">
        <f>=请求结束== [请求耗时]:14毫秒, [返回数据]:{"code":"000000","msg":"Success","traceId":"9925624c998f2b743c973bd012d3a5ca"}</f>
        <v/>
      </c>
      <c r="C942" t="inlineStr">
        <is>
          <t>INFO</t>
        </is>
      </c>
      <c r="D942" t="inlineStr">
        <is>
          <t>vdh</t>
        </is>
      </c>
      <c r="E942" t="inlineStr">
        <is>
          <t>pro17</t>
        </is>
      </c>
      <c r="F942" t="inlineStr">
        <is>
          <t>prod</t>
        </is>
      </c>
    </row>
    <row r="943">
      <c r="A943" t="inlineStr">
        <is>
          <t>2025-05-09 13:11:12.084</t>
        </is>
      </c>
      <c r="B943">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Instruction_library","recordId":"","asrResult":"斗罗大陆肉末豆腐","instructionAsrFirstTime":{"year":2025,"monthValue":5,"month":"MAY","dayOfMonth":9,"dayOfYear":129,"dayOfWeek":"FRIDAY","hour":13,"minute":11,"second":0,"nano":0,"chronology":{"id":"ISO","calendarType":"iso8601"}},"knowledgeId":"","knowledgeMasterId":"295","instructionType":"COOKING","instructionName":"选择食物","instructionFlag":"set_foodtype","parameter":"{\"answer\":\"DEFAULT\",\"code\":\"set_foodtype\",\"continue_answer\":\"\",\"continue_failed_answer\":\"\",\"entities\":\"[{\\\"name\\\":\\\"菜品名称\\\",\\\"value\\\":\\\"肉末豆腐\\\",\\\"similar_value\\\":\\\"肉末豆腐\\\",\\\"similar_standard_value\\\":\\\"肉末豆腐\\\",\\\"similar_target_id\\\":\\\"398\\\",\\\"answer\\\":{\\\"answerId\\\":\\\"\\\",\\\"value\\\":\\\"\\\",\\\"hidb\\\":\\\"\\\",\\\"aplusId\\\":\\\"\\\",\\\"flag\\\":true,\\\"updFlag\\\":false,\\\"cache\\\":false}}]\",\"failed_answer\":\"{\\\"answerId\\\":\\\"\\\",\\\"value\\\":\\\"抱歉，执行失败\\\",\\\"hidb\\\":\\\"\\\",\\\"aplusId\\\":\\\"\\\",\\\"flag\\\":true,\\\"updFlag\\\":false,\\\"cache\\\":false}\",\"hitBusiness\":\"295\",\"init_state\":\"false\",\"intent\":\"选择食物\",\"intentType\":\"COOKING\",\"isEnd\":\"true\",\"isMulti\":\"false\",\"service\":\"Instruction_library\",\"succeed_answer\":\"{\\\"answerId\\\":\\\"\\\",\\\"value\\\":\\\"好嘞，小万会按照主人吩咐的烹饪哒\\\",\\\"hidb\\\":\\\"\\\",\\\"aplusId\\\":\\\"\\\",\\\"flag\\\":true,\\\"updFlag\\\":false,\\\"cache\\\":false}\"}","ttsResultSource":"FTT","ttsResult":"","response":0}]]</f>
        <v/>
      </c>
      <c r="C943" t="inlineStr">
        <is>
          <t>INFO</t>
        </is>
      </c>
      <c r="D943" t="inlineStr">
        <is>
          <t>vdh</t>
        </is>
      </c>
      <c r="E943" t="inlineStr">
        <is>
          <t>pro17</t>
        </is>
      </c>
      <c r="F943" t="inlineStr">
        <is>
          <t>prod</t>
        </is>
      </c>
    </row>
    <row r="944">
      <c r="A944" t="inlineStr">
        <is>
          <t>2025-05-09 13:10:59.970</t>
        </is>
      </c>
      <c r="B944">
        <f>=请求结束== [请求耗时]:14毫秒, [返回数据]:{"code":"000000","msg":"Success","traceId":"d2b372939185e42fba8fe3d5dd601d59"}</f>
        <v/>
      </c>
      <c r="C944" t="inlineStr">
        <is>
          <t>INFO</t>
        </is>
      </c>
      <c r="D944" t="inlineStr">
        <is>
          <t>vdh</t>
        </is>
      </c>
      <c r="E944" t="inlineStr">
        <is>
          <t>pro14</t>
        </is>
      </c>
      <c r="F944" t="inlineStr">
        <is>
          <t>prod</t>
        </is>
      </c>
    </row>
    <row r="945">
      <c r="A945" t="inlineStr">
        <is>
          <t>2025-05-09 13:10:59.957</t>
        </is>
      </c>
      <c r="B945">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knowledgeId":"","knowledgeMasterId":"","instructionType":"","instructionName":"","instructionFlag":"","parameter":"{}","ttsResultSource":"","ttsResult":"","response":0}]]</f>
        <v/>
      </c>
      <c r="C945" t="inlineStr">
        <is>
          <t>INFO</t>
        </is>
      </c>
      <c r="D945" t="inlineStr">
        <is>
          <t>vdh</t>
        </is>
      </c>
      <c r="E945" t="inlineStr">
        <is>
          <t>pro14</t>
        </is>
      </c>
      <c r="F945" t="inlineStr">
        <is>
          <t>prod</t>
        </is>
      </c>
    </row>
    <row r="946">
      <c r="A946" t="inlineStr">
        <is>
          <t>2025-05-09 13:10:37.736</t>
        </is>
      </c>
      <c r="B946">
        <f>=请求结束== [请求耗时]:11毫秒, [返回数据]:{"code":"000000","msg":"Success","traceId":"972db78998b499a47c02d493419eee6c"}</f>
        <v/>
      </c>
      <c r="C946" t="inlineStr">
        <is>
          <t>INFO</t>
        </is>
      </c>
      <c r="D946" t="inlineStr">
        <is>
          <t>vdh</t>
        </is>
      </c>
      <c r="E946" t="inlineStr">
        <is>
          <t>pro17</t>
        </is>
      </c>
      <c r="F946" t="inlineStr">
        <is>
          <t>prod</t>
        </is>
      </c>
    </row>
    <row r="947">
      <c r="A947" t="inlineStr">
        <is>
          <t>2025-05-09 13:10:37.725</t>
        </is>
      </c>
      <c r="B947">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13,"minute":10,"second":16,"nano":0,"chronology":{"id":"ISO","calendarType":"iso8601"}},"response":326875}]]</f>
        <v/>
      </c>
      <c r="C947" t="inlineStr">
        <is>
          <t>INFO</t>
        </is>
      </c>
      <c r="D947" t="inlineStr">
        <is>
          <t>vdh</t>
        </is>
      </c>
      <c r="E947" t="inlineStr">
        <is>
          <t>pro17</t>
        </is>
      </c>
      <c r="F947" t="inlineStr">
        <is>
          <t>prod</t>
        </is>
      </c>
    </row>
    <row r="948">
      <c r="A948" t="inlineStr">
        <is>
          <t>2025-05-09 13:08:32.796</t>
        </is>
      </c>
      <c r="B948">
        <f>=请求结束== [请求耗时]:13毫秒, [返回数据]:{"code":"000000","msg":"Success","traceId":"0642d5ea287f50a52a82ec669ac514ba"}</f>
        <v/>
      </c>
      <c r="C948" t="inlineStr">
        <is>
          <t>INFO</t>
        </is>
      </c>
      <c r="D948" t="inlineStr">
        <is>
          <t>vdh</t>
        </is>
      </c>
      <c r="E948" t="inlineStr">
        <is>
          <t>pro17</t>
        </is>
      </c>
      <c r="F948" t="inlineStr">
        <is>
          <t>prod</t>
        </is>
      </c>
    </row>
    <row r="949">
      <c r="A949" t="inlineStr">
        <is>
          <t>2025-05-09 13:08:32.783</t>
        </is>
      </c>
      <c r="B949">
        <f>=请求开始== [请求IP]:183.9.195.75 ,[请求方式]:POST， [请求URL]:https://172.30.103.196:8080/api/appservice/bfv/v1/chatHistory/batchSave, [请求类名]:com.yingzi.appservice.bfv.provider.rest.ChatHistoryController,[请求方法名]:batchSave, [请求头参数]:{"host":"172.30.103.196:8080"}, [请求参数]:[[{"userId":1151876849451257858,"deviceId":"84:5C:F3:27:DE:40","sessionId":"","avatarId":"11200220000208050000000000000000","appCode":"VDHtestWDC","instructionTemplateType":"","recordId":"","asrResult":"","knowledgeId":"","knowledgeMasterId":"","instructionType":"","instructionName":"","instructionFlag":"","parameter":"{}","ttsResultSource":"local","ttsResult":"好的搞定了","ttsResultTime":{"year":2025,"monthValue":5,"month":"MAY","dayOfMonth":9,"dayOfYear":129,"dayOfWeek":"FRIDAY","hour":13,"minute":8,"second":17,"nano":0,"chronology":{"id":"ISO","calendarType":"iso8601"}},"response":1746767297671}]]</f>
        <v/>
      </c>
      <c r="C949" t="inlineStr">
        <is>
          <t>INFO</t>
        </is>
      </c>
      <c r="D949" t="inlineStr">
        <is>
          <t>vdh</t>
        </is>
      </c>
      <c r="E949" t="inlineStr">
        <is>
          <t>pro17</t>
        </is>
      </c>
      <c r="F949" t="inlineStr">
        <is>
          <t>prod</t>
        </is>
      </c>
    </row>
    <row r="950">
      <c r="A950" t="inlineStr">
        <is>
          <t>2025-05-09 13:08:13.210</t>
        </is>
      </c>
      <c r="B950">
        <f>=请求结束== [请求耗时]:14毫秒, [返回数据]:{"code":"000000","msg":"Success","traceId":"cb78c982940b3eefcae664209768baa6"}</f>
        <v/>
      </c>
      <c r="C950" t="inlineStr">
        <is>
          <t>INFO</t>
        </is>
      </c>
      <c r="D950" t="inlineStr">
        <is>
          <t>vdh</t>
        </is>
      </c>
      <c r="E950" t="inlineStr">
        <is>
          <t>pro14</t>
        </is>
      </c>
      <c r="F950" t="inlineStr">
        <is>
          <t>prod</t>
        </is>
      </c>
    </row>
    <row r="951">
      <c r="A951" t="inlineStr">
        <is>
          <t>2025-05-09 13:08:13.196</t>
        </is>
      </c>
      <c r="B951">
        <f>=请求开始== [请求IP]:183.9.195.75 ,[请求方式]:POST， [请求URL]:https://172.30.212.148:8080/api/appservice/bfv/v1/chatHistory/batchSave, [请求类名]:com.yingzi.appservice.bfv.provider.rest.ChatHistoryController,[请求方法名]:batchSave, [请求头参数]:{"host":"172.30.212.148:8080"}, [请求参数]:[[{"userId":1151876849451257858,"deviceId":"84:5C:F3:27:DE:40","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13,"minute":8,"second":7,"nano":0,"chronology":{"id":"ISO","calendarType":"iso8601"}},"response":1746767287653}]]</f>
        <v/>
      </c>
      <c r="C951" t="inlineStr">
        <is>
          <t>INFO</t>
        </is>
      </c>
      <c r="D951" t="inlineStr">
        <is>
          <t>vdh</t>
        </is>
      </c>
      <c r="E951" t="inlineStr">
        <is>
          <t>pro14</t>
        </is>
      </c>
      <c r="F951" t="inlineStr">
        <is>
          <t>prod</t>
        </is>
      </c>
    </row>
    <row r="952">
      <c r="A952" t="inlineStr">
        <is>
          <t>2025-05-09 13:06:58.021</t>
        </is>
      </c>
      <c r="B952">
        <f>=请求结束== [请求耗时]:14毫秒, [返回数据]:{"code":"000000","msg":"Success","traceId":"b8f816a28e645dbac445eb1e8834944f"}</f>
        <v/>
      </c>
      <c r="C952" t="inlineStr">
        <is>
          <t>INFO</t>
        </is>
      </c>
      <c r="D952" t="inlineStr">
        <is>
          <t>vdh</t>
        </is>
      </c>
      <c r="E952" t="inlineStr">
        <is>
          <t>pro17</t>
        </is>
      </c>
      <c r="F952" t="inlineStr">
        <is>
          <t>prod</t>
        </is>
      </c>
    </row>
    <row r="953">
      <c r="A953" t="inlineStr">
        <is>
          <t>2025-05-09 13:06:58.007</t>
        </is>
      </c>
      <c r="B953">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28:D0:EA:88:00:3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13,"minute":6,"second":51,"nano":0,"chronology":{"id":"ISO","calendarType":"iso8601"}},"response":1746767211371}]]</f>
        <v/>
      </c>
      <c r="C953" t="inlineStr">
        <is>
          <t>INFO</t>
        </is>
      </c>
      <c r="D953" t="inlineStr">
        <is>
          <t>vdh</t>
        </is>
      </c>
      <c r="E953" t="inlineStr">
        <is>
          <t>pro17</t>
        </is>
      </c>
      <c r="F953" t="inlineStr">
        <is>
          <t>prod</t>
        </is>
      </c>
    </row>
    <row r="954">
      <c r="A954" t="inlineStr">
        <is>
          <t>2025-05-09 13:05:21.138</t>
        </is>
      </c>
      <c r="B954">
        <f>=请求结束== [请求耗时]:15毫秒, [返回数据]:{"code":"000000","msg":"Success","traceId":"298a0f602e08afa0a1c733f5befd8695"}</f>
        <v/>
      </c>
      <c r="C954" t="inlineStr">
        <is>
          <t>INFO</t>
        </is>
      </c>
      <c r="D954" t="inlineStr">
        <is>
          <t>vdh</t>
        </is>
      </c>
      <c r="E954" t="inlineStr">
        <is>
          <t>pro14</t>
        </is>
      </c>
      <c r="F954" t="inlineStr">
        <is>
          <t>prod</t>
        </is>
      </c>
    </row>
    <row r="955">
      <c r="A955" t="inlineStr">
        <is>
          <t>2025-05-09 13:05:21.123</t>
        </is>
      </c>
      <c r="B955">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Chat_library","recordId":"","asrResult":"先调整","instructionAsrFirstTime":{"year":2025,"monthValue":5,"month":"MAY","dayOfMonth":9,"dayOfYear":129,"dayOfWeek":"FRIDAY","hour":13,"minute":4,"second":47,"nano":0,"chronology":{"id":"ISO","calendarType":"iso8601"}},"knowledgeId":"","knowledgeMasterId":"","instructionType":"","instructionName":"","instructionFlag":"","parameter":"{\"nlpId\":\"17300825629321642727spln\",\"service\":\"Chat_library\"}","ttsResultSource":"local","ttsResult":"请问您需要我调整什么呢?如果是调整微波炉的某个功能,开始烹饪,请耐心等待","ttsResultTime":{"year":2025,"monthValue":5,"month":"MAY","dayOfMonth":9,"dayOfYear":129,"dayOfWeek":"FRIDAY","hour":13,"minute":4,"second":56,"nano":0,"chronology":{"id":"ISO","calendarType":"iso8601"}},"response":6903}]]</f>
        <v/>
      </c>
      <c r="C955" t="inlineStr">
        <is>
          <t>INFO</t>
        </is>
      </c>
      <c r="D955" t="inlineStr">
        <is>
          <t>vdh</t>
        </is>
      </c>
      <c r="E955" t="inlineStr">
        <is>
          <t>pro14</t>
        </is>
      </c>
      <c r="F955" t="inlineStr">
        <is>
          <t>prod</t>
        </is>
      </c>
    </row>
    <row r="956">
      <c r="A956" t="inlineStr">
        <is>
          <t>2025-05-09 13:05:17.796</t>
        </is>
      </c>
      <c r="B956">
        <f>=请求结束== [请求耗时]:13毫秒, [返回数据]:{"code":"000000","msg":"Success","traceId":"f38afe4cbcc83fe4b45163aa0047a7d5"}</f>
        <v/>
      </c>
      <c r="C956" t="inlineStr">
        <is>
          <t>INFO</t>
        </is>
      </c>
      <c r="D956" t="inlineStr">
        <is>
          <t>vdh</t>
        </is>
      </c>
      <c r="E956" t="inlineStr">
        <is>
          <t>pro17</t>
        </is>
      </c>
      <c r="F956" t="inlineStr">
        <is>
          <t>prod</t>
        </is>
      </c>
    </row>
    <row r="957">
      <c r="A957" t="inlineStr">
        <is>
          <t>2025-05-09 13:05:17.783</t>
        </is>
      </c>
      <c r="B957">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64:79:F0:79:7A:16","sessionId":"","avatarId":"11200220000208050000000000000000","appCode":"VDHtestWDC","instructionTemplateType":"Chat_library","recordId":"","asrResult":"对这个可以完全识别的","instructionAsrFirstTime":{"year":2025,"monthValue":5,"month":"MAY","dayOfMonth":9,"dayOfYear":129,"dayOfWeek":"FRIDAY","hour":13,"minute":5,"second":4,"nano":0,"chronology":{"id":"ISO","calendarType":"iso8601"}},"knowledgeId":"","knowledgeMasterId":"","instructionType":"","instructionName":"","instructionFlag":"","parameter":"{\"nlpId\":\"17300825629321642727spln\",\"service\":\"Chat_library\"}","ttsResultSource":"FTT","ttsResult":"请问你想了解什么新闻热点呢?我可以为您提供新闻热点的信息。","ttsResultTime":{"year":2025,"monthValue":5,"month":"MAY","dayOfMonth":9,"dayOfYear":129,"dayOfWeek":"FRIDAY","hour":13,"minute":5,"second":12,"nano":0,"chronology":{"id":"ISO","calendarType":"iso8601"}},"response":5516}]]</f>
        <v/>
      </c>
      <c r="C957" t="inlineStr">
        <is>
          <t>INFO</t>
        </is>
      </c>
      <c r="D957" t="inlineStr">
        <is>
          <t>vdh</t>
        </is>
      </c>
      <c r="E957" t="inlineStr">
        <is>
          <t>pro17</t>
        </is>
      </c>
      <c r="F957" t="inlineStr">
        <is>
          <t>prod</t>
        </is>
      </c>
    </row>
    <row r="958">
      <c r="A958" t="inlineStr">
        <is>
          <t>2025-05-09 13:05:10.389</t>
        </is>
      </c>
      <c r="B958">
        <f>=请求结束== [请求耗时]:3206毫秒</f>
        <v/>
      </c>
      <c r="C958" t="inlineStr">
        <is>
          <t>INFO</t>
        </is>
      </c>
      <c r="D958" t="inlineStr">
        <is>
          <t>vdh</t>
        </is>
      </c>
      <c r="E958" t="inlineStr">
        <is>
          <t>pro14</t>
        </is>
      </c>
      <c r="F958" t="inlineStr">
        <is>
          <t>prod</t>
        </is>
      </c>
    </row>
    <row r="959">
      <c r="A959" t="inlineStr">
        <is>
          <t>2025-05-09 13:05:10.388</t>
        </is>
      </c>
      <c r="B959" t="inlineStr">
        <is>
          <t>第1次流式调用完成，耗时：2673ms，response: Response { content = AiMessage { text = "请问你想了解什么新闻热点呢？我可以为您提供新闻热点的信息。" toolExecutionRequests = null }, tokenUsage = TokenUsage { inputTokenCount = 4714, outputTokenCount = 36, totalTokenCount = 4750 }, finishReason = STOP }</t>
        </is>
      </c>
      <c r="C959" t="inlineStr">
        <is>
          <t>INFO</t>
        </is>
      </c>
      <c r="D959" t="inlineStr">
        <is>
          <t>vdh</t>
        </is>
      </c>
      <c r="E959" t="inlineStr">
        <is>
          <t>pro14</t>
        </is>
      </c>
      <c r="F959" t="inlineStr">
        <is>
          <t>prod</t>
        </is>
      </c>
    </row>
    <row r="960">
      <c r="A960" t="inlineStr">
        <is>
          <t>2025-05-09 13:05:10.032</t>
        </is>
      </c>
      <c r="B960" t="inlineStr">
        <is>
          <t xml:space="preserve">第1次流式调用开始回复，耗时：2317ms，第一个token: </t>
        </is>
      </c>
      <c r="C960" t="inlineStr">
        <is>
          <t>INFO</t>
        </is>
      </c>
      <c r="D960" t="inlineStr">
        <is>
          <t>vdh</t>
        </is>
      </c>
      <c r="E960" t="inlineStr">
        <is>
          <t>pro14</t>
        </is>
      </c>
      <c r="F960" t="inlineStr">
        <is>
          <t>prod</t>
        </is>
      </c>
    </row>
    <row r="961">
      <c r="A961" t="inlineStr">
        <is>
          <t>2025-05-09 13:05:07.715</t>
        </is>
      </c>
      <c r="B961" t="inlineStr">
        <is>
          <t>streaming provider=gpt, model: gpt-4o</t>
        </is>
      </c>
      <c r="C961" t="inlineStr">
        <is>
          <t>INFO</t>
        </is>
      </c>
      <c r="D961" t="inlineStr">
        <is>
          <t>vdh</t>
        </is>
      </c>
      <c r="E961" t="inlineStr">
        <is>
          <t>pro14</t>
        </is>
      </c>
      <c r="F961" t="inlineStr">
        <is>
          <t>prod</t>
        </is>
      </c>
    </row>
    <row r="962">
      <c r="A962" t="inlineStr">
        <is>
          <t>2025-05-09 13:05:07.709</t>
        </is>
      </c>
      <c r="B962">
        <f>=请求结束== [请求耗时]:499毫秒, [返回数据]:{"code":"000000","msg":"Success","data":[{"knowledgeId":"1326868148286373888","knowledgeContent":[{"score":0.727165055,"content":"：2025年春节/过年/大年初一是1月29日，农历正月初一，星期三。","fileId":"1326944717968060416","chunkId":"paragraph-1"},{"score":0.71476279,"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0.7137790424999999,"content":"：深圳数影科技的股价是多少？深圳数影科技有限公司没有上市，因此没有股价信息。 广西扬翔股份上市了吗？广西扬翔股份没有上市。","fileId":"1326944717968060416","chunkId":"paragraph-6"}]},{"knowledgeId":"1272947938412855296","knowledgeContent":[{"score":0.7293390574999999,"content":"萝卜羊肉汤是什么类别","fileId":"1275470180282040320","chunkId":"125","textGroup":"SELECT distinct(classify_ingredient) FROM recipe_knowledge_nutrition WHERE title LIKE '%萝卜羊肉汤%';"}]},{"knowledgeId":"1329399948694220800","knowledgeContent":[{"score":0.8211982849999999,"content":"这个是[菜品名称]","fileId":"1347217269055369216","chunkId":"46","textGroup":"set_foodtype_taste"},{"score":0.7394668074999999,"content":"请帮我继续微波","fileId":"1347217269055369216","chunkId":"256","textGroup":"cooking_control {type=continue}"},{"score":0.7368222449999999,"content":"启动微波功能","fileId":"1347217269055369216","chunkId":"64","textGroup":"cooking_control {type=start}"},{"score":0.7316882875,"content":"我想了解下新闻热点","fileId":"1329400169758941184","chunkId":"64","textGroup":"news {type=top,size=3}"},{"score":0.73038273,"content":"我想微波暂停","fileId":"1347217269055369216","chunkId":"195","textGroup":"cooking_control {type=pause}"},{"score":0.7302687449999999,"content":"请帮我终止微波","fileId":"1347217269055369216","chunkId":"328","textGroup":"cooking_control {type=stop}"}]},{"knowledgeId":"1272948056214077440","knowledgeContent":[{"score":0.747835865,"content":"问题：你好。\\n回复：你好，有什么可以帮您。","fileId":"1303425377255075840","chunkId":"2699","textGroup":"你好"},{"score":0.7410007175,"content":"问题：万能除有微信公众号吗。\\n回复：万得厨微信官方公众号为“万得厨的厨”，不定时为您推送最全使用指南及最美味的食品食谱，期待您的关注！","fileId":"1303425377255075840","chunkId":"530","textGroup":"你有公众号吗"},{"score":0.7400201575,"content":"问题：不满。\\n回复：不满意的地方还请多多包涵。","fileId":"1303425377255075840","chunkId":"2671","textGroup":"不满"},{"score":0.7399433599999999,"content":"问题：可以从哪了解你们。\\n回复：您可以通过关注我们的微信公众号、抖音“万得厨的厨”，了解更多关于烹饪技巧和美食分享的内容。","fileId":"1303425377255075840","chunkId":"2794","textGroup":"可以从哪了解你们"},{"score":0.7394139375000001,"content":"问题：微波是电磁波吗。\\n回复：微波是指频率在300兆赫至300千兆赫之间的电磁波，波长在1毫米到1米之间，是分米波、厘米波与毫米波的统称","fileId":"1303425377255075840","chunkId":"1522","textGroup":"微波是什么"},{"score":0.7373816725,"content":"问题：微博的波段是多少。\\n回复：微波波长在1毫米到1米之间","fileId":"1303425377255075840","chunkId":"2283","textGroup":"微波的波长是多少"}]}]}</f>
        <v/>
      </c>
      <c r="C962" t="inlineStr">
        <is>
          <t>INFO</t>
        </is>
      </c>
      <c r="D962" t="inlineStr">
        <is>
          <t>vdh</t>
        </is>
      </c>
      <c r="E962" t="inlineStr">
        <is>
          <t>pro14</t>
        </is>
      </c>
      <c r="F962" t="inlineStr">
        <is>
          <t>prod</t>
        </is>
      </c>
    </row>
    <row r="963">
      <c r="A963" t="inlineStr">
        <is>
          <t>2025-05-09 13:05:07.708</t>
        </is>
      </c>
      <c r="B963" t="inlineStr">
        <is>
          <t>知识库插件检索耗时: 497ms</t>
        </is>
      </c>
      <c r="C963" t="inlineStr">
        <is>
          <t>INFO</t>
        </is>
      </c>
      <c r="D963" t="inlineStr">
        <is>
          <t>vdh</t>
        </is>
      </c>
      <c r="E963" t="inlineStr">
        <is>
          <t>pro14</t>
        </is>
      </c>
      <c r="F963" t="inlineStr">
        <is>
          <t>prod</t>
        </is>
      </c>
    </row>
    <row r="964">
      <c r="A964" t="inlineStr">
        <is>
          <t>2025-05-09 13:05:07.211</t>
        </is>
      </c>
      <c r="B964">
        <f>=请求开始== [请求IP]:172.18.33.14 ,[请求方式]:POST， [请求URL]:https://172.30.212.148:8080/api/appservice/bfv/v1/knowledge/retrieval/plugin, [请求类名]:com.yingzi.appservice.bfv.provider.rest.KnowledgeRetrievalController,[请求方法名]:plugin, [请求头参数]:{"host":"172.30.212.148:8080"}, [请求参数]:[{"query":"对这个可以完全识别的","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964" t="inlineStr">
        <is>
          <t>INFO</t>
        </is>
      </c>
      <c r="D964" t="inlineStr">
        <is>
          <t>vdh</t>
        </is>
      </c>
      <c r="E964" t="inlineStr">
        <is>
          <t>pro14</t>
        </is>
      </c>
      <c r="F964" t="inlineStr">
        <is>
          <t>prod</t>
        </is>
      </c>
    </row>
    <row r="965">
      <c r="A965" t="inlineStr">
        <is>
          <t>2025-05-09 13:05:07.183</t>
        </is>
      </c>
      <c r="B965">
        <f>=请求开始== [请求IP]:172.18.114.98 ,[请求方式]:POST， [请求URL]:https://172.30.212.148:8080/api/appservice/bfv/v1/chat/, [请求类名]:com.yingzi.appservice.bfv.provider.rest.ChatV1Controller,[请求方法名]:chat, [请求头参数]:{"host":"172.30.212.148:8080"}, [请求参数]:[{"stream":true,"message":"对这个可以完全识别的","args":"{\"adcode\":\"440100\",\"channel_id\":\"9\"}"}]</f>
        <v/>
      </c>
      <c r="C965" t="inlineStr">
        <is>
          <t>INFO</t>
        </is>
      </c>
      <c r="D965" t="inlineStr">
        <is>
          <t>vdh</t>
        </is>
      </c>
      <c r="E965" t="inlineStr">
        <is>
          <t>pro14</t>
        </is>
      </c>
      <c r="F965" t="inlineStr">
        <is>
          <t>prod</t>
        </is>
      </c>
    </row>
    <row r="966">
      <c r="A966" t="inlineStr">
        <is>
          <t>2025-05-09 13:05:04.145</t>
        </is>
      </c>
      <c r="B966">
        <f>=请求结束== [请求耗时]:18毫秒, [返回数据]:{"code":"000000","msg":"Success","traceId":"898aba8b22c3218b7ebfa9829e83e4b2"}</f>
        <v/>
      </c>
      <c r="C966" t="inlineStr">
        <is>
          <t>INFO</t>
        </is>
      </c>
      <c r="D966" t="inlineStr">
        <is>
          <t>vdh</t>
        </is>
      </c>
      <c r="E966" t="inlineStr">
        <is>
          <t>pro17</t>
        </is>
      </c>
      <c r="F966" t="inlineStr">
        <is>
          <t>prod</t>
        </is>
      </c>
    </row>
    <row r="967">
      <c r="A967" t="inlineStr">
        <is>
          <t>2025-05-09 13:05:04.127</t>
        </is>
      </c>
      <c r="B967">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64:79:F0:79:7A:16","sessionId":"","avatarId":"11200220000208050000000000000000","appCode":"VDHtestWDC","instructionTemplateType":"","recordId":"","asrResult":"","knowledgeId":"","knowledgeMasterId":"","instructionType":"","instructionName":"","instructionFlag":"","parameter":"{}","ttsResultSource":"","ttsResult":"","response":0}]]</f>
        <v/>
      </c>
      <c r="C967" t="inlineStr">
        <is>
          <t>INFO</t>
        </is>
      </c>
      <c r="D967" t="inlineStr">
        <is>
          <t>vdh</t>
        </is>
      </c>
      <c r="E967" t="inlineStr">
        <is>
          <t>pro17</t>
        </is>
      </c>
      <c r="F967" t="inlineStr">
        <is>
          <t>prod</t>
        </is>
      </c>
    </row>
    <row r="968">
      <c r="A968" t="inlineStr">
        <is>
          <t>2025-05-09 13:04:54.626</t>
        </is>
      </c>
      <c r="B968">
        <f>=请求结束== [请求耗时]:4392毫秒</f>
        <v/>
      </c>
      <c r="C968" t="inlineStr">
        <is>
          <t>INFO</t>
        </is>
      </c>
      <c r="D968" t="inlineStr">
        <is>
          <t>vdh</t>
        </is>
      </c>
      <c r="E968" t="inlineStr">
        <is>
          <t>pro17</t>
        </is>
      </c>
      <c r="F968" t="inlineStr">
        <is>
          <t>prod</t>
        </is>
      </c>
    </row>
    <row r="969">
      <c r="A969" t="inlineStr">
        <is>
          <t>2025-05-09 13:04:54.625</t>
        </is>
      </c>
      <c r="B969" t="inlineStr">
        <is>
          <t>第1次流式调用完成，耗时：3746ms，response: Response { content = AiMessage { text = "请问您需要我调整什么呢？如果是调整微波炉的某个功能，请提供具体的信息或指令。" toolExecutionRequests = null }, tokenUsage = TokenUsage { inputTokenCount = 4638, outputTokenCount = 40, totalTokenCount = 4678 }, finishReason = STOP }</t>
        </is>
      </c>
      <c r="C969" t="inlineStr">
        <is>
          <t>INFO</t>
        </is>
      </c>
      <c r="D969" t="inlineStr">
        <is>
          <t>vdh</t>
        </is>
      </c>
      <c r="E969" t="inlineStr">
        <is>
          <t>pro17</t>
        </is>
      </c>
      <c r="F969" t="inlineStr">
        <is>
          <t>prod</t>
        </is>
      </c>
    </row>
    <row r="970">
      <c r="A970" t="inlineStr">
        <is>
          <t>2025-05-09 13:04:54.122</t>
        </is>
      </c>
      <c r="B970" t="inlineStr">
        <is>
          <t xml:space="preserve">第1次流式调用开始回复，耗时：3243ms，第一个token: </t>
        </is>
      </c>
      <c r="C970" t="inlineStr">
        <is>
          <t>INFO</t>
        </is>
      </c>
      <c r="D970" t="inlineStr">
        <is>
          <t>vdh</t>
        </is>
      </c>
      <c r="E970" t="inlineStr">
        <is>
          <t>pro17</t>
        </is>
      </c>
      <c r="F970" t="inlineStr">
        <is>
          <t>prod</t>
        </is>
      </c>
    </row>
    <row r="971">
      <c r="A971" t="inlineStr">
        <is>
          <t>2025-05-09 13:04:50.879</t>
        </is>
      </c>
      <c r="B971" t="inlineStr">
        <is>
          <t>streaming provider=gpt, model: gpt-4o</t>
        </is>
      </c>
      <c r="C971" t="inlineStr">
        <is>
          <t>INFO</t>
        </is>
      </c>
      <c r="D971" t="inlineStr">
        <is>
          <t>vdh</t>
        </is>
      </c>
      <c r="E971" t="inlineStr">
        <is>
          <t>pro17</t>
        </is>
      </c>
      <c r="F971" t="inlineStr">
        <is>
          <t>prod</t>
        </is>
      </c>
    </row>
    <row r="972">
      <c r="A972" t="inlineStr">
        <is>
          <t>2025-05-09 13:04:50.873</t>
        </is>
      </c>
      <c r="B972">
        <f>=请求结束== [请求耗时]:591毫秒, [返回数据]:{"code":"000000","msg":"Success","data":[{"knowledgeId":"1326868148286373888","knowledgeContent":[{"score":0.7252388275,"content":"：2025年放假调休日期的具体安排如下： 2025年元旦：1月1日，周三，放假1天，不调休。 2025年除夕/大年夜是1月28日，农历十二月二十九，星期二。","fileId":"1326944717968060416","chunkId":"paragraph-0"},{"score":0.7195298874999999,"content":"：2025年春节/过年/大年初一是1月29日，农历正月初一，星期三。","fileId":"1326944717968060416","chunkId":"paragraph-1"},{"score":0.7101296524999999,"content":"：深圳数影科技的股价是多少？深圳数影科技有限公司没有上市，因此没有股价信息。 广西扬翔股份上市了吗？广西扬翔股份没有上市。","fileId":"1326944717968060416","chunkId":"paragraph-6"}]},{"knowledgeId":"1329399948694220800","knowledgeContent":[{"score":0.75648385,"content":"接着烹调","fileId":"1347217269055369216","chunkId":"221","textGroup":"cooking_control {type=continue}"},{"score":0.74954139,"content":"开始做吧","fileId":"1347217269055369216","chunkId":"136","textGroup":"cooking_control {type=start}"},{"score":0.740439165,"content":"烹调取消","fileId":"1347217269055369216","chunkId":"342","textGroup":"cooking_control {type=stop}"},{"score":0.7387817925,"content":"我想微波暂停","fileId":"1347217269055369216","chunkId":"195","textGroup":"cooking_control {type=pause}"},{"score":0.08495803500000002,"content":"调整为[菜品名称]","fileId":"1347217269055369216","chunkId":"23","textGroup":"set_foodtype_taste"}]},{"knowledgeId":"1272948056214077440","knowledgeContent":[{"score":0.7352072025,"content":"问题：今天过的如何。\\n回复：每天都充满动力，希望您也是如此","fileId":"1303425377255075840","chunkId":"2672","textGroup":"今天过的如何"},{"score":0.733692885,"content":"问题：不满。\\n回复：不满意的地方还请多多包涵。","fileId":"1303425377255075840","chunkId":"2671","textGroup":"不满"},{"score":0.7336681925,"content":"问题：晚安。\\n回复：晚安。","fileId":"1303425377255075840","chunkId":"2766","textGroup":"晚安"},{"score":0.7324594925,"content":"问题：早上好。\\n回复：早上好，美好的一天又开始了。","fileId":"1303425377255075840","chunkId":"2764","textGroup":"早上好"},{"score":0.7301570125,"content":"问题：你好。\\n回复：你好，有什么可以帮您。","fileId":"1303425377255075840","chunkId":"2699","textGroup":"你好"},{"score":0.7300913925,"content":"问题：假期愉快。\\n回复：假期愉快，玩得开心哟！","fileId":"1303425377255075840","chunkId":"2755","textGroup":"假期愉快"},{"score":0.7275314475,"content":"问题：我吃饱了。\\n回复：吃得饱饱的，精神焕发才能更加出色哦。","fileId":"1303425377255075840","chunkId":"2760","textGroup":"我吃饱了"},{"score":0.726644515,"content":"问题：你喜欢唱歌吗。\\n回复：唱歌可以帮助我释放压力和情感，只是我唱歌的水平还不够好。","fileId":"1303425377255075840","chunkId":"2691","textGroup":"你喜欢唱歌吗"},{"score":0.7250424775000001,"content":"问题：再见。\\n回复：拜拜，下次见。","fileId":"1303425377255075840","chunkId":"2756","textGroup":"再见"},{"score":0.724722325,"content":"问题：你反应太慢了。\\n回复：抱歉我还在学习，所以反应有点慢。","fileId":"1303425377255075840","chunkId":"2686","textGroup":"你反应太慢了"},{"score":0.7241780274999999,"content":"问题：你结婚了吗。\\n回复：小美目前未婚，只想一直陪着主人。","fileId":"1303425377255075840","chunkId":"2753","textGroup":"你结婚了吗"},{"score":0.7232988725,"content":"问题：你有男朋友吗。\\n回复：小万目前还没有呢，只想一直为主人服务。","fileId":"1303425377255075840","chunkId":"2730","textGroup":"你有男朋友吗"},{"score":0.7232686975,"content":"问题：你最喜欢的运动是什么。\\n回复：我喜欢羽毛球，能提升身体协调性和灵活性。","fileId":"1303425377255075840","chunkId":"2717","textGroup":"你最喜欢的运动是什么"},{"score":0.7230674175,"content":"问题：你们公司的价值观是。\\n回复：影子科技有三要：客户第一、结果导向、利他共赢。三不要：抱怨懈怠、阳奉阴违、拉帮结派。","fileId":"1303425377255075840","chunkId":"606","textGroup":"公司价值观是什么"},{"score":0.7220381525,"content":"问题：你好丑。\\n回复：外貌是次要的，重要的是我的内在","fileId":"1303425377255075840","chunkId":"2700","textGroup":"你好丑"}]}]}</f>
        <v/>
      </c>
      <c r="C972" t="inlineStr">
        <is>
          <t>INFO</t>
        </is>
      </c>
      <c r="D972" t="inlineStr">
        <is>
          <t>vdh</t>
        </is>
      </c>
      <c r="E972" t="inlineStr">
        <is>
          <t>pro14</t>
        </is>
      </c>
      <c r="F972" t="inlineStr">
        <is>
          <t>prod</t>
        </is>
      </c>
    </row>
    <row r="973">
      <c r="A973" t="inlineStr">
        <is>
          <t>2025-05-09 13:04:50.873</t>
        </is>
      </c>
      <c r="B973" t="inlineStr">
        <is>
          <t>知识库插件检索耗时: 590ms</t>
        </is>
      </c>
      <c r="C973" t="inlineStr">
        <is>
          <t>INFO</t>
        </is>
      </c>
      <c r="D973" t="inlineStr">
        <is>
          <t>vdh</t>
        </is>
      </c>
      <c r="E973" t="inlineStr">
        <is>
          <t>pro14</t>
        </is>
      </c>
      <c r="F973" t="inlineStr">
        <is>
          <t>prod</t>
        </is>
      </c>
    </row>
    <row r="974">
      <c r="A974" t="inlineStr">
        <is>
          <t>2025-05-09 13:04:50.338</t>
        </is>
      </c>
      <c r="B974" t="inlineStr">
        <is>
          <t>request data-gateway token response:{"code":200,"data":{"appKey":"yingzi-virtual-human","clientIp":"","deviceId":"","accessType":"RESTFUL","expiresIn":1746774290331,"access_token":"bad050f5-6675-4f01-b40b-138912c64143"},"msg":"SUCCESS","extendInfo":null,"traceId":"9720b9c7957a7c3d0c9f771559728256"}</t>
        </is>
      </c>
      <c r="C974" t="inlineStr">
        <is>
          <t>WARN</t>
        </is>
      </c>
      <c r="D974" t="inlineStr">
        <is>
          <t>vdh</t>
        </is>
      </c>
      <c r="E974" t="inlineStr">
        <is>
          <t>pro14</t>
        </is>
      </c>
      <c r="F974" t="inlineStr">
        <is>
          <t>prod</t>
        </is>
      </c>
    </row>
    <row r="975">
      <c r="A975" t="inlineStr">
        <is>
          <t>2025-05-09 13:04:50.282</t>
        </is>
      </c>
      <c r="B975">
        <f>=请求开始== [请求IP]:172.18.33.17 ,[请求方式]:POST， [请求URL]:https://172.30.212.148:8080/api/appservice/bfv/v1/knowledge/retrieval/plugin, [请求类名]:com.yingzi.appservice.bfv.provider.rest.KnowledgeRetrievalController,[请求方法名]:plugin, [请求头参数]:{"host":"172.30.212.148:8080"}, [请求参数]:[{"query":"先调整","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975" t="inlineStr">
        <is>
          <t>INFO</t>
        </is>
      </c>
      <c r="D975" t="inlineStr">
        <is>
          <t>vdh</t>
        </is>
      </c>
      <c r="E975" t="inlineStr">
        <is>
          <t>pro14</t>
        </is>
      </c>
      <c r="F975" t="inlineStr">
        <is>
          <t>prod</t>
        </is>
      </c>
    </row>
    <row r="976">
      <c r="A976" t="inlineStr">
        <is>
          <t>2025-05-09 13:04:50.234</t>
        </is>
      </c>
      <c r="B976">
        <f>=请求开始== [请求IP]:172.18.114.98 ,[请求方式]:POST， [请求URL]:https://172.30.103.196:8080/api/appservice/bfv/v1/chat/, [请求类名]:com.yingzi.appservice.bfv.provider.rest.ChatV1Controller,[请求方法名]:chat, [请求头参数]:{"host":"172.30.103.196:8080"}, [请求参数]:[{"stream":true,"message":"先调整","args":"{\"adcode\":\"450800\",\"channel_id\":\"9\"}"}]</f>
        <v/>
      </c>
      <c r="C976" t="inlineStr">
        <is>
          <t>INFO</t>
        </is>
      </c>
      <c r="D976" t="inlineStr">
        <is>
          <t>vdh</t>
        </is>
      </c>
      <c r="E976" t="inlineStr">
        <is>
          <t>pro17</t>
        </is>
      </c>
      <c r="F976" t="inlineStr">
        <is>
          <t>prod</t>
        </is>
      </c>
    </row>
    <row r="977">
      <c r="A977" t="inlineStr">
        <is>
          <t>2025-05-09 13:04:46.632</t>
        </is>
      </c>
      <c r="B977">
        <f>=请求结束== [请求耗时]:17毫秒, [返回数据]:{"code":"000000","msg":"Success","traceId":"88e335f214e5e21f60a1d6a00eecc1c0"}</f>
        <v/>
      </c>
      <c r="C977" t="inlineStr">
        <is>
          <t>INFO</t>
        </is>
      </c>
      <c r="D977" t="inlineStr">
        <is>
          <t>vdh</t>
        </is>
      </c>
      <c r="E977" t="inlineStr">
        <is>
          <t>pro14</t>
        </is>
      </c>
      <c r="F977" t="inlineStr">
        <is>
          <t>prod</t>
        </is>
      </c>
    </row>
    <row r="978">
      <c r="A978" t="inlineStr">
        <is>
          <t>2025-05-09 13:04:46.615</t>
        </is>
      </c>
      <c r="B978">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knowledgeId":"","knowledgeMasterId":"","instructionType":"","instructionName":"","instructionFlag":"","parameter":"{}","ttsResultSource":"local","ttsResult":"好的","ttsResultTime":{"year":2025,"monthValue":5,"month":"MAY","dayOfMonth":9,"dayOfYear":129,"dayOfWeek":"FRIDAY","hour":13,"minute":4,"second":41,"nano":0,"chronology":{"id":"ISO","calendarType":"iso8601"}},"response":499631}]]</f>
        <v/>
      </c>
      <c r="C978" t="inlineStr">
        <is>
          <t>INFO</t>
        </is>
      </c>
      <c r="D978" t="inlineStr">
        <is>
          <t>vdh</t>
        </is>
      </c>
      <c r="E978" t="inlineStr">
        <is>
          <t>pro14</t>
        </is>
      </c>
      <c r="F978" t="inlineStr">
        <is>
          <t>prod</t>
        </is>
      </c>
    </row>
    <row r="979">
      <c r="A979" t="inlineStr">
        <is>
          <t>2025-05-09 13:00:52.865</t>
        </is>
      </c>
      <c r="B979">
        <f>=请求结束== [请求耗时]:16毫秒, [返回数据]:{"code":"000000","msg":"Success","traceId":"4a3efa42d90a65d94dbf365aeaa92d4e"}</f>
        <v/>
      </c>
      <c r="C979" t="inlineStr">
        <is>
          <t>INFO</t>
        </is>
      </c>
      <c r="D979" t="inlineStr">
        <is>
          <t>vdh</t>
        </is>
      </c>
      <c r="E979" t="inlineStr">
        <is>
          <t>pro17</t>
        </is>
      </c>
      <c r="F979" t="inlineStr">
        <is>
          <t>prod</t>
        </is>
      </c>
    </row>
    <row r="980">
      <c r="A980" t="inlineStr">
        <is>
          <t>2025-05-09 13:00:52.849</t>
        </is>
      </c>
      <c r="B980">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13,"minute":0,"second":47,"nano":0,"chronology":{"id":"ISO","calendarType":"iso8601"}},"response":265487}]]</f>
        <v/>
      </c>
      <c r="C980" t="inlineStr">
        <is>
          <t>INFO</t>
        </is>
      </c>
      <c r="D980" t="inlineStr">
        <is>
          <t>vdh</t>
        </is>
      </c>
      <c r="E980" t="inlineStr">
        <is>
          <t>pro17</t>
        </is>
      </c>
      <c r="F980" t="inlineStr">
        <is>
          <t>prod</t>
        </is>
      </c>
    </row>
    <row r="981">
      <c r="A981" t="inlineStr">
        <is>
          <t>2025-05-09 12:59:53.399</t>
        </is>
      </c>
      <c r="B981">
        <f>=请求结束== [请求耗时]:14毫秒, [返回数据]:{"code":"000000","msg":"Success","traceId":"906820c37c3c2dfe4c81391a416f3ef5"}</f>
        <v/>
      </c>
      <c r="C981" t="inlineStr">
        <is>
          <t>INFO</t>
        </is>
      </c>
      <c r="D981" t="inlineStr">
        <is>
          <t>vdh</t>
        </is>
      </c>
      <c r="E981" t="inlineStr">
        <is>
          <t>pro14</t>
        </is>
      </c>
      <c r="F981" t="inlineStr">
        <is>
          <t>prod</t>
        </is>
      </c>
    </row>
    <row r="982">
      <c r="A982" t="inlineStr">
        <is>
          <t>2025-05-09 12:59:53.385</t>
        </is>
      </c>
      <c r="B982">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knowledgeId":"","knowledgeMasterId":"","instructionType":"","instructionName":"","instructionFlag":"","parameter":"{}","ttsResultSource":"","ttsResult":"","response":0}]]</f>
        <v/>
      </c>
      <c r="C982" t="inlineStr">
        <is>
          <t>INFO</t>
        </is>
      </c>
      <c r="D982" t="inlineStr">
        <is>
          <t>vdh</t>
        </is>
      </c>
      <c r="E982" t="inlineStr">
        <is>
          <t>pro14</t>
        </is>
      </c>
      <c r="F982" t="inlineStr">
        <is>
          <t>prod</t>
        </is>
      </c>
    </row>
    <row r="983">
      <c r="A983" t="inlineStr">
        <is>
          <t>2025-05-09 12:57:23.766</t>
        </is>
      </c>
      <c r="B983">
        <f>=请求结束== [请求耗时]:15毫秒, [返回数据]:{"code":"000000","msg":"Success","traceId":"7c4c2e0df7b99506665a9deda7efc3a6"}</f>
        <v/>
      </c>
      <c r="C983" t="inlineStr">
        <is>
          <t>INFO</t>
        </is>
      </c>
      <c r="D983" t="inlineStr">
        <is>
          <t>vdh</t>
        </is>
      </c>
      <c r="E983" t="inlineStr">
        <is>
          <t>pro17</t>
        </is>
      </c>
      <c r="F983" t="inlineStr">
        <is>
          <t>prod</t>
        </is>
      </c>
    </row>
    <row r="984">
      <c r="A984" t="inlineStr">
        <is>
          <t>2025-05-09 12:57:23.751</t>
        </is>
      </c>
      <c r="B984">
        <f>=请求开始== [请求IP]:122.90.30.31 ,[请求方式]:POST， [请求URL]:https://172.30.103.196:8080/api/appservice/bfv/v1/chatHistory/batchSave, [请求类名]:com.yingzi.appservice.bfv.provider.rest.ChatHistoryController,[请求方法名]:batchSave, [请求头参数]:{"host":"172.30.103.196:8080"}, [请求参数]:[[{"userId":1357297858318413824,"deviceId":"64:79:F0:78:D0:43","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12,"minute":57,"second":18,"nano":0,"chronology":{"id":"ISO","calendarType":"iso8601"}},"response":1746766638525}]]</f>
        <v/>
      </c>
      <c r="C984" t="inlineStr">
        <is>
          <t>INFO</t>
        </is>
      </c>
      <c r="D984" t="inlineStr">
        <is>
          <t>vdh</t>
        </is>
      </c>
      <c r="E984" t="inlineStr">
        <is>
          <t>pro17</t>
        </is>
      </c>
      <c r="F984" t="inlineStr">
        <is>
          <t>prod</t>
        </is>
      </c>
    </row>
    <row r="985">
      <c r="A985" t="inlineStr">
        <is>
          <t>2025-05-09 12:56:22.202</t>
        </is>
      </c>
      <c r="B985">
        <f>=请求结束== [请求耗时]:16毫秒, [返回数据]:{"code":"000000","msg":"Success","traceId":"328b3a31b3d4e1da40b810b0445fa643"}</f>
        <v/>
      </c>
      <c r="C985" t="inlineStr">
        <is>
          <t>INFO</t>
        </is>
      </c>
      <c r="D985" t="inlineStr">
        <is>
          <t>vdh</t>
        </is>
      </c>
      <c r="E985" t="inlineStr">
        <is>
          <t>pro14</t>
        </is>
      </c>
      <c r="F985" t="inlineStr">
        <is>
          <t>prod</t>
        </is>
      </c>
    </row>
    <row r="986">
      <c r="A986" t="inlineStr">
        <is>
          <t>2025-05-09 12:56:22.187</t>
        </is>
      </c>
      <c r="B986">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Instruction_library","recordId":"","asrResult":"鱼头煲","instructionAsrFirstTime":{"year":2025,"monthValue":5,"month":"MAY","dayOfMonth":9,"dayOfYear":129,"dayOfWeek":"FRIDAY","hour":12,"minute":55,"second":51,"nano":0,"chronology":{"id":"ISO","calendarType":"iso8601"}},"knowledgeId":"","knowledgeMasterId":"295","instructionType":"COOKING","instructionName":"选择食物","instructionFlag":"set_foodtype","parameter":"{\"answer\":\"DEFAULT\",\"code\":\"set_foodtype\",\"continue_answer\":\"\",\"continue_failed_answer\":\"\",\"entities\":\"\",\"failed_answer\":\"{\\\"answerId\\\":\\\"\\\",\\\"value\\\":\\\"抱歉，执行失败\\\",\\\"hidb\\\":\\\"\\\",\\\"aplusId\\\":\\\"\\\",\\\"flag\\\":true,\\\"updFlag\\\":false,\\\"cache\\\":false}\",\"hitBusiness\":\"295\",\"init_state\":\"false\",\"intent\":\"选择食物\",\"intentType\":\"COOKING\",\"isEnd\":\"true\",\"isMulti\":\"false\",\"service\":\"Instruction_library\",\"succeed_answer\":\"{\\\"answerId\\\":\\\"\\\",\\\"value\\\":\\\"好嘞，小万会按照主人吩咐的烹饪哒\\\",\\\"hidb\\\":\\\"\\\",\\\"aplusId\\\":\\\"\\\",\\\"flag\\\":true,\\\"updFlag\\\":false,\\\"cache\\\":false}\"}","ttsResultSource":"FTT","ttsResult":"","response":0}]]</f>
        <v/>
      </c>
      <c r="C986" t="inlineStr">
        <is>
          <t>INFO</t>
        </is>
      </c>
      <c r="D986" t="inlineStr">
        <is>
          <t>vdh</t>
        </is>
      </c>
      <c r="E986" t="inlineStr">
        <is>
          <t>pro14</t>
        </is>
      </c>
      <c r="F986" t="inlineStr">
        <is>
          <t>prod</t>
        </is>
      </c>
    </row>
    <row r="987">
      <c r="A987" t="inlineStr">
        <is>
          <t>2025-05-09 12:55:48.577</t>
        </is>
      </c>
      <c r="B987">
        <f>=请求结束== [请求耗时]:15毫秒, [返回数据]:{"code":"000000","msg":"Success","traceId":"5bcb10cdc9c5ebfb0076a6d6baa917c8"}</f>
        <v/>
      </c>
      <c r="C987" t="inlineStr">
        <is>
          <t>INFO</t>
        </is>
      </c>
      <c r="D987" t="inlineStr">
        <is>
          <t>vdh</t>
        </is>
      </c>
      <c r="E987" t="inlineStr">
        <is>
          <t>pro17</t>
        </is>
      </c>
      <c r="F987" t="inlineStr">
        <is>
          <t>prod</t>
        </is>
      </c>
    </row>
    <row r="988">
      <c r="A988" t="inlineStr">
        <is>
          <t>2025-05-09 12:55:48.562</t>
        </is>
      </c>
      <c r="B988">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recordId":"","asrResult":"他说你刚才这么高的电影","instructionAsrFirstTime":{"year":2025,"monthValue":5,"month":"MAY","dayOfMonth":9,"dayOfYear":129,"dayOfWeek":"FRIDAY","hour":12,"minute":55,"second":19,"nano":0,"chronology":{"id":"ISO","calendarType":"iso8601"}},"knowledgeId":"","knowledgeMasterId":"","instructionType":"","instructionName":"","instructionFlag":"","parameter":"{}","ttsResultSource":"FTT","ttsResult":"","response":0}]]</f>
        <v/>
      </c>
      <c r="C988" t="inlineStr">
        <is>
          <t>INFO</t>
        </is>
      </c>
      <c r="D988" t="inlineStr">
        <is>
          <t>vdh</t>
        </is>
      </c>
      <c r="E988" t="inlineStr">
        <is>
          <t>pro17</t>
        </is>
      </c>
      <c r="F988" t="inlineStr">
        <is>
          <t>prod</t>
        </is>
      </c>
    </row>
    <row r="989">
      <c r="A989" t="inlineStr">
        <is>
          <t>2025-05-09 12:55:18.117</t>
        </is>
      </c>
      <c r="B989">
        <f>=请求结束== [请求耗时]:13毫秒, [返回数据]:{"code":"000000","msg":"Success","traceId":"04440b8a6081a9c5b5a7a0a28ae525f0"}</f>
        <v/>
      </c>
      <c r="C989" t="inlineStr">
        <is>
          <t>INFO</t>
        </is>
      </c>
      <c r="D989" t="inlineStr">
        <is>
          <t>vdh</t>
        </is>
      </c>
      <c r="E989" t="inlineStr">
        <is>
          <t>pro14</t>
        </is>
      </c>
      <c r="F989" t="inlineStr">
        <is>
          <t>prod</t>
        </is>
      </c>
    </row>
    <row r="990">
      <c r="A990" t="inlineStr">
        <is>
          <t>2025-05-09 12:55:18.104</t>
        </is>
      </c>
      <c r="B990">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knowledgeId":"","knowledgeMasterId":"","instructionType":"","instructionName":"","instructionFlag":"","parameter":"{}","ttsResultSource":"","ttsResult":"","response":0}]]</f>
        <v/>
      </c>
      <c r="C990" t="inlineStr">
        <is>
          <t>INFO</t>
        </is>
      </c>
      <c r="D990" t="inlineStr">
        <is>
          <t>vdh</t>
        </is>
      </c>
      <c r="E990" t="inlineStr">
        <is>
          <t>pro14</t>
        </is>
      </c>
      <c r="F990" t="inlineStr">
        <is>
          <t>prod</t>
        </is>
      </c>
    </row>
    <row r="991">
      <c r="A991" t="inlineStr">
        <is>
          <t>2025-05-09 12:55:05.679</t>
        </is>
      </c>
      <c r="B991">
        <f>=请求结束== [请求耗时]:18毫秒, [返回数据]:{"code":"000000","msg":"Success","traceId":"9f0a0d729dbbc0739eb0f4a8d50e67a5"}</f>
        <v/>
      </c>
      <c r="C991" t="inlineStr">
        <is>
          <t>INFO</t>
        </is>
      </c>
      <c r="D991" t="inlineStr">
        <is>
          <t>vdh</t>
        </is>
      </c>
      <c r="E991" t="inlineStr">
        <is>
          <t>pro17</t>
        </is>
      </c>
      <c r="F991" t="inlineStr">
        <is>
          <t>prod</t>
        </is>
      </c>
    </row>
    <row r="992">
      <c r="A992" t="inlineStr">
        <is>
          <t>2025-05-09 12:55:05.661</t>
        </is>
      </c>
      <c r="B992">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recordId":"","asrResult":"","knowledgeId":"","knowledgeMasterId":"","instructionType":"","instructionName":"","instructionFlag":"","parameter":"{}","ttsResultSource":"","ttsResult":"","response":0}]]</f>
        <v/>
      </c>
      <c r="C992" t="inlineStr">
        <is>
          <t>INFO</t>
        </is>
      </c>
      <c r="D992" t="inlineStr">
        <is>
          <t>vdh</t>
        </is>
      </c>
      <c r="E992" t="inlineStr">
        <is>
          <t>pro17</t>
        </is>
      </c>
      <c r="F992" t="inlineStr">
        <is>
          <t>prod</t>
        </is>
      </c>
    </row>
    <row r="993">
      <c r="A993" t="inlineStr">
        <is>
          <t>2025-05-09 12:54:33.195</t>
        </is>
      </c>
      <c r="B993">
        <f>=请求结束== [请求耗时]:20毫秒, [返回数据]:{"code":"000000","msg":"Success","traceId":"83eebf64f31a5a04e7a532d7819ed8fa"}</f>
        <v/>
      </c>
      <c r="C993" t="inlineStr">
        <is>
          <t>INFO</t>
        </is>
      </c>
      <c r="D993" t="inlineStr">
        <is>
          <t>vdh</t>
        </is>
      </c>
      <c r="E993" t="inlineStr">
        <is>
          <t>pro14</t>
        </is>
      </c>
      <c r="F993" t="inlineStr">
        <is>
          <t>prod</t>
        </is>
      </c>
    </row>
    <row r="994">
      <c r="A994" t="inlineStr">
        <is>
          <t>2025-05-09 12:54:33.175</t>
        </is>
      </c>
      <c r="B994">
        <f>=请求开始== [请求IP]:122.90.30.31 ,[请求方式]:POST， [请求URL]:https://172.30.212.148:8080/api/appservice/bfv/v1/chatHistory/batchSave, [请求类名]:com.yingzi.appservice.bfv.provider.rest.ChatHistoryController,[请求方法名]:batchSave, [请求头参数]:{"host":"172.30.212.148:8080"}, [请求参数]:[[{"userId":1357297858318413824,"deviceId":"F4:CE:23:BC:41:2F","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12,"minute":47,"second":22,"nano":0,"chronology":{"id":"ISO","calendarType":"iso8601"}},"response":1746766042790}]]</f>
        <v/>
      </c>
      <c r="C994" t="inlineStr">
        <is>
          <t>INFO</t>
        </is>
      </c>
      <c r="D994" t="inlineStr">
        <is>
          <t>vdh</t>
        </is>
      </c>
      <c r="E994" t="inlineStr">
        <is>
          <t>pro14</t>
        </is>
      </c>
      <c r="F994" t="inlineStr">
        <is>
          <t>prod</t>
        </is>
      </c>
    </row>
    <row r="995">
      <c r="A995" t="inlineStr">
        <is>
          <t>2025-05-09 12:46:25.279</t>
        </is>
      </c>
      <c r="B995">
        <f>=请求结束== [请求耗时]:18毫秒, [返回数据]:{"code":"000000","msg":"Success","traceId":"83c8aa5f00d638ad7f09cec6abadaa8a"}</f>
        <v/>
      </c>
      <c r="C995" t="inlineStr">
        <is>
          <t>INFO</t>
        </is>
      </c>
      <c r="D995" t="inlineStr">
        <is>
          <t>vdh</t>
        </is>
      </c>
      <c r="E995" t="inlineStr">
        <is>
          <t>pro17</t>
        </is>
      </c>
      <c r="F995" t="inlineStr">
        <is>
          <t>prod</t>
        </is>
      </c>
    </row>
    <row r="996">
      <c r="A996" t="inlineStr">
        <is>
          <t>2025-05-09 12:46:25.261</t>
        </is>
      </c>
      <c r="B996">
        <f>=请求开始== [请求IP]:59.172.13.185 ,[请求方式]:POST， [请求URL]:https://172.30.103.196:8080/api/appservice/bfv/v1/chatHistory/batchSave, [请求类名]:com.yingzi.appservice.bfv.provider.rest.ChatHistoryController,[请求方法名]:batchSave, [请求头参数]:{"host":"172.30.103.196:8080"}, [请求参数]:[[{"userId":769295539596840960,"deviceId":"28:D0:EA:88:00:81","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12,"minute":46,"second":20,"nano":0,"chronology":{"id":"ISO","calendarType":"iso8601"}},"response":1746765980010}]]</f>
        <v/>
      </c>
      <c r="C996" t="inlineStr">
        <is>
          <t>INFO</t>
        </is>
      </c>
      <c r="D996" t="inlineStr">
        <is>
          <t>vdh</t>
        </is>
      </c>
      <c r="E996" t="inlineStr">
        <is>
          <t>pro17</t>
        </is>
      </c>
      <c r="F996" t="inlineStr">
        <is>
          <t>prod</t>
        </is>
      </c>
    </row>
    <row r="997">
      <c r="A997" t="inlineStr">
        <is>
          <t>2025-05-09 12:43:29.426</t>
        </is>
      </c>
      <c r="B997">
        <f>=请求结束== [请求耗时]:14毫秒, [返回数据]:{"code":"000000","msg":"Success","traceId":"dc773ebc29597edc88d3e429613c1a01"}</f>
        <v/>
      </c>
      <c r="C997" t="inlineStr">
        <is>
          <t>INFO</t>
        </is>
      </c>
      <c r="D997" t="inlineStr">
        <is>
          <t>vdh</t>
        </is>
      </c>
      <c r="E997" t="inlineStr">
        <is>
          <t>pro14</t>
        </is>
      </c>
      <c r="F997" t="inlineStr">
        <is>
          <t>prod</t>
        </is>
      </c>
    </row>
    <row r="998">
      <c r="A998" t="inlineStr">
        <is>
          <t>2025-05-09 12:43:29.412</t>
        </is>
      </c>
      <c r="B998">
        <f>=请求开始== [请求IP]:122.90.30.31 ,[请求方式]:POST， [请求URL]:https://172.30.212.148:8080/api/appservice/bfv/v1/chatHistory/batchSave, [请求类名]:com.yingzi.appservice.bfv.provider.rest.ChatHistoryController,[请求方法名]:batchSave, [请求头参数]:{"host":"172.30.212.148:8080"}, [请求参数]:[[{"userId":1357297858318413824,"deviceId":"F4:CE:23:BC:41:2F","sessionId":"","avatarId":"11200220000208050000000000000000","appCode":"VDHtestWDC","instructionTemplateType":"","recordId":"","asrResult":"","knowledgeId":"","knowledgeMasterId":"","instructionType":"","instructionName":"","instructionFlag":"","parameter":"{}","ttsResultSource":"","ttsResult":"","response":0}]]</f>
        <v/>
      </c>
      <c r="C998" t="inlineStr">
        <is>
          <t>INFO</t>
        </is>
      </c>
      <c r="D998" t="inlineStr">
        <is>
          <t>vdh</t>
        </is>
      </c>
      <c r="E998" t="inlineStr">
        <is>
          <t>pro14</t>
        </is>
      </c>
      <c r="F998" t="inlineStr">
        <is>
          <t>prod</t>
        </is>
      </c>
    </row>
    <row r="999">
      <c r="A999" t="inlineStr">
        <is>
          <t>2025-05-09 12:42:39.245</t>
        </is>
      </c>
      <c r="B999">
        <f>=请求结束== [请求耗时]:15毫秒, [返回数据]:{"code":"000000","msg":"Success","traceId":"11430f640e37d410b747b7a96ae44e46"}</f>
        <v/>
      </c>
      <c r="C999" t="inlineStr">
        <is>
          <t>INFO</t>
        </is>
      </c>
      <c r="D999" t="inlineStr">
        <is>
          <t>vdh</t>
        </is>
      </c>
      <c r="E999" t="inlineStr">
        <is>
          <t>pro17</t>
        </is>
      </c>
      <c r="F999" t="inlineStr">
        <is>
          <t>prod</t>
        </is>
      </c>
    </row>
    <row r="1000">
      <c r="A1000" t="inlineStr">
        <is>
          <t>2025-05-09 12:42:39.230</t>
        </is>
      </c>
      <c r="B1000">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12,"minute":42,"second":31,"nano":0,"chronology":{"id":"ISO","calendarType":"iso8601"}},"response":192056}]]</f>
        <v/>
      </c>
      <c r="C1000" t="inlineStr">
        <is>
          <t>INFO</t>
        </is>
      </c>
      <c r="D1000" t="inlineStr">
        <is>
          <t>vdh</t>
        </is>
      </c>
      <c r="E1000" t="inlineStr">
        <is>
          <t>pro17</t>
        </is>
      </c>
      <c r="F1000" t="inlineStr">
        <is>
          <t>prod</t>
        </is>
      </c>
    </row>
    <row r="1001">
      <c r="A1001" t="inlineStr">
        <is>
          <t>2025-05-09 12:42:25.142</t>
        </is>
      </c>
      <c r="B1001">
        <f>=请求结束== [请求耗时]:15毫秒, [返回数据]:{"code":"000000","msg":"Success","traceId":"c91a8957485804056324d327fc65b090"}</f>
        <v/>
      </c>
      <c r="C1001" t="inlineStr">
        <is>
          <t>INFO</t>
        </is>
      </c>
      <c r="D1001" t="inlineStr">
        <is>
          <t>vdh</t>
        </is>
      </c>
      <c r="E1001" t="inlineStr">
        <is>
          <t>pro14</t>
        </is>
      </c>
      <c r="F1001" t="inlineStr">
        <is>
          <t>prod</t>
        </is>
      </c>
    </row>
    <row r="1002">
      <c r="A1002" t="inlineStr">
        <is>
          <t>2025-05-09 12:42:25.127</t>
        </is>
      </c>
      <c r="B1002">
        <f>=请求开始== [请求IP]:59.172.13.185 ,[请求方式]:POST， [请求URL]:https://172.30.212.148:8080/api/appservice/bfv/v1/chatHistory/batchSave, [请求类名]:com.yingzi.appservice.bfv.provider.rest.ChatHistoryController,[请求方法名]:batchSave, [请求头参数]:{"host":"172.30.212.148:8080"}, [请求参数]:[[{"userId":769295539596840960,"deviceId":"28:D0:EA:88:00:81","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12,"minute":42,"second":19,"nano":0,"chronology":{"id":"ISO","calendarType":"iso8601"}},"response":1746765739881}]]</f>
        <v/>
      </c>
      <c r="C1002" t="inlineStr">
        <is>
          <t>INFO</t>
        </is>
      </c>
      <c r="D1002" t="inlineStr">
        <is>
          <t>vdh</t>
        </is>
      </c>
      <c r="E1002" t="inlineStr">
        <is>
          <t>pro14</t>
        </is>
      </c>
      <c r="F1002" t="inlineStr">
        <is>
          <t>prod</t>
        </is>
      </c>
    </row>
    <row r="1003">
      <c r="A1003" t="inlineStr">
        <is>
          <t>2025-05-09 12:42:24.752</t>
        </is>
      </c>
      <c r="B1003">
        <f>=请求结束== [请求耗时]:16毫秒, [返回数据]:{"code":"000000","msg":"Success","traceId":"8441bc04f45a378acdad098ac83aad06"}</f>
        <v/>
      </c>
      <c r="C1003" t="inlineStr">
        <is>
          <t>INFO</t>
        </is>
      </c>
      <c r="D1003" t="inlineStr">
        <is>
          <t>vdh</t>
        </is>
      </c>
      <c r="E1003" t="inlineStr">
        <is>
          <t>pro17</t>
        </is>
      </c>
      <c r="F1003" t="inlineStr">
        <is>
          <t>prod</t>
        </is>
      </c>
    </row>
    <row r="1004">
      <c r="A1004" t="inlineStr">
        <is>
          <t>2025-05-09 12:42:24.736</t>
        </is>
      </c>
      <c r="B1004">
        <f>=请求开始== [请求IP]:122.90.30.31 ,[请求方式]:POST， [请求URL]:https://172.30.103.196:8080/api/appservice/bfv/v1/chatHistory/batchSave, [请求类名]:com.yingzi.appservice.bfv.provider.rest.ChatHistoryController,[请求方法名]:batchSave, [请求头参数]:{"host":"172.30.103.196:8080"}, [请求参数]:[[{"userId":1357297858318413824,"deviceId":"F4:CE:23:BC:41:2F","sessionId":"","avatarId":"11200220000208050000000000000000","appCode":"VDHtestWDC","instructionTemplateType":"","recordId":"","asrResult":"","knowledgeId":"","knowledgeMasterId":"","instructionType":"","instructionName":"","instructionFlag":"","parameter":"{}","ttsResultSource":"","ttsResult":"","response":0}]]</f>
        <v/>
      </c>
      <c r="C1004" t="inlineStr">
        <is>
          <t>INFO</t>
        </is>
      </c>
      <c r="D1004" t="inlineStr">
        <is>
          <t>vdh</t>
        </is>
      </c>
      <c r="E1004" t="inlineStr">
        <is>
          <t>pro17</t>
        </is>
      </c>
      <c r="F1004" t="inlineStr">
        <is>
          <t>prod</t>
        </is>
      </c>
    </row>
    <row r="1005">
      <c r="A1005" t="inlineStr">
        <is>
          <t>2025-05-09 12:42:18.727</t>
        </is>
      </c>
      <c r="B1005">
        <f>=请求结束== [请求耗时]:13毫秒, [返回数据]:{"code":"000000","msg":"Success","traceId":"00eb4af068380b194029ea181ac82603"}</f>
        <v/>
      </c>
      <c r="C1005" t="inlineStr">
        <is>
          <t>INFO</t>
        </is>
      </c>
      <c r="D1005" t="inlineStr">
        <is>
          <t>vdh</t>
        </is>
      </c>
      <c r="E1005" t="inlineStr">
        <is>
          <t>pro14</t>
        </is>
      </c>
      <c r="F1005" t="inlineStr">
        <is>
          <t>prod</t>
        </is>
      </c>
    </row>
    <row r="1006">
      <c r="A1006" t="inlineStr">
        <is>
          <t>2025-05-09 12:42:18.714</t>
        </is>
      </c>
      <c r="B1006">
        <f>=请求开始== [请求IP]:59.172.13.185 ,[请求方式]:POST， [请求URL]:https://172.30.212.148:8080/api/appservice/bfv/v1/chatHistory/batchSave, [请求类名]:com.yingzi.appservice.bfv.provider.rest.ChatHistoryController,[请求方法名]:batchSave, [请求头参数]:{"host":"172.30.212.148:8080"}, [请求参数]:[[{"userId":769295539596840960,"deviceId":"28:D0:EA:88:00:81","sessionId":"","avatarId":"11200220000208050000000000000000","appCode":"VDHtestWDC","instructionTemplateType":"","recordId":"","asrResult":"","knowledgeId":"","knowledgeMasterId":"","instructionType":"","instructionName":"","instructionFlag":"","parameter":"{}","ttsResultSource":"local","ttsResult":"小万发现了水饺或云吞,主人喜欢速冻水饺/云吞还是手工水饺/云吞口感","ttsResultTime":{"year":2025,"monthValue":5,"month":"MAY","dayOfMonth":9,"dayOfYear":129,"dayOfWeek":"FRIDAY","hour":12,"minute":42,"second":11,"nano":0,"chronology":{"id":"ISO","calendarType":"iso8601"}},"response":1746765731418}]]</f>
        <v/>
      </c>
      <c r="C1006" t="inlineStr">
        <is>
          <t>INFO</t>
        </is>
      </c>
      <c r="D1006" t="inlineStr">
        <is>
          <t>vdh</t>
        </is>
      </c>
      <c r="E1006" t="inlineStr">
        <is>
          <t>pro14</t>
        </is>
      </c>
      <c r="F1006" t="inlineStr">
        <is>
          <t>prod</t>
        </is>
      </c>
    </row>
    <row r="1007">
      <c r="A1007" t="inlineStr">
        <is>
          <t>2025-05-09 12:40:29.379</t>
        </is>
      </c>
      <c r="B1007">
        <f>=请求结束== [请求耗时]:13毫秒, [返回数据]:{"code":"000000","msg":"Success","traceId":"33d432058607c5d8ccdacdb9f7d81b4e"}</f>
        <v/>
      </c>
      <c r="C1007" t="inlineStr">
        <is>
          <t>INFO</t>
        </is>
      </c>
      <c r="D1007" t="inlineStr">
        <is>
          <t>vdh</t>
        </is>
      </c>
      <c r="E1007" t="inlineStr">
        <is>
          <t>pro17</t>
        </is>
      </c>
      <c r="F1007" t="inlineStr">
        <is>
          <t>prod</t>
        </is>
      </c>
    </row>
    <row r="1008">
      <c r="A1008" t="inlineStr">
        <is>
          <t>2025-05-09 12:40:29.366</t>
        </is>
      </c>
      <c r="B1008">
        <f>=请求开始== [请求IP]:122.90.30.31 ,[请求方式]:POST， [请求URL]:https://172.30.103.196:8080/api/appservice/bfv/v1/chatHistory/batchSave, [请求类名]:com.yingzi.appservice.bfv.provider.rest.ChatHistoryController,[请求方法名]:batchSave, [请求头参数]:{"host":"172.30.103.196:8080"}, [请求参数]:[[{"userId":1357297858318413824,"deviceId":"F4:CE:23:BC:41:2F","sessionId":"","avatarId":"11200220000208050000000000000000","appCode":"VDHtestWDC","instructionTemplateType":"","recordId":"","asrResult":"","knowledgeId":"","knowledgeMasterId":"","instructionType":"","instructionName":"","instructionFlag":"","parameter":"{}","ttsResultSource":"","ttsResult":"","response":0}]]</f>
        <v/>
      </c>
      <c r="C1008" t="inlineStr">
        <is>
          <t>INFO</t>
        </is>
      </c>
      <c r="D1008" t="inlineStr">
        <is>
          <t>vdh</t>
        </is>
      </c>
      <c r="E1008" t="inlineStr">
        <is>
          <t>pro17</t>
        </is>
      </c>
      <c r="F1008" t="inlineStr">
        <is>
          <t>prod</t>
        </is>
      </c>
    </row>
    <row r="1009">
      <c r="A1009" t="inlineStr">
        <is>
          <t>2025-05-09 12:39:43.219</t>
        </is>
      </c>
      <c r="B1009">
        <f>=请求结束== [请求耗时]:15毫秒, [返回数据]:{"code":"000000","msg":"Success","traceId":"0ffca0a7216875c4cbfe67e68d4b57ca"}</f>
        <v/>
      </c>
      <c r="C1009" t="inlineStr">
        <is>
          <t>INFO</t>
        </is>
      </c>
      <c r="D1009" t="inlineStr">
        <is>
          <t>vdh</t>
        </is>
      </c>
      <c r="E1009" t="inlineStr">
        <is>
          <t>pro14</t>
        </is>
      </c>
      <c r="F1009" t="inlineStr">
        <is>
          <t>prod</t>
        </is>
      </c>
    </row>
    <row r="1010">
      <c r="A1010" t="inlineStr">
        <is>
          <t>2025-05-09 12:39:43.204</t>
        </is>
      </c>
      <c r="B1010">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砂锅鱼头","instructionAsrFirstTime":{"year":2025,"monthValue":5,"month":"MAY","dayOfMonth":9,"dayOfYear":129,"dayOfWeek":"FRIDAY","hour":12,"minute":39,"second":18,"nano":0,"chronology":{"id":"ISO","calendarType":"iso8601"}},"knowledgeId":"","knowledgeMasterId":"","instructionType":"","instructionName":"","instructionFlag":"","parameter":"{}","ttsResultSource":"local","ttsResult":"","response":0}]]</f>
        <v/>
      </c>
      <c r="C1010" t="inlineStr">
        <is>
          <t>INFO</t>
        </is>
      </c>
      <c r="D1010" t="inlineStr">
        <is>
          <t>vdh</t>
        </is>
      </c>
      <c r="E1010" t="inlineStr">
        <is>
          <t>pro14</t>
        </is>
      </c>
      <c r="F1010" t="inlineStr">
        <is>
          <t>prod</t>
        </is>
      </c>
    </row>
    <row r="1011">
      <c r="A1011" t="inlineStr">
        <is>
          <t>2025-05-09 12:39:00.035</t>
        </is>
      </c>
      <c r="B1011">
        <f>=请求结束== [请求耗时]:15毫秒, [返回数据]:{"code":"000000","msg":"Success","traceId":"f4645a74d450aee03e77fe8eb4e255d1"}</f>
        <v/>
      </c>
      <c r="C1011" t="inlineStr">
        <is>
          <t>INFO</t>
        </is>
      </c>
      <c r="D1011" t="inlineStr">
        <is>
          <t>vdh</t>
        </is>
      </c>
      <c r="E1011" t="inlineStr">
        <is>
          <t>pro17</t>
        </is>
      </c>
      <c r="F1011" t="inlineStr">
        <is>
          <t>prod</t>
        </is>
      </c>
    </row>
    <row r="1012">
      <c r="A1012" t="inlineStr">
        <is>
          <t>2025-05-09 12:39:00.020</t>
        </is>
      </c>
      <c r="B1012">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recordId":"","asrResult":"砂锅鱼头","instructionAsrFirstTime":{"year":2025,"monthValue":5,"month":"MAY","dayOfMonth":9,"dayOfYear":129,"dayOfWeek":"FRIDAY","hour":12,"minute":38,"second":32,"nano":0,"chronology":{"id":"ISO","calendarType":"iso8601"}},"knowledgeId":"","knowledgeMasterId":"","instructionType":"","instructionName":"","instructionFlag":"","parameter":"{}","ttsResultSource":"local","ttsResult":"","response":0}]]</f>
        <v/>
      </c>
      <c r="C1012" t="inlineStr">
        <is>
          <t>INFO</t>
        </is>
      </c>
      <c r="D1012" t="inlineStr">
        <is>
          <t>vdh</t>
        </is>
      </c>
      <c r="E1012" t="inlineStr">
        <is>
          <t>pro17</t>
        </is>
      </c>
      <c r="F1012" t="inlineStr">
        <is>
          <t>prod</t>
        </is>
      </c>
    </row>
    <row r="1013">
      <c r="A1013" t="inlineStr">
        <is>
          <t>2025-05-09 12:38:09.831</t>
        </is>
      </c>
      <c r="B1013">
        <f>=请求结束== [请求耗时]:12毫秒, [返回数据]:{"code":"000000","msg":"Success","traceId":"038d170187bbeda1b92d949b4e28b631"}</f>
        <v/>
      </c>
      <c r="C1013" t="inlineStr">
        <is>
          <t>INFO</t>
        </is>
      </c>
      <c r="D1013" t="inlineStr">
        <is>
          <t>vdh</t>
        </is>
      </c>
      <c r="E1013" t="inlineStr">
        <is>
          <t>pro14</t>
        </is>
      </c>
      <c r="F1013" t="inlineStr">
        <is>
          <t>prod</t>
        </is>
      </c>
    </row>
    <row r="1014">
      <c r="A1014" t="inlineStr">
        <is>
          <t>2025-05-09 12:38:09.819</t>
        </is>
      </c>
      <c r="B1014">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64:79:F0:FF:50:55","sessionId":"","avatarId":"11200220000208050000000000000000","appCode":"VDHtestWDC","instructionTemplateType":"","recordId":"","asrResult":"沙煲鱼头","instructionAsrFirstTime":{"year":2025,"monthValue":5,"month":"MAY","dayOfMonth":9,"dayOfYear":129,"dayOfWeek":"FRIDAY","hour":12,"minute":37,"second":46,"nano":0,"chronology":{"id":"ISO","calendarType":"iso8601"}},"knowledgeId":"","knowledgeMasterId":"","instructionType":"","instructionName":"","instructionFlag":"","parameter":"{}","ttsResultSource":"local","ttsResult":"网络开小差了,请稍后再试","ttsResultTime":{"year":2025,"monthValue":5,"month":"MAY","dayOfMonth":9,"dayOfYear":129,"dayOfWeek":"FRIDAY","hour":12,"minute":38,"second":4,"nano":0,"chronology":{"id":"ISO","calendarType":"iso8601"}},"response":16533}]]</f>
        <v/>
      </c>
      <c r="C1014" t="inlineStr">
        <is>
          <t>INFO</t>
        </is>
      </c>
      <c r="D1014" t="inlineStr">
        <is>
          <t>vdh</t>
        </is>
      </c>
      <c r="E1014" t="inlineStr">
        <is>
          <t>pro14</t>
        </is>
      </c>
      <c r="F1014" t="inlineStr">
        <is>
          <t>prod</t>
        </is>
      </c>
    </row>
    <row r="1015">
      <c r="A1015" t="inlineStr">
        <is>
          <t>2025-05-09 12:37:46.230</t>
        </is>
      </c>
      <c r="B1015">
        <f>=请求结束== [请求耗时]:16毫秒, [返回数据]:{"code":"000000","msg":"Success","traceId":"4b38291e75e8550a33530e1e05771621"}</f>
        <v/>
      </c>
      <c r="C1015" t="inlineStr">
        <is>
          <t>INFO</t>
        </is>
      </c>
      <c r="D1015" t="inlineStr">
        <is>
          <t>vdh</t>
        </is>
      </c>
      <c r="E1015" t="inlineStr">
        <is>
          <t>pro17</t>
        </is>
      </c>
      <c r="F1015" t="inlineStr">
        <is>
          <t>prod</t>
        </is>
      </c>
    </row>
    <row r="1016">
      <c r="A1016" t="inlineStr">
        <is>
          <t>2025-05-09 12:37:46.214</t>
        </is>
      </c>
      <c r="B1016">
        <f>=请求开始== [请求IP]:221.7.183.174 ,[请求方式]:POST， [请求URL]:https://172.30.103.196:8080/api/appservice/bfv/v1/chatHistory/batchSave, [请求类名]:com.yingzi.appservice.bfv.provider.rest.ChatHistoryController,[请求方法名]:batchSave, [请求头参数]:{"host":"172.30.103.196:8080"}, [请求参数]:[[{"userId":903284569758654466,"deviceId":"64:79:F0:FF:50:55","sessionId":"","avatarId":"11200220000208050000000000000000","appCode":"VDHtestWDC","instructionTemplateType":"","recordId":"","asrResult":"","knowledgeId":"","knowledgeMasterId":"","instructionType":"","instructionName":"","instructionFlag":"","parameter":"{}","ttsResultSource":"","ttsResult":"","response":0}]]</f>
        <v/>
      </c>
      <c r="C1016" t="inlineStr">
        <is>
          <t>INFO</t>
        </is>
      </c>
      <c r="D1016" t="inlineStr">
        <is>
          <t>vdh</t>
        </is>
      </c>
      <c r="E1016" t="inlineStr">
        <is>
          <t>pro17</t>
        </is>
      </c>
      <c r="F1016" t="inlineStr">
        <is>
          <t>prod</t>
        </is>
      </c>
    </row>
    <row r="1017">
      <c r="A1017" t="inlineStr">
        <is>
          <t>2025-05-09 12:34:10.147</t>
        </is>
      </c>
      <c r="B1017">
        <f>=请求结束== [请求耗时]:15毫秒, [返回数据]:{"code":"000000","msg":"Success","traceId":"f57595f0f3cec75fe0341897c8ac819d"}</f>
        <v/>
      </c>
      <c r="C1017" t="inlineStr">
        <is>
          <t>INFO</t>
        </is>
      </c>
      <c r="D1017" t="inlineStr">
        <is>
          <t>vdh</t>
        </is>
      </c>
      <c r="E1017" t="inlineStr">
        <is>
          <t>pro14</t>
        </is>
      </c>
      <c r="F1017" t="inlineStr">
        <is>
          <t>prod</t>
        </is>
      </c>
    </row>
    <row r="1018">
      <c r="A1018" t="inlineStr">
        <is>
          <t>2025-05-09 12:34:10.132</t>
        </is>
      </c>
      <c r="B1018">
        <f>=请求开始== [请求IP]:116.8.73.136 ,[请求方式]:POST， [请求URL]:https://172.30.212.148:8080/api/appservice/bfv/v1/chatHistory/batchSave, [请求类名]:com.yingzi.appservice.bfv.provider.rest.ChatHistoryController,[请求方法名]:batchSave, [请求头参数]:{"host":"172.30.212.148:8080"}, [请求参数]:[[{"userId":977200869129551872,"deviceId":"28:D0:EA:87:38:B8","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12,"minute":34,"second":4,"nano":0,"chronology":{"id":"ISO","calendarType":"iso8601"}},"response":1746765244962}]]</f>
        <v/>
      </c>
      <c r="C1018" t="inlineStr">
        <is>
          <t>INFO</t>
        </is>
      </c>
      <c r="D1018" t="inlineStr">
        <is>
          <t>vdh</t>
        </is>
      </c>
      <c r="E1018" t="inlineStr">
        <is>
          <t>pro14</t>
        </is>
      </c>
      <c r="F1018" t="inlineStr">
        <is>
          <t>prod</t>
        </is>
      </c>
    </row>
    <row r="1019">
      <c r="A1019" t="inlineStr">
        <is>
          <t>2025-05-09 12:33:34.286</t>
        </is>
      </c>
      <c r="B1019">
        <f>=请求结束== [请求耗时]:15毫秒, [返回数据]:{"code":"000000","msg":"Success","traceId":"558e36b992cea1288d74280a21bc3b3b"}</f>
        <v/>
      </c>
      <c r="C1019" t="inlineStr">
        <is>
          <t>INFO</t>
        </is>
      </c>
      <c r="D1019" t="inlineStr">
        <is>
          <t>vdh</t>
        </is>
      </c>
      <c r="E1019" t="inlineStr">
        <is>
          <t>pro17</t>
        </is>
      </c>
      <c r="F1019" t="inlineStr">
        <is>
          <t>prod</t>
        </is>
      </c>
    </row>
    <row r="1020">
      <c r="A1020" t="inlineStr">
        <is>
          <t>2025-05-09 12:33:34.271</t>
        </is>
      </c>
      <c r="B1020">
        <f>=请求开始== [请求IP]:116.8.73.136 ,[请求方式]:POST， [请求URL]:https://172.30.103.196:8080/api/appservice/bfv/v1/chatHistory/batchSave, [请求类名]:com.yingzi.appservice.bfv.provider.rest.ChatHistoryController,[请求方法名]:batchSave, [请求头参数]:{"host":"172.30.103.196:8080"}, [请求参数]:[[{"userId":977200869129551872,"deviceId":"28:D0:EA:87:38:B8","sessionId":"","avatarId":"11200220000208050000000000000000","appCode":"VDHtestWDC","instructionTemplateType":"","recordId":"","asrResult":"","knowledgeId":"","knowledgeMasterId":"","instructionType":"","instructionName":"","instructionFlag":"","parameter":"{}","ttsResultSource":"local","ttsResult":"好嘞,已经按照推荐的温度调好了,要帮主人开始烹饪吗","ttsResultTime":{"year":2025,"monthValue":5,"month":"MAY","dayOfMonth":9,"dayOfYear":129,"dayOfWeek":"FRIDAY","hour":12,"minute":33,"second":27,"nano":0,"chronology":{"id":"ISO","calendarType":"iso8601"}},"response":1746765207134}]]</f>
        <v/>
      </c>
      <c r="C1020" t="inlineStr">
        <is>
          <t>INFO</t>
        </is>
      </c>
      <c r="D1020" t="inlineStr">
        <is>
          <t>vdh</t>
        </is>
      </c>
      <c r="E1020" t="inlineStr">
        <is>
          <t>pro17</t>
        </is>
      </c>
      <c r="F1020" t="inlineStr">
        <is>
          <t>prod</t>
        </is>
      </c>
    </row>
    <row r="1021">
      <c r="A1021" t="inlineStr">
        <is>
          <t>2025-05-09 12:31:21.948</t>
        </is>
      </c>
      <c r="B1021">
        <f>=请求结束== [请求耗时]:13毫秒, [返回数据]:{"code":"000000","msg":"Success","traceId":"ba2aca07bb55cf8423d66bcda3ee5c51"}</f>
        <v/>
      </c>
      <c r="C1021" t="inlineStr">
        <is>
          <t>INFO</t>
        </is>
      </c>
      <c r="D1021" t="inlineStr">
        <is>
          <t>vdh</t>
        </is>
      </c>
      <c r="E1021" t="inlineStr">
        <is>
          <t>pro17</t>
        </is>
      </c>
      <c r="F1021" t="inlineStr">
        <is>
          <t>prod</t>
        </is>
      </c>
    </row>
    <row r="1022">
      <c r="A1022" t="inlineStr">
        <is>
          <t>2025-05-09 12:31:21.935</t>
        </is>
      </c>
      <c r="B1022">
        <f>=请求开始== [请求IP]:122.90.30.31 ,[请求方式]:POST， [请求URL]:https://172.30.103.196:8080/api/appservice/bfv/v1/chatHistory/batchSave, [请求类名]:com.yingzi.appservice.bfv.provider.rest.ChatHistoryController,[请求方法名]:batchSave, [请求头参数]:{"host":"172.30.103.196:8080"}, [请求参数]:[[{"userId":1357297858318413824,"deviceId":"F4:CE:23:BC:41:2F","sessionId":"","avatarId":"11200220000208050000000000000000","appCode":"VDHtestWDC","instructionTemplateType":"","recordId":"","asrResult":"","knowledgeId":"","knowledgeMasterId":"","instructionType":"","instructionName":"","instructionFlag":"","parameter":"{}","ttsResultSource":"","ttsResult":"","response":0}]]</f>
        <v/>
      </c>
      <c r="C1022" t="inlineStr">
        <is>
          <t>INFO</t>
        </is>
      </c>
      <c r="D1022" t="inlineStr">
        <is>
          <t>vdh</t>
        </is>
      </c>
      <c r="E1022" t="inlineStr">
        <is>
          <t>pro17</t>
        </is>
      </c>
      <c r="F1022" t="inlineStr">
        <is>
          <t>prod</t>
        </is>
      </c>
    </row>
    <row r="1023">
      <c r="A1023" t="inlineStr">
        <is>
          <t>2025-05-09 12:29:15.464</t>
        </is>
      </c>
      <c r="B1023">
        <f>=请求结束== [请求耗时]:14毫秒, [返回数据]:{"code":"000000","msg":"Success","traceId":"c884ac847e768a4933c67f194340c498"}</f>
        <v/>
      </c>
      <c r="C1023" t="inlineStr">
        <is>
          <t>INFO</t>
        </is>
      </c>
      <c r="D1023" t="inlineStr">
        <is>
          <t>vdh</t>
        </is>
      </c>
      <c r="E1023" t="inlineStr">
        <is>
          <t>pro14</t>
        </is>
      </c>
      <c r="F1023" t="inlineStr">
        <is>
          <t>prod</t>
        </is>
      </c>
    </row>
    <row r="1024">
      <c r="A1024" t="inlineStr">
        <is>
          <t>2025-05-09 12:29:15.450</t>
        </is>
      </c>
      <c r="B1024">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84:5C:F3:27:DE:40","sessionId":"","avatarId":"11200220000208050000000000000000","appCode":"VDHtestWDC","instructionTemplateType":"","recordId":"","asrResult":"","knowledgeId":"","knowledgeMasterId":"","instructionType":"","instructionName":"","instructionFlag":"","parameter":"{}","ttsResultSource":"local","ttsResult":"","response":0}]]</f>
        <v/>
      </c>
      <c r="C1024" t="inlineStr">
        <is>
          <t>INFO</t>
        </is>
      </c>
      <c r="D1024" t="inlineStr">
        <is>
          <t>vdh</t>
        </is>
      </c>
      <c r="E1024" t="inlineStr">
        <is>
          <t>pro14</t>
        </is>
      </c>
      <c r="F1024" t="inlineStr">
        <is>
          <t>prod</t>
        </is>
      </c>
    </row>
    <row r="1025">
      <c r="A1025" t="inlineStr">
        <is>
          <t>2025-05-09 12:28:33.610</t>
        </is>
      </c>
      <c r="B1025">
        <f>=请求结束== [请求耗时]:11毫秒, [返回数据]:{"code":"000000","msg":"Success","traceId":"84f409b9c01ffccd6aaec0bc3258fda8"}</f>
        <v/>
      </c>
      <c r="C1025" t="inlineStr">
        <is>
          <t>INFO</t>
        </is>
      </c>
      <c r="D1025" t="inlineStr">
        <is>
          <t>vdh</t>
        </is>
      </c>
      <c r="E1025" t="inlineStr">
        <is>
          <t>pro17</t>
        </is>
      </c>
      <c r="F1025" t="inlineStr">
        <is>
          <t>prod</t>
        </is>
      </c>
    </row>
    <row r="1026">
      <c r="A1026" t="inlineStr">
        <is>
          <t>2025-05-09 12:28:33.599</t>
        </is>
      </c>
      <c r="B1026">
        <f>=请求开始== [请求IP]:116.8.73.136 ,[请求方式]:POST， [请求URL]:https://172.30.103.196:8080/api/appservice/bfv/v1/chatHistory/batchSave, [请求类名]:com.yingzi.appservice.bfv.provider.rest.ChatHistoryController,[请求方法名]:batchSave, [请求头参数]:{"host":"172.30.103.196:8080"}, [请求参数]:[[{"userId":977200869129551872,"deviceId":"28:D0:EA:87:38:B8","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12,"minute":28,"second":27,"nano":0,"chronology":{"id":"ISO","calendarType":"iso8601"}},"response":1746764907381}]]</f>
        <v/>
      </c>
      <c r="C1026" t="inlineStr">
        <is>
          <t>INFO</t>
        </is>
      </c>
      <c r="D1026" t="inlineStr">
        <is>
          <t>vdh</t>
        </is>
      </c>
      <c r="E1026" t="inlineStr">
        <is>
          <t>pro17</t>
        </is>
      </c>
      <c r="F1026" t="inlineStr">
        <is>
          <t>prod</t>
        </is>
      </c>
    </row>
    <row r="1027">
      <c r="A1027" t="inlineStr">
        <is>
          <t>2025-05-09 12:25:34.672</t>
        </is>
      </c>
      <c r="B1027">
        <f>=请求结束== [请求耗时]:16毫秒, [返回数据]:{"code":"000000","msg":"Success","traceId":"f8797a7d9039e9513d2a2ec8a561eca8"}</f>
        <v/>
      </c>
      <c r="C1027" t="inlineStr">
        <is>
          <t>INFO</t>
        </is>
      </c>
      <c r="D1027" t="inlineStr">
        <is>
          <t>vdh</t>
        </is>
      </c>
      <c r="E1027" t="inlineStr">
        <is>
          <t>pro14</t>
        </is>
      </c>
      <c r="F1027" t="inlineStr">
        <is>
          <t>prod</t>
        </is>
      </c>
    </row>
    <row r="1028">
      <c r="A1028" t="inlineStr">
        <is>
          <t>2025-05-09 12:25:34.656</t>
        </is>
      </c>
      <c r="B1028">
        <f>=请求开始== [请求IP]:116.8.73.136 ,[请求方式]:POST， [请求URL]:https://172.30.212.148:8080/api/appservice/bfv/v1/chatHistory/batchSave, [请求类名]:com.yingzi.appservice.bfv.provider.rest.ChatHistoryController,[请求方法名]:batchSave, [请求头参数]:{"host":"172.30.212.148:8080"}, [请求参数]:[[{"userId":977200869129551872,"deviceId":"28:D0:EA:87:38:B8","sessionId":"","avatarId":"11200220000208050000000000000000","appCode":"VDHtestWDC","instructionTemplateType":"","recordId":"","asrResult":"","knowledgeId":"","knowledgeMasterId":"","instructionType":"","instructionName":"","instructionFlag":"","parameter":"{}","ttsResultSource":"local","ttsResult":"好的开始烹饪,请耐心等待","ttsResultTime":{"year":2025,"monthValue":5,"month":"MAY","dayOfMonth":8,"dayOfYear":128,"dayOfWeek":"THURSDAY","hour":19,"minute":10,"second":22,"nano":0,"chronology":{"id":"ISO","calendarType":"iso8601"}},"response":1746702622051}]]</f>
        <v/>
      </c>
      <c r="C1028" t="inlineStr">
        <is>
          <t>INFO</t>
        </is>
      </c>
      <c r="D1028" t="inlineStr">
        <is>
          <t>vdh</t>
        </is>
      </c>
      <c r="E1028" t="inlineStr">
        <is>
          <t>pro14</t>
        </is>
      </c>
      <c r="F1028" t="inlineStr">
        <is>
          <t>prod</t>
        </is>
      </c>
    </row>
    <row r="1029">
      <c r="A1029" t="inlineStr">
        <is>
          <t>2025-05-09 12:23:08.927</t>
        </is>
      </c>
      <c r="B1029">
        <f>=请求结束== [请求耗时]:13毫秒, [返回数据]:{"code":"000000","msg":"Success","traceId":"76db1699def3fc5855a5da346352fd15"}</f>
        <v/>
      </c>
      <c r="C1029" t="inlineStr">
        <is>
          <t>INFO</t>
        </is>
      </c>
      <c r="D1029" t="inlineStr">
        <is>
          <t>vdh</t>
        </is>
      </c>
      <c r="E1029" t="inlineStr">
        <is>
          <t>pro17</t>
        </is>
      </c>
      <c r="F1029" t="inlineStr">
        <is>
          <t>prod</t>
        </is>
      </c>
    </row>
    <row r="1030">
      <c r="A1030" t="inlineStr">
        <is>
          <t>2025-05-09 12:23:08.914</t>
        </is>
      </c>
      <c r="B1030">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84:5C:F3:27:DE:40","sessionId":"","avatarId":"11200220000208050000000000000000","appCode":"VDHtestWDC","instructionTemplateType":"","recordId":"","asrResult":"","knowledgeId":"","knowledgeMasterId":"","instructionType":"","instructionName":"","instructionFlag":"","parameter":"{}","ttsResultSource":"","ttsResult":"","response":0}]]</f>
        <v/>
      </c>
      <c r="C1030" t="inlineStr">
        <is>
          <t>INFO</t>
        </is>
      </c>
      <c r="D1030" t="inlineStr">
        <is>
          <t>vdh</t>
        </is>
      </c>
      <c r="E1030" t="inlineStr">
        <is>
          <t>pro17</t>
        </is>
      </c>
      <c r="F1030" t="inlineStr">
        <is>
          <t>prod</t>
        </is>
      </c>
    </row>
    <row r="1031">
      <c r="A1031" t="inlineStr">
        <is>
          <t>2025-05-09 12:21:42.602</t>
        </is>
      </c>
      <c r="B1031">
        <f>=请求结束== [请求耗时]:15毫秒, [返回数据]:{"code":"000000","msg":"Success","traceId":"747c24e131c8f03e00201c6b90049b87"}</f>
        <v/>
      </c>
      <c r="C1031" t="inlineStr">
        <is>
          <t>INFO</t>
        </is>
      </c>
      <c r="D1031" t="inlineStr">
        <is>
          <t>vdh</t>
        </is>
      </c>
      <c r="E1031" t="inlineStr">
        <is>
          <t>pro14</t>
        </is>
      </c>
      <c r="F1031" t="inlineStr">
        <is>
          <t>prod</t>
        </is>
      </c>
    </row>
    <row r="1032">
      <c r="A1032" t="inlineStr">
        <is>
          <t>2025-05-09 12:21:42.587</t>
        </is>
      </c>
      <c r="B1032">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84:5C:F3:27:DE:40","sessionId":"","avatarId":"11200220000208050000000000000000","appCode":"VDHtestWDC","instructionTemplateType":"","recordId":"","asrResult":"","knowledgeId":"","knowledgeMasterId":"","instructionType":"","instructionName":"","instructionFlag":"","parameter":"{}","ttsResultSource":"","ttsResult":"","response":0}]]</f>
        <v/>
      </c>
      <c r="C1032" t="inlineStr">
        <is>
          <t>INFO</t>
        </is>
      </c>
      <c r="D1032" t="inlineStr">
        <is>
          <t>vdh</t>
        </is>
      </c>
      <c r="E1032" t="inlineStr">
        <is>
          <t>pro14</t>
        </is>
      </c>
      <c r="F1032" t="inlineStr">
        <is>
          <t>prod</t>
        </is>
      </c>
    </row>
    <row r="1033">
      <c r="A1033" t="inlineStr">
        <is>
          <t>2025-05-09 12:21:39.035</t>
        </is>
      </c>
      <c r="B1033">
        <f>=请求结束== [请求耗时]:13毫秒, [返回数据]:{"code":"000000","msg":"Success","traceId":"8c04d48f5c9460bba8d51752ce1bfe9c"}</f>
        <v/>
      </c>
      <c r="C1033" t="inlineStr">
        <is>
          <t>INFO</t>
        </is>
      </c>
      <c r="D1033" t="inlineStr">
        <is>
          <t>vdh</t>
        </is>
      </c>
      <c r="E1033" t="inlineStr">
        <is>
          <t>pro17</t>
        </is>
      </c>
      <c r="F1033" t="inlineStr">
        <is>
          <t>prod</t>
        </is>
      </c>
    </row>
    <row r="1034">
      <c r="A1034" t="inlineStr">
        <is>
          <t>2025-05-09 12:21:39.022</t>
        </is>
      </c>
      <c r="B1034">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64:79:F0:79:7A:16","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12,"minute":21,"second":29,"nano":0,"chronology":{"id":"ISO","calendarType":"iso8601"}},"response":1746764489298}]]</f>
        <v/>
      </c>
      <c r="C1034" t="inlineStr">
        <is>
          <t>INFO</t>
        </is>
      </c>
      <c r="D1034" t="inlineStr">
        <is>
          <t>vdh</t>
        </is>
      </c>
      <c r="E1034" t="inlineStr">
        <is>
          <t>pro17</t>
        </is>
      </c>
      <c r="F1034" t="inlineStr">
        <is>
          <t>prod</t>
        </is>
      </c>
    </row>
    <row r="1035">
      <c r="A1035" t="inlineStr">
        <is>
          <t>2025-05-09 12:21:21.051</t>
        </is>
      </c>
      <c r="B1035">
        <f>=请求结束== [请求耗时]:14毫秒, [返回数据]:{"code":"000000","msg":"Success","traceId":"e0b0e20a95f7d17d2d2f7253e5a67ddf"}</f>
        <v/>
      </c>
      <c r="C1035" t="inlineStr">
        <is>
          <t>INFO</t>
        </is>
      </c>
      <c r="D1035" t="inlineStr">
        <is>
          <t>vdh</t>
        </is>
      </c>
      <c r="E1035" t="inlineStr">
        <is>
          <t>pro14</t>
        </is>
      </c>
      <c r="F1035" t="inlineStr">
        <is>
          <t>prod</t>
        </is>
      </c>
    </row>
    <row r="1036">
      <c r="A1036" t="inlineStr">
        <is>
          <t>2025-05-09 12:21:21.037</t>
        </is>
      </c>
      <c r="B1036">
        <f>=请求开始== [请求IP]:36.159.36.2 ,[请求方式]:POST， [请求URL]:https://172.30.212.148:8080/api/appservice/bfv/v1/chatHistory/batchSave, [请求类名]:com.yingzi.appservice.bfv.provider.rest.ChatHistoryController,[请求方法名]:batchSave, [请求头参数]:{"host":"172.30.212.148:8080"}, [请求参数]:[[{"userId":908023034477584385,"deviceId":"1C:99:57:15:E5:F5","sessionId":"","avatarId":"11200210000333800000000000000000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12,"minute":21,"second":14,"nano":0,"chronology":{"id":"ISO","calendarType":"iso8601"}},"response":1746764474858}]]</f>
        <v/>
      </c>
      <c r="C1036" t="inlineStr">
        <is>
          <t>INFO</t>
        </is>
      </c>
      <c r="D1036" t="inlineStr">
        <is>
          <t>vdh</t>
        </is>
      </c>
      <c r="E1036" t="inlineStr">
        <is>
          <t>pro14</t>
        </is>
      </c>
      <c r="F1036" t="inlineStr">
        <is>
          <t>prod</t>
        </is>
      </c>
    </row>
    <row r="1037">
      <c r="A1037" t="inlineStr">
        <is>
          <t>2025-05-09 12:20:27.991</t>
        </is>
      </c>
      <c r="B1037">
        <f>=请求结束== [请求耗时]:11毫秒, [返回数据]:{"code":"000000","msg":"Success","traceId":"33d7d2202db4e8501d66188f1c6f370b"}</f>
        <v/>
      </c>
      <c r="C1037" t="inlineStr">
        <is>
          <t>INFO</t>
        </is>
      </c>
      <c r="D1037" t="inlineStr">
        <is>
          <t>vdh</t>
        </is>
      </c>
      <c r="E1037" t="inlineStr">
        <is>
          <t>pro17</t>
        </is>
      </c>
      <c r="F1037" t="inlineStr">
        <is>
          <t>prod</t>
        </is>
      </c>
    </row>
    <row r="1038">
      <c r="A1038" t="inlineStr">
        <is>
          <t>2025-05-09 12:20:27.980</t>
        </is>
      </c>
      <c r="B1038">
        <f>=请求开始== [请求IP]:122.90.30.31 ,[请求方式]:POST， [请求URL]:https://172.30.103.196:8080/api/appservice/bfv/v1/chatHistory/batchSave, [请求类名]:com.yingzi.appservice.bfv.provider.rest.ChatHistoryController,[请求方法名]:batchSave, [请求头参数]:{"host":"172.30.103.196:8080"}, [请求参数]:[[{"userId":1357297858318413824,"deviceId":"F4:CE:23:BC:41:2F","sessionId":"","avatarId":"11200220000208050000000000000000","appCode":"VDHtestWDC","instructionTemplateType":"","recordId":"","asrResult":"","knowledgeId":"","knowledgeMasterId":"","instructionType":"","instructionName":"","instructionFlag":"","parameter":"{}","ttsResultSource":"","ttsResult":"","response":0}]]</f>
        <v/>
      </c>
      <c r="C1038" t="inlineStr">
        <is>
          <t>INFO</t>
        </is>
      </c>
      <c r="D1038" t="inlineStr">
        <is>
          <t>vdh</t>
        </is>
      </c>
      <c r="E1038" t="inlineStr">
        <is>
          <t>pro17</t>
        </is>
      </c>
      <c r="F1038" t="inlineStr">
        <is>
          <t>prod</t>
        </is>
      </c>
    </row>
    <row r="1039">
      <c r="A1039" t="inlineStr">
        <is>
          <t>2025-05-09 12:19:53.619</t>
        </is>
      </c>
      <c r="B1039">
        <f>=请求结束== [请求耗时]:13毫秒, [返回数据]:{"code":"000000","msg":"Success","traceId":"d225ff012499f70069ae5d7d03daa569"}</f>
        <v/>
      </c>
      <c r="C1039" t="inlineStr">
        <is>
          <t>INFO</t>
        </is>
      </c>
      <c r="D1039" t="inlineStr">
        <is>
          <t>vdh</t>
        </is>
      </c>
      <c r="E1039" t="inlineStr">
        <is>
          <t>pro14</t>
        </is>
      </c>
      <c r="F1039" t="inlineStr">
        <is>
          <t>prod</t>
        </is>
      </c>
    </row>
    <row r="1040">
      <c r="A1040" t="inlineStr">
        <is>
          <t>2025-05-09 12:19:53.606</t>
        </is>
      </c>
      <c r="B1040">
        <f>=请求开始== [请求IP]:36.159.36.2 ,[请求方式]:POST， [请求URL]:https://172.30.212.148:8080/api/appservice/bfv/v1/chatHistory/batchSave, [请求类名]:com.yingzi.appservice.bfv.provider.rest.ChatHistoryController,[请求方法名]:batchSave, [请求头参数]:{"host":"172.30.212.148:8080"}, [请求参数]:[[{"userId":908023034477584385,"deviceId":"1C:99:57:15:E5:F5","sessionId":"","avatarId":"11200210000333800000000000000000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12,"minute":19,"second":38,"nano":0,"chronology":{"id":"ISO","calendarType":"iso8601"}},"response":1746764378042}]]</f>
        <v/>
      </c>
      <c r="C1040" t="inlineStr">
        <is>
          <t>INFO</t>
        </is>
      </c>
      <c r="D1040" t="inlineStr">
        <is>
          <t>vdh</t>
        </is>
      </c>
      <c r="E1040" t="inlineStr">
        <is>
          <t>pro14</t>
        </is>
      </c>
      <c r="F1040" t="inlineStr">
        <is>
          <t>prod</t>
        </is>
      </c>
    </row>
    <row r="1041">
      <c r="A1041" t="inlineStr">
        <is>
          <t>2025-05-09 12:19:53.600</t>
        </is>
      </c>
      <c r="B1041">
        <f>=请求结束== [请求耗时]:16毫秒, [返回数据]:{"code":"000000","msg":"Success","traceId":"7da6ae0821919148df193fab35bff391"}</f>
        <v/>
      </c>
      <c r="C1041" t="inlineStr">
        <is>
          <t>INFO</t>
        </is>
      </c>
      <c r="D1041" t="inlineStr">
        <is>
          <t>vdh</t>
        </is>
      </c>
      <c r="E1041" t="inlineStr">
        <is>
          <t>pro17</t>
        </is>
      </c>
      <c r="F1041" t="inlineStr">
        <is>
          <t>prod</t>
        </is>
      </c>
    </row>
    <row r="1042">
      <c r="A1042" t="inlineStr">
        <is>
          <t>2025-05-09 12:19:53.584</t>
        </is>
      </c>
      <c r="B1042">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84:5C:F3:27:DE:40","sessionId":"","avatarId":"11200220000208050000000000000000","appCode":"VDHtestWDC","instructionTemplateType":"","recordId":"","asrResult":"","knowledgeId":"","knowledgeMasterId":"","instructionType":"","instructionName":"","instructionFlag":"","parameter":"{}","ttsResultSource":"local","ttsResult":"好的","ttsResultTime":{"year":2025,"monthValue":5,"month":"MAY","dayOfMonth":9,"dayOfYear":129,"dayOfWeek":"FRIDAY","hour":12,"minute":19,"second":44,"nano":0,"chronology":{"id":"ISO","calendarType":"iso8601"}},"response":1746764384257}]]</f>
        <v/>
      </c>
      <c r="C1042" t="inlineStr">
        <is>
          <t>INFO</t>
        </is>
      </c>
      <c r="D1042" t="inlineStr">
        <is>
          <t>vdh</t>
        </is>
      </c>
      <c r="E1042" t="inlineStr">
        <is>
          <t>pro17</t>
        </is>
      </c>
      <c r="F1042" t="inlineStr">
        <is>
          <t>prod</t>
        </is>
      </c>
    </row>
    <row r="1043">
      <c r="A1043" t="inlineStr">
        <is>
          <t>2025-05-09 12:18:48.418</t>
        </is>
      </c>
      <c r="B1043">
        <f>=请求结束== [请求耗时]:15毫秒, [返回数据]:{"code":"000000","msg":"Success","traceId":"9c22577ebae6660d5faa0bdb2cfc7eb8"}</f>
        <v/>
      </c>
      <c r="C1043" t="inlineStr">
        <is>
          <t>INFO</t>
        </is>
      </c>
      <c r="D1043" t="inlineStr">
        <is>
          <t>vdh</t>
        </is>
      </c>
      <c r="E1043" t="inlineStr">
        <is>
          <t>pro14</t>
        </is>
      </c>
      <c r="F1043" t="inlineStr">
        <is>
          <t>prod</t>
        </is>
      </c>
    </row>
    <row r="1044">
      <c r="A1044" t="inlineStr">
        <is>
          <t>2025-05-09 12:18:48.404</t>
        </is>
      </c>
      <c r="B1044">
        <f>=请求开始== [请求IP]:122.90.30.31 ,[请求方式]:POST， [请求URL]:https://172.30.212.148:8080/api/appservice/bfv/v1/chatHistory/batchSave, [请求类名]:com.yingzi.appservice.bfv.provider.rest.ChatHistoryController,[请求方法名]:batchSave, [请求头参数]:{"host":"172.30.212.148:8080"}, [请求参数]:[[{"userId":1357297858318413824,"deviceId":"F4:CE:23:BC:41:2F","sessionId":"","avatarId":"11200220000208050000000000000000","appCode":"VDHtestWDC","instructionTemplateType":"","recordId":"","asrResult":"","knowledgeId":"","knowledgeMasterId":"","instructionType":"","instructionName":"","instructionFlag":"","parameter":"{}","ttsResultSource":"","ttsResult":"","response":0}]]</f>
        <v/>
      </c>
      <c r="C1044" t="inlineStr">
        <is>
          <t>INFO</t>
        </is>
      </c>
      <c r="D1044" t="inlineStr">
        <is>
          <t>vdh</t>
        </is>
      </c>
      <c r="E1044" t="inlineStr">
        <is>
          <t>pro14</t>
        </is>
      </c>
      <c r="F1044" t="inlineStr">
        <is>
          <t>prod</t>
        </is>
      </c>
    </row>
    <row r="1045">
      <c r="A1045" t="inlineStr">
        <is>
          <t>2025-05-09 12:15:56.828</t>
        </is>
      </c>
      <c r="B1045">
        <f>=请求结束== [请求耗时]:17毫秒, [返回数据]:{"code":"000000","msg":"Success","traceId":"cf59badb1b837cc8827f9346e2867b36"}</f>
        <v/>
      </c>
      <c r="C1045" t="inlineStr">
        <is>
          <t>INFO</t>
        </is>
      </c>
      <c r="D1045" t="inlineStr">
        <is>
          <t>vdh</t>
        </is>
      </c>
      <c r="E1045" t="inlineStr">
        <is>
          <t>pro17</t>
        </is>
      </c>
      <c r="F1045" t="inlineStr">
        <is>
          <t>prod</t>
        </is>
      </c>
    </row>
    <row r="1046">
      <c r="A1046" t="inlineStr">
        <is>
          <t>2025-05-09 12:15:56.812</t>
        </is>
      </c>
      <c r="B1046">
        <f>=请求开始== [请求IP]:36.159.36.2 ,[请求方式]:POST， [请求URL]:https://172.30.103.196:8080/api/appservice/bfv/v1/chatHistory/batchSave, [请求类名]:com.yingzi.appservice.bfv.provider.rest.ChatHistoryController,[请求方法名]:batchSave, [请求头参数]:{"host":"172.30.103.196:8080"}, [请求参数]:[[{"userId":908023034477584385,"deviceId":"1C:99:57:15:E5:F5","sessionId":"","avatarId":"11200210000333800000000000000000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12,"minute":15,"second":52,"nano":0,"chronology":{"id":"ISO","calendarType":"iso8601"}},"response":1746764152304}]]</f>
        <v/>
      </c>
      <c r="C1046" t="inlineStr">
        <is>
          <t>INFO</t>
        </is>
      </c>
      <c r="D1046" t="inlineStr">
        <is>
          <t>vdh</t>
        </is>
      </c>
      <c r="E1046" t="inlineStr">
        <is>
          <t>pro17</t>
        </is>
      </c>
      <c r="F1046" t="inlineStr">
        <is>
          <t>prod</t>
        </is>
      </c>
    </row>
    <row r="1047">
      <c r="A1047" t="inlineStr">
        <is>
          <t>2025-05-09 12:14:15.033</t>
        </is>
      </c>
      <c r="B1047">
        <f>=请求结束== [请求耗时]:14毫秒, [返回数据]:{"code":"000000","msg":"Success","traceId":"0ef861b7a411a6e8aed8d16116ea7a40"}</f>
        <v/>
      </c>
      <c r="C1047" t="inlineStr">
        <is>
          <t>INFO</t>
        </is>
      </c>
      <c r="D1047" t="inlineStr">
        <is>
          <t>vdh</t>
        </is>
      </c>
      <c r="E1047" t="inlineStr">
        <is>
          <t>pro14</t>
        </is>
      </c>
      <c r="F1047" t="inlineStr">
        <is>
          <t>prod</t>
        </is>
      </c>
    </row>
    <row r="1048">
      <c r="A1048" t="inlineStr">
        <is>
          <t>2025-05-09 12:14:15.019</t>
        </is>
      </c>
      <c r="B1048">
        <f>=请求开始== [请求IP]:221.7.181.82 ,[请求方式]:POST， [请求URL]:https://172.30.212.148:8080/api/appservice/bfv/v1/chatHistory/batchSave, [请求类名]:com.yingzi.appservice.bfv.provider.rest.ChatHistoryController,[请求方法名]:batchSave, [请求头参数]:{"host":"172.30.212.148:8080"}, [请求参数]:[[{"userId":755038032968744960,"deviceId":"14:18:C3:DC:27:65","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12,"minute":14,"second":9,"nano":0,"chronology":{"id":"ISO","calendarType":"iso8601"}},"response":1746764049628}]]</f>
        <v/>
      </c>
      <c r="C1048" t="inlineStr">
        <is>
          <t>INFO</t>
        </is>
      </c>
      <c r="D1048" t="inlineStr">
        <is>
          <t>vdh</t>
        </is>
      </c>
      <c r="E1048" t="inlineStr">
        <is>
          <t>pro14</t>
        </is>
      </c>
      <c r="F1048" t="inlineStr">
        <is>
          <t>prod</t>
        </is>
      </c>
    </row>
    <row r="1049">
      <c r="A1049" t="inlineStr">
        <is>
          <t>2025-05-09 12:09:16.205</t>
        </is>
      </c>
      <c r="B1049">
        <f>=请求结束== [请求耗时]:19毫秒, [返回数据]:{"code":"000000","msg":"Success","traceId":"3896879ad8049e96ec161506e756f88f"}</f>
        <v/>
      </c>
      <c r="C1049" t="inlineStr">
        <is>
          <t>INFO</t>
        </is>
      </c>
      <c r="D1049" t="inlineStr">
        <is>
          <t>vdh</t>
        </is>
      </c>
      <c r="E1049" t="inlineStr">
        <is>
          <t>pro14</t>
        </is>
      </c>
      <c r="F1049" t="inlineStr">
        <is>
          <t>prod</t>
        </is>
      </c>
    </row>
    <row r="1050">
      <c r="A1050" t="inlineStr">
        <is>
          <t>2025-05-09 12:09:16.187</t>
        </is>
      </c>
      <c r="B1050">
        <f>=请求开始== [请求IP]:221.7.181.82 ,[请求方式]:POST， [请求URL]:https://172.30.212.148:8080/api/appservice/bfv/v1/chatHistory/batchSave, [请求类名]:com.yingzi.appservice.bfv.provider.rest.ChatHistoryController,[请求方法名]:batchSave, [请求头参数]:{"host":"172.30.212.148:8080"}, [请求参数]:[[{"userId":755038032968744960,"deviceId":"14:18:C3:DC:27:65","sessionId":"","avatarId":"11200220000208050000000000000000","appCode":"VDHtestWDC","instructionTemplateType":"","recordId":"","asrResult":"","knowledgeId":"","knowledgeMasterId":"","instructionType":"","instructionName":"","instructionFlag":"","parameter":"{}","ttsResultSource":"local","ttsResult":"小万发现了菜心,主人喜欢白菜心还是油菜心口感开始烹饪,请耐心等待","ttsResultTime":{"year":2025,"monthValue":5,"month":"MAY","dayOfMonth":9,"dayOfYear":129,"dayOfWeek":"FRIDAY","hour":12,"minute":9,"second":3,"nano":0,"chronology":{"id":"ISO","calendarType":"iso8601"}},"response":1746763743072}]]</f>
        <v/>
      </c>
      <c r="C1050" t="inlineStr">
        <is>
          <t>INFO</t>
        </is>
      </c>
      <c r="D1050" t="inlineStr">
        <is>
          <t>vdh</t>
        </is>
      </c>
      <c r="E1050" t="inlineStr">
        <is>
          <t>pro14</t>
        </is>
      </c>
      <c r="F1050" t="inlineStr">
        <is>
          <t>prod</t>
        </is>
      </c>
    </row>
    <row r="1051">
      <c r="A1051" t="inlineStr">
        <is>
          <t>2025-05-09 12:08:16.205</t>
        </is>
      </c>
      <c r="B1051">
        <f>=请求结束== [请求耗时]:14毫秒, [返回数据]:{"code":"000000","msg":"Success","traceId":"aff31bdbf237b26254cce5a7113ae49f"}</f>
        <v/>
      </c>
      <c r="C1051" t="inlineStr">
        <is>
          <t>INFO</t>
        </is>
      </c>
      <c r="D1051" t="inlineStr">
        <is>
          <t>vdh</t>
        </is>
      </c>
      <c r="E1051" t="inlineStr">
        <is>
          <t>pro17</t>
        </is>
      </c>
      <c r="F1051" t="inlineStr">
        <is>
          <t>prod</t>
        </is>
      </c>
    </row>
    <row r="1052">
      <c r="A1052" t="inlineStr">
        <is>
          <t>2025-05-09 12:08:16.192</t>
        </is>
      </c>
      <c r="B1052">
        <f>=请求开始== [请求IP]:218.17.115.163 ,[请求方式]:POST， [请求URL]:https://172.30.103.196:8080/api/appservice/bfv/v1/chatHistory/batchSave, [请求类名]:com.yingzi.appservice.bfv.provider.rest.ChatHistoryController,[请求方法名]:batchSave, [请求头参数]:{"host":"172.30.103.196:8080"}, [请求参数]:[[{"userId":763793440584638464,"deviceId":"1C:99:57:17:5E:17","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12,"minute":8,"second":2,"nano":0,"chronology":{"id":"ISO","calendarType":"iso8601"}},"response":1746763682768}]]</f>
        <v/>
      </c>
      <c r="C1052" t="inlineStr">
        <is>
          <t>INFO</t>
        </is>
      </c>
      <c r="D1052" t="inlineStr">
        <is>
          <t>vdh</t>
        </is>
      </c>
      <c r="E1052" t="inlineStr">
        <is>
          <t>pro17</t>
        </is>
      </c>
      <c r="F1052" t="inlineStr">
        <is>
          <t>prod</t>
        </is>
      </c>
    </row>
    <row r="1053">
      <c r="A1053" t="inlineStr">
        <is>
          <t>2025-05-09 12:07:36.174</t>
        </is>
      </c>
      <c r="B1053">
        <f>=请求结束== [请求耗时]:15毫秒, [返回数据]:{"code":"000000","msg":"Success","traceId":"61cfc2da4756c6994adc4e88175738d4"}</f>
        <v/>
      </c>
      <c r="C1053" t="inlineStr">
        <is>
          <t>INFO</t>
        </is>
      </c>
      <c r="D1053" t="inlineStr">
        <is>
          <t>vdh</t>
        </is>
      </c>
      <c r="E1053" t="inlineStr">
        <is>
          <t>pro14</t>
        </is>
      </c>
      <c r="F1053" t="inlineStr">
        <is>
          <t>prod</t>
        </is>
      </c>
    </row>
    <row r="1054">
      <c r="A1054" t="inlineStr">
        <is>
          <t>2025-05-09 12:07:36.159</t>
        </is>
      </c>
      <c r="B1054">
        <f>=请求开始== [请求IP]:112.0.142.15 ,[请求方式]:POST， [请求URL]:https://172.30.212.148:8080/api/appservice/bfv/v1/chatHistory/batchSave, [请求类名]:com.yingzi.appservice.bfv.provider.rest.ChatHistoryController,[请求方法名]:batchSave, [请求头参数]:{"host":"172.30.212.148:8080"}, [请求参数]:[[{"userId":1350071574707671040,"deviceId":"28:D0:EA:87:99:9D","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12,"minute":7,"second":30,"nano":0,"chronology":{"id":"ISO","calendarType":"iso8601"}},"response":1746763650757}]]</f>
        <v/>
      </c>
      <c r="C1054" t="inlineStr">
        <is>
          <t>INFO</t>
        </is>
      </c>
      <c r="D1054" t="inlineStr">
        <is>
          <t>vdh</t>
        </is>
      </c>
      <c r="E1054" t="inlineStr">
        <is>
          <t>pro14</t>
        </is>
      </c>
      <c r="F1054" t="inlineStr">
        <is>
          <t>prod</t>
        </is>
      </c>
    </row>
    <row r="1055">
      <c r="A1055" t="inlineStr">
        <is>
          <t>2025-05-09 12:06:51.921</t>
        </is>
      </c>
      <c r="B1055">
        <f>=请求结束== [请求耗时]:13毫秒, [返回数据]:{"code":"000000","msg":"Success","traceId":"8f14477350511a76fdf293f92e81b78d"}</f>
        <v/>
      </c>
      <c r="C1055" t="inlineStr">
        <is>
          <t>INFO</t>
        </is>
      </c>
      <c r="D1055" t="inlineStr">
        <is>
          <t>vdh</t>
        </is>
      </c>
      <c r="E1055" t="inlineStr">
        <is>
          <t>pro17</t>
        </is>
      </c>
      <c r="F1055" t="inlineStr">
        <is>
          <t>prod</t>
        </is>
      </c>
    </row>
    <row r="1056">
      <c r="A1056" t="inlineStr">
        <is>
          <t>2025-05-09 12:06:51.908</t>
        </is>
      </c>
      <c r="B1056">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64:79:F0:79:7A:16","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12,"minute":6,"second":46,"nano":0,"chronology":{"id":"ISO","calendarType":"iso8601"}},"response":1746763606594}]]</f>
        <v/>
      </c>
      <c r="C1056" t="inlineStr">
        <is>
          <t>INFO</t>
        </is>
      </c>
      <c r="D1056" t="inlineStr">
        <is>
          <t>vdh</t>
        </is>
      </c>
      <c r="E1056" t="inlineStr">
        <is>
          <t>pro17</t>
        </is>
      </c>
      <c r="F1056" t="inlineStr">
        <is>
          <t>prod</t>
        </is>
      </c>
    </row>
    <row r="1057">
      <c r="A1057" t="inlineStr">
        <is>
          <t>2025-05-09 12:06:01.457</t>
        </is>
      </c>
      <c r="B1057">
        <f>=请求结束== [请求耗时]:14毫秒, [返回数据]:{"code":"000000","msg":"Success","traceId":"dbb55b7d6ce3b457dcc5e77f3b108eca"}</f>
        <v/>
      </c>
      <c r="C1057" t="inlineStr">
        <is>
          <t>INFO</t>
        </is>
      </c>
      <c r="D1057" t="inlineStr">
        <is>
          <t>vdh</t>
        </is>
      </c>
      <c r="E1057" t="inlineStr">
        <is>
          <t>pro17</t>
        </is>
      </c>
      <c r="F1057" t="inlineStr">
        <is>
          <t>prod</t>
        </is>
      </c>
    </row>
    <row r="1058">
      <c r="A1058" t="inlineStr">
        <is>
          <t>2025-05-09 12:06:01.443</t>
        </is>
      </c>
      <c r="B1058">
        <f>=请求开始== [请求IP]:218.17.115.163 ,[请求方式]:POST， [请求URL]:https://172.30.103.196:8080/api/appservice/bfv/v1/chatHistory/batchSave, [请求类名]:com.yingzi.appservice.bfv.provider.rest.ChatHistoryController,[请求方法名]:batchSave, [请求头参数]:{"host":"172.30.103.196:8080"}, [请求参数]:[[{"userId":763793440584638464,"deviceId":"1C:99:57:17:5E:17","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12,"minute":5,"second":56,"nano":0,"chronology":{"id":"ISO","calendarType":"iso8601"}},"response":1746763556170}]]</f>
        <v/>
      </c>
      <c r="C1058" t="inlineStr">
        <is>
          <t>INFO</t>
        </is>
      </c>
      <c r="D1058" t="inlineStr">
        <is>
          <t>vdh</t>
        </is>
      </c>
      <c r="E1058" t="inlineStr">
        <is>
          <t>pro17</t>
        </is>
      </c>
      <c r="F1058" t="inlineStr">
        <is>
          <t>prod</t>
        </is>
      </c>
    </row>
    <row r="1059">
      <c r="A1059" t="inlineStr">
        <is>
          <t>2025-05-09 12:05:51.875</t>
        </is>
      </c>
      <c r="B1059">
        <f>=请求结束== [请求耗时]:9毫秒, [返回数据]:{"code":"000000","msg":"Success","traceId":"60b34de332e299233f8d2effabe42e2f"}</f>
        <v/>
      </c>
      <c r="C1059" t="inlineStr">
        <is>
          <t>INFO</t>
        </is>
      </c>
      <c r="D1059" t="inlineStr">
        <is>
          <t>vdh</t>
        </is>
      </c>
      <c r="E1059" t="inlineStr">
        <is>
          <t>pro14</t>
        </is>
      </c>
      <c r="F1059" t="inlineStr">
        <is>
          <t>prod</t>
        </is>
      </c>
    </row>
    <row r="1060">
      <c r="A1060" t="inlineStr">
        <is>
          <t>2025-05-09 12:05:51.866</t>
        </is>
      </c>
      <c r="B1060">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recordId":"","asrResult":"","knowledgeId":"","knowledgeMasterId":"","instructionType":"","instructionName":"","instructionFlag":"","parameter":"{}","ttsResultSource":"local","ttsResult":"","response":0}]]</f>
        <v/>
      </c>
      <c r="C1060" t="inlineStr">
        <is>
          <t>INFO</t>
        </is>
      </c>
      <c r="D1060" t="inlineStr">
        <is>
          <t>vdh</t>
        </is>
      </c>
      <c r="E1060" t="inlineStr">
        <is>
          <t>pro14</t>
        </is>
      </c>
      <c r="F1060" t="inlineStr">
        <is>
          <t>prod</t>
        </is>
      </c>
    </row>
    <row r="1061">
      <c r="A1061" t="inlineStr">
        <is>
          <t>2025-05-09 12:05:29.446</t>
        </is>
      </c>
      <c r="B1061">
        <f>=请求结束== [请求耗时]:12毫秒, [返回数据]:{"code":"000000","msg":"Success","traceId":"967323d48f680645a1799cab90021d87"}</f>
        <v/>
      </c>
      <c r="C1061" t="inlineStr">
        <is>
          <t>INFO</t>
        </is>
      </c>
      <c r="D1061" t="inlineStr">
        <is>
          <t>vdh</t>
        </is>
      </c>
      <c r="E1061" t="inlineStr">
        <is>
          <t>pro17</t>
        </is>
      </c>
      <c r="F1061" t="inlineStr">
        <is>
          <t>prod</t>
        </is>
      </c>
    </row>
    <row r="1062">
      <c r="A1062" t="inlineStr">
        <is>
          <t>2025-05-09 12:05:29.434</t>
        </is>
      </c>
      <c r="B1062">
        <f>=请求开始== [请求IP]:218.17.115.163 ,[请求方式]:POST， [请求URL]:https://172.30.103.196:8080/api/appservice/bfv/v1/chatHistory/batchSave, [请求类名]:com.yingzi.appservice.bfv.provider.rest.ChatHistoryController,[请求方法名]:batchSave, [请求头参数]:{"host":"172.30.103.196:8080"}, [请求参数]:[[{"userId":763793440584638464,"deviceId":"1C:99:57:15:5F:C7","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12,"minute":5,"second":23,"nano":0,"chronology":{"id":"ISO","calendarType":"iso8601"}},"response":1746763523990}]]</f>
        <v/>
      </c>
      <c r="C1062" t="inlineStr">
        <is>
          <t>INFO</t>
        </is>
      </c>
      <c r="D1062" t="inlineStr">
        <is>
          <t>vdh</t>
        </is>
      </c>
      <c r="E1062" t="inlineStr">
        <is>
          <t>pro17</t>
        </is>
      </c>
      <c r="F1062" t="inlineStr">
        <is>
          <t>prod</t>
        </is>
      </c>
    </row>
    <row r="1063">
      <c r="A1063" t="inlineStr">
        <is>
          <t>2025-05-09 12:04:58.149</t>
        </is>
      </c>
      <c r="B1063">
        <f>=请求结束== [请求耗时]:16毫秒, [返回数据]:{"code":"000000","msg":"Success","traceId":"e18d3f01c5789e27ade21c85be98de1b"}</f>
        <v/>
      </c>
      <c r="C1063" t="inlineStr">
        <is>
          <t>INFO</t>
        </is>
      </c>
      <c r="D1063" t="inlineStr">
        <is>
          <t>vdh</t>
        </is>
      </c>
      <c r="E1063" t="inlineStr">
        <is>
          <t>pro14</t>
        </is>
      </c>
      <c r="F1063" t="inlineStr">
        <is>
          <t>prod</t>
        </is>
      </c>
    </row>
    <row r="1064">
      <c r="A1064" t="inlineStr">
        <is>
          <t>2025-05-09 12:04:58.133</t>
        </is>
      </c>
      <c r="B1064">
        <f>=请求开始== [请求IP]:119.32.28.2 ,[请求方式]:POST， [请求URL]:https://172.30.212.148:8080/api/appservice/bfv/v1/chatHistory/batchSave, [请求类名]:com.yingzi.appservice.bfv.provider.rest.ChatHistoryController,[请求方法名]:batchSave, [请求头参数]:{"host":"172.30.212.148:8080"}, [请求参数]:[[{"userId":1125440324555161600,"deviceId":"64:79:F0:79:7B:33","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12,"minute":4,"second":52,"nano":0,"chronology":{"id":"ISO","calendarType":"iso8601"}},"response":1746763492904}]]</f>
        <v/>
      </c>
      <c r="C1064" t="inlineStr">
        <is>
          <t>INFO</t>
        </is>
      </c>
      <c r="D1064" t="inlineStr">
        <is>
          <t>vdh</t>
        </is>
      </c>
      <c r="E1064" t="inlineStr">
        <is>
          <t>pro14</t>
        </is>
      </c>
      <c r="F1064" t="inlineStr">
        <is>
          <t>prod</t>
        </is>
      </c>
    </row>
    <row r="1065">
      <c r="A1065" t="inlineStr">
        <is>
          <t>2025-05-09 12:04:51.761</t>
        </is>
      </c>
      <c r="B1065">
        <f>=请求结束== [请求耗时]:627毫秒, [返回数据]:{"code":"000000","msg":"Success","data":[{"knowledgeId":"1310573539587891200","knowledgeContent":[{"score":0.891875188,"content":"实时天气","fileId":"1328421153719672832","chunkId":"1","textGroup":"getCurrentWeather"},{"score":0.8583017792,"content":"播报新闻","fileId":"1328421153719672832","chunkId":"52","textGroup":"news {type=top,size=3}"},{"score":0.8494582352,"content":"播报剩余时间","fileId":"1310974251075973120","chunkId":"32","textGroup":"remaining_cooking_time_query"},{"score":0.8405343396,"content":"贵港明天天气","fileId":"1328421153719672832","chunkId":"31","textGroup":"getCurrentWeather {province=广西壮族自治区,city=贵港市}"},{"score":0.8356941036000001,"content":"深圳明天天气","fileId":"1328421153719672832","chunkId":"42","textGroup":"getCurrentWeather {province=广东省,city=深圳市}"},{"score":0.8356834475999999,"content":"广州明天天气","fileId":"1328421153719672832","chunkId":"36","textGroup":"getCurrentWeather {province=广东省,city=广州市}"},{"score":0.662651712,"content":"北京今天天气","fileId":"1328421153719672832","chunkId":"49","textGroup":"getCurrentWeather {province=北京市}"},{"score":0.6616036799999999,"content":"通州区今天天气","fileId":"1328421153719672832","chunkId":"50","textGroup":"getCurrentWeather {province=北京市,district=通州区}"},{"score":0.66098574,"content":"天河区今天天气","fileId":"1328421153719672832","chunkId":"37","textGroup":"getCurrentWeather {province=广东省,city=广州市,district=天河区}"},{"score":0.659498292,"content":"港北区今天天气","fileId":"1328421153719672832","chunkId":"33","textGroup":"getCurrentWeather {province=广西壮族自治区,city=贵港市,district=港北区}"},{"score":0.658263348,"content":"港南区今天天气","fileId":"1328421153719672832","chunkId":"32","textGroup":"getCurrentWeather {province=广西壮族自治区,city=贵港市,district=港南区}"},{"score":0.65682792,"content":"罗湖区今天天气","fileId":"1328421153719672832","chunkId":"45","textGroup":"getCurrentWeather {province=广东省,city=深圳市,district=罗湖区}"},{"score":0.6565179959999999,"content":"光明区今天天气","fileId":"1328421153719672832","chunkId":"47","textGroup":"getCurrentWeather {province=广东省,city=深圳市,district=光明区}"},{"score":0.655747776,"content":"白云区今天天气","fileId":"1328421153719672832","chunkId":"40","textGroup":"getCurrentWeather {province=广东省,city=广州市,district=白云区}"},{"score":0.654676524,"content":"宝安区今天天气","fileId":"1328421153719672832","chunkId":"44","textGroup":"getCurrentWeather {province=广东省,city=深圳市,district=宝安区}"},{"score":0.653603364,"content":"南沙区今天天气","fileId":"1328421153719672832","chunkId":"38","textGroup":"getCurrentWeather {province=广东省,city=广州市,district=南沙区}"},{"score":0.6525844199999999,"content":"南宁今天天气","fileId":"1328421153719672832","chunkId":"48","textGroup":"getCurrentWeather {province=广西壮族自治区,city=南宁市}"},{"score":0.652040316,"content":"番禺区今天天气","fileId":"1328421153719672832","chunkId":"39","textGroup":"getCurrentWeather {province=广东省,city=广州市,district=番禺区}"},{"score":0.651865536,"content":"南山区今天天气","fileId":"1328421153719672832","chunkId":"43","textGroup":"getCurrentWeather {province=广东省,city=深圳市,district=南山区}"},{"score":0.649990656,"content":"龙华区今天天气","fileId":"1328421153719672832","chunkId":"46","textGroup":"getCurrentWeather {province=广东省,city=深圳市,district=龙华区}"}]}]}</f>
        <v/>
      </c>
      <c r="C1065" t="inlineStr">
        <is>
          <t>INFO</t>
        </is>
      </c>
      <c r="D1065" t="inlineStr">
        <is>
          <t>vdh</t>
        </is>
      </c>
      <c r="E1065" t="inlineStr">
        <is>
          <t>pro17</t>
        </is>
      </c>
      <c r="F1065" t="inlineStr">
        <is>
          <t>prod</t>
        </is>
      </c>
    </row>
    <row r="1066">
      <c r="A1066" t="inlineStr">
        <is>
          <t>2025-05-09 12:04:51.760</t>
        </is>
      </c>
      <c r="B1066" t="inlineStr">
        <is>
          <t>知识库插件检索耗时: 625ms</t>
        </is>
      </c>
      <c r="C1066" t="inlineStr">
        <is>
          <t>INFO</t>
        </is>
      </c>
      <c r="D1066" t="inlineStr">
        <is>
          <t>vdh</t>
        </is>
      </c>
      <c r="E1066" t="inlineStr">
        <is>
          <t>pro17</t>
        </is>
      </c>
      <c r="F1066" t="inlineStr">
        <is>
          <t>prod</t>
        </is>
      </c>
    </row>
    <row r="1067">
      <c r="A1067" t="inlineStr">
        <is>
          <t>2025-05-09 12:04:51.134</t>
        </is>
      </c>
      <c r="B1067">
        <f>=请求开始== [请求IP]:172.21.10.31 ,[请求方式]:POST， [请求URL]:https://172.30.103.196:8080/api/appservice/bfv/v1/knowledge/retrieval/plugin, [请求类名]:com.yingzi.appservice.bfv.provider.rest.KnowledgeRetrievalController,[请求方法名]:plugin, [请求头参数]:{"host":"172.30.103.196:8080"}, [请求参数]:[{"query":"播报天气","auto_config":1,"knowledge_configs":[{"topk":15,"type":"faq_wda_oven","knowledge_id":"1272948056214077440","vector_threshold":0.89,"match_score":1.0,"vector_boost":0.72},{"topk":40,"type":"command_dual-screen-nvidia_oven","knowledge_id":"1310573539587891200","vector_threshold":0.9,"match_score":0.55,"vector_boost":0.72},{"topk":20,"type":"sql_business_database_recipe","knowledge_id":"1272947938412855296","vector_threshold":0.9,"match_score":0.55,"vector_boost":0.72},{"topk":3,"type":"other","knowledge_id":"1326868148286373888","vector_threshold":0.88,"match_score":0.8,"vector_boost":0.72}]}]</f>
        <v/>
      </c>
      <c r="C1067" t="inlineStr">
        <is>
          <t>INFO</t>
        </is>
      </c>
      <c r="D1067" t="inlineStr">
        <is>
          <t>vdh</t>
        </is>
      </c>
      <c r="E1067" t="inlineStr">
        <is>
          <t>pro17</t>
        </is>
      </c>
      <c r="F1067" t="inlineStr">
        <is>
          <t>prod</t>
        </is>
      </c>
    </row>
    <row r="1068">
      <c r="A1068" t="inlineStr">
        <is>
          <t>2025-05-09 12:04:25.426</t>
        </is>
      </c>
      <c r="B1068">
        <f>=请求结束== [请求耗时]:16毫秒, [返回数据]:{"code":"000000","msg":"Success","traceId":"076f1717ca42acc7a8a577e705309a82"}</f>
        <v/>
      </c>
      <c r="C1068" t="inlineStr">
        <is>
          <t>INFO</t>
        </is>
      </c>
      <c r="D1068" t="inlineStr">
        <is>
          <t>vdh</t>
        </is>
      </c>
      <c r="E1068" t="inlineStr">
        <is>
          <t>pro14</t>
        </is>
      </c>
      <c r="F1068" t="inlineStr">
        <is>
          <t>prod</t>
        </is>
      </c>
    </row>
    <row r="1069">
      <c r="A1069" t="inlineStr">
        <is>
          <t>2025-05-09 12:04:25.410</t>
        </is>
      </c>
      <c r="B1069">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84:5C:F3:27:DE:40","sessionId":"","avatarId":"11200220000208050000000000000000","appCode":"VDHtestWDC","instructionTemplateType":"","recordId":"","asrResult":"","knowledgeId":"","knowledgeMasterId":"","instructionType":"","instructionName":"","instructionFlag":"","parameter":"{}","ttsResultSource":"local","ttsResult":"","response":0}]]</f>
        <v/>
      </c>
      <c r="C1069" t="inlineStr">
        <is>
          <t>INFO</t>
        </is>
      </c>
      <c r="D1069" t="inlineStr">
        <is>
          <t>vdh</t>
        </is>
      </c>
      <c r="E1069" t="inlineStr">
        <is>
          <t>pro14</t>
        </is>
      </c>
      <c r="F1069" t="inlineStr">
        <is>
          <t>prod</t>
        </is>
      </c>
    </row>
    <row r="1070">
      <c r="A1070" t="inlineStr">
        <is>
          <t>2025-05-09 12:03:27.021</t>
        </is>
      </c>
      <c r="B1070">
        <f>=请求结束== [请求耗时]:1008毫秒, [返回数据]:{"code":"000000","msg":"Success","data":[{"knowledgeId":"1310573539587891200","knowledgeContent":[{"score":0.891875188,"content":"实时天气","fileId":"1328421153719672832","chunkId":"1","textGroup":"getCurrentWeather"},{"score":0.8583017792,"content":"播报新闻","fileId":"1328421153719672832","chunkId":"52","textGroup":"news {type=top,size=3}"},{"score":0.8494582352,"content":"播报剩余时间","fileId":"1310974251075973120","chunkId":"32","textGroup":"remaining_cooking_time_query"},{"score":0.8405343396,"content":"贵港明天天气","fileId":"1328421153719672832","chunkId":"31","textGroup":"getCurrentWeather {province=广西壮族自治区,city=贵港市}"},{"score":0.8356941036000001,"content":"深圳明天天气","fileId":"1328421153719672832","chunkId":"42","textGroup":"getCurrentWeather {province=广东省,city=深圳市}"},{"score":0.8356834475999999,"content":"广州明天天气","fileId":"1328421153719672832","chunkId":"36","textGroup":"getCurrentWeather {province=广东省,city=广州市}"},{"score":0.662651712,"content":"北京今天天气","fileId":"1328421153719672832","chunkId":"49","textGroup":"getCurrentWeather {province=北京市}"},{"score":0.6616036799999999,"content":"通州区今天天气","fileId":"1328421153719672832","chunkId":"50","textGroup":"getCurrentWeather {province=北京市,district=通州区}"},{"score":0.66098574,"content":"天河区今天天气","fileId":"1328421153719672832","chunkId":"37","textGroup":"getCurrentWeather {province=广东省,city=广州市,district=天河区}"},{"score":0.659498292,"content":"港北区今天天气","fileId":"1328421153719672832","chunkId":"33","textGroup":"getCurrentWeather {province=广西壮族自治区,city=贵港市,district=港北区}"},{"score":0.658263348,"content":"港南区今天天气","fileId":"1328421153719672832","chunkId":"32","textGroup":"getCurrentWeather {province=广西壮族自治区,city=贵港市,district=港南区}"},{"score":0.65682792,"content":"罗湖区今天天气","fileId":"1328421153719672832","chunkId":"45","textGroup":"getCurrentWeather {province=广东省,city=深圳市,district=罗湖区}"},{"score":0.6565179959999999,"content":"光明区今天天气","fileId":"1328421153719672832","chunkId":"47","textGroup":"getCurrentWeather {province=广东省,city=深圳市,district=光明区}"},{"score":0.655747776,"content":"白云区今天天气","fileId":"1328421153719672832","chunkId":"40","textGroup":"getCurrentWeather {province=广东省,city=广州市,district=白云区}"},{"score":0.654676524,"content":"宝安区今天天气","fileId":"1328421153719672832","chunkId":"44","textGroup":"getCurrentWeather {province=广东省,city=深圳市,district=宝安区}"},{"score":0.653603364,"content":"南沙区今天天气","fileId":"1328421153719672832","chunkId":"38","textGroup":"getCurrentWeather {province=广东省,city=广州市,district=南沙区}"},{"score":0.6525844199999999,"content":"南宁今天天气","fileId":"1328421153719672832","chunkId":"48","textGroup":"getCurrentWeather {province=广西壮族自治区,city=南宁市}"},{"score":0.652040316,"content":"番禺区今天天气","fileId":"1328421153719672832","chunkId":"39","textGroup":"getCurrentWeather {province=广东省,city=广州市,district=番禺区}"},{"score":0.651865536,"content":"南山区今天天气","fileId":"1328421153719672832","chunkId":"43","textGroup":"getCurrentWeather {province=广东省,city=深圳市,district=南山区}"},{"score":0.649990656,"content":"龙华区今天天气","fileId":"1328421153719672832","chunkId":"46","textGroup":"getCurrentWeather {province=广东省,city=深圳市,district=龙华区}"}]}]}</f>
        <v/>
      </c>
      <c r="C1070" t="inlineStr">
        <is>
          <t>INFO</t>
        </is>
      </c>
      <c r="D1070" t="inlineStr">
        <is>
          <t>vdh</t>
        </is>
      </c>
      <c r="E1070" t="inlineStr">
        <is>
          <t>pro14</t>
        </is>
      </c>
      <c r="F1070" t="inlineStr">
        <is>
          <t>prod</t>
        </is>
      </c>
    </row>
    <row r="1071">
      <c r="A1071" t="inlineStr">
        <is>
          <t>2025-05-09 12:03:27.020</t>
        </is>
      </c>
      <c r="B1071" t="inlineStr">
        <is>
          <t>知识库插件检索耗时: 1005ms</t>
        </is>
      </c>
      <c r="C1071" t="inlineStr">
        <is>
          <t>INFO</t>
        </is>
      </c>
      <c r="D1071" t="inlineStr">
        <is>
          <t>vdh</t>
        </is>
      </c>
      <c r="E1071" t="inlineStr">
        <is>
          <t>pro14</t>
        </is>
      </c>
      <c r="F1071" t="inlineStr">
        <is>
          <t>prod</t>
        </is>
      </c>
    </row>
    <row r="1072">
      <c r="A1072" t="inlineStr">
        <is>
          <t>2025-05-09 12:03:26.084</t>
        </is>
      </c>
      <c r="B1072" t="inlineStr">
        <is>
          <t>request data-gateway token response:{"code":200,"data":{"appKey":"yingzi-virtual-human","clientIp":"","deviceId":"","accessType":"RESTFUL","expiresIn":1746770606073,"access_token":"8c8e24b8-62b1-4413-b1fd-3ca5dd1c7b4c"},"msg":"SUCCESS","extendInfo":null,"traceId":"13221750d645cb1d92b57a0f8277318a"}</t>
        </is>
      </c>
      <c r="C1072" t="inlineStr">
        <is>
          <t>WARN</t>
        </is>
      </c>
      <c r="D1072" t="inlineStr">
        <is>
          <t>vdh</t>
        </is>
      </c>
      <c r="E1072" t="inlineStr">
        <is>
          <t>pro14</t>
        </is>
      </c>
      <c r="F1072" t="inlineStr">
        <is>
          <t>prod</t>
        </is>
      </c>
    </row>
    <row r="1073">
      <c r="A1073" t="inlineStr">
        <is>
          <t>2025-05-09 12:03:26.013</t>
        </is>
      </c>
      <c r="B1073">
        <f>=请求开始== [请求IP]:172.21.10.31 ,[请求方式]:POST， [请求URL]:https://172.30.212.148:8080/api/appservice/bfv/v1/knowledge/retrieval/plugin, [请求类名]:com.yingzi.appservice.bfv.provider.rest.KnowledgeRetrievalController,[请求方法名]:plugin, [请求头参数]:{"host":"172.30.212.148:8080"}, [请求参数]:[{"query":"播报天气","auto_config":1,"knowledge_configs":[{"topk":15,"type":"faq_wda_oven","knowledge_id":"1272948056214077440","vector_threshold":0.89,"match_score":1.0,"vector_boost":0.72},{"topk":40,"type":"command_dual-screen-nvidia_oven","knowledge_id":"1310573539587891200","vector_threshold":0.9,"match_score":0.55,"vector_boost":0.72},{"topk":20,"type":"sql_business_database_recipe","knowledge_id":"1272947938412855296","vector_threshold":0.9,"match_score":0.55,"vector_boost":0.72},{"topk":3,"type":"other","knowledge_id":"1326868148286373888","vector_threshold":0.88,"match_score":0.8,"vector_boost":0.72}]}]</f>
        <v/>
      </c>
      <c r="C1073" t="inlineStr">
        <is>
          <t>INFO</t>
        </is>
      </c>
      <c r="D1073" t="inlineStr">
        <is>
          <t>vdh</t>
        </is>
      </c>
      <c r="E1073" t="inlineStr">
        <is>
          <t>pro14</t>
        </is>
      </c>
      <c r="F1073" t="inlineStr">
        <is>
          <t>prod</t>
        </is>
      </c>
    </row>
    <row r="1074">
      <c r="A1074" t="inlineStr">
        <is>
          <t>2025-05-09 12:02:57.444</t>
        </is>
      </c>
      <c r="B1074">
        <f>=请求结束== [请求耗时]:13毫秒, [返回数据]:{"code":"000000","msg":"Success","traceId":"31b53a36e614012aecdac47d3af5b5f4"}</f>
        <v/>
      </c>
      <c r="C1074" t="inlineStr">
        <is>
          <t>INFO</t>
        </is>
      </c>
      <c r="D1074" t="inlineStr">
        <is>
          <t>vdh</t>
        </is>
      </c>
      <c r="E1074" t="inlineStr">
        <is>
          <t>pro17</t>
        </is>
      </c>
      <c r="F1074" t="inlineStr">
        <is>
          <t>prod</t>
        </is>
      </c>
    </row>
    <row r="1075">
      <c r="A1075" t="inlineStr">
        <is>
          <t>2025-05-09 12:02:57.431</t>
        </is>
      </c>
      <c r="B1075">
        <f>=请求开始== [请求IP]:119.32.28.2 ,[请求方式]:POST， [请求URL]:https://172.30.103.196:8080/api/appservice/bfv/v1/chatHistory/batchSave, [请求类名]:com.yingzi.appservice.bfv.provider.rest.ChatHistoryController,[请求方法名]:batchSave, [请求头参数]:{"host":"172.30.103.196:8080"}, [请求参数]:[[{"userId":1125440324555161600,"deviceId":"64:79:F0:79:7B:33","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12,"minute":2,"second":52,"nano":0,"chronology":{"id":"ISO","calendarType":"iso8601"}},"response":1746763372201}]]</f>
        <v/>
      </c>
      <c r="C1075" t="inlineStr">
        <is>
          <t>INFO</t>
        </is>
      </c>
      <c r="D1075" t="inlineStr">
        <is>
          <t>vdh</t>
        </is>
      </c>
      <c r="E1075" t="inlineStr">
        <is>
          <t>pro17</t>
        </is>
      </c>
      <c r="F1075" t="inlineStr">
        <is>
          <t>prod</t>
        </is>
      </c>
    </row>
    <row r="1076">
      <c r="A1076" t="inlineStr">
        <is>
          <t>2025-05-09 12:02:43.289</t>
        </is>
      </c>
      <c r="B1076">
        <f>=请求结束== [请求耗时]:14毫秒, [返回数据]:{"code":"000000","msg":"Success","traceId":"723dc7edb578445a4e7505fb7e83760a"}</f>
        <v/>
      </c>
      <c r="C1076" t="inlineStr">
        <is>
          <t>INFO</t>
        </is>
      </c>
      <c r="D1076" t="inlineStr">
        <is>
          <t>vdh</t>
        </is>
      </c>
      <c r="E1076" t="inlineStr">
        <is>
          <t>pro14</t>
        </is>
      </c>
      <c r="F1076" t="inlineStr">
        <is>
          <t>prod</t>
        </is>
      </c>
    </row>
    <row r="1077">
      <c r="A1077" t="inlineStr">
        <is>
          <t>2025-05-09 12:02:43.275</t>
        </is>
      </c>
      <c r="B1077">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84:5C:F3:27:DE:40","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12,"minute":2,"second":35,"nano":0,"chronology":{"id":"ISO","calendarType":"iso8601"}},"response":1746763355804}]]</f>
        <v/>
      </c>
      <c r="C1077" t="inlineStr">
        <is>
          <t>INFO</t>
        </is>
      </c>
      <c r="D1077" t="inlineStr">
        <is>
          <t>vdh</t>
        </is>
      </c>
      <c r="E1077" t="inlineStr">
        <is>
          <t>pro14</t>
        </is>
      </c>
      <c r="F1077" t="inlineStr">
        <is>
          <t>prod</t>
        </is>
      </c>
    </row>
    <row r="1078">
      <c r="A1078" t="inlineStr">
        <is>
          <t>2025-05-09 12:02:34.100</t>
        </is>
      </c>
      <c r="B1078">
        <f>=请求结束== [请求耗时]:16毫秒, [返回数据]:{"code":"000000","msg":"Success","traceId":"83adabfa218fdadc6e7769dedc9da765"}</f>
        <v/>
      </c>
      <c r="C1078" t="inlineStr">
        <is>
          <t>INFO</t>
        </is>
      </c>
      <c r="D1078" t="inlineStr">
        <is>
          <t>vdh</t>
        </is>
      </c>
      <c r="E1078" t="inlineStr">
        <is>
          <t>pro17</t>
        </is>
      </c>
      <c r="F1078" t="inlineStr">
        <is>
          <t>prod</t>
        </is>
      </c>
    </row>
    <row r="1079">
      <c r="A1079" t="inlineStr">
        <is>
          <t>2025-05-09 12:02:34.085</t>
        </is>
      </c>
      <c r="B1079">
        <f>=请求开始== [请求IP]:222.217.159.63 ,[请求方式]:POST， [请求URL]:https://172.30.103.196:8080/api/appservice/bfv/v1/chatHistory/batchSave, [请求类名]:com.yingzi.appservice.bfv.provider.rest.ChatHistoryController,[请求方法名]:batchSave, [请求头参数]:{"host":"172.30.103.196:8080"}, [请求参数]:[[{"userId":908023034473390081,"deviceId":"64:79:F0:79:7B:1F","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12,"minute":2,"second":28,"nano":0,"chronology":{"id":"ISO","calendarType":"iso8601"}},"response":1746763348914}]]</f>
        <v/>
      </c>
      <c r="C1079" t="inlineStr">
        <is>
          <t>INFO</t>
        </is>
      </c>
      <c r="D1079" t="inlineStr">
        <is>
          <t>vdh</t>
        </is>
      </c>
      <c r="E1079" t="inlineStr">
        <is>
          <t>pro17</t>
        </is>
      </c>
      <c r="F1079" t="inlineStr">
        <is>
          <t>prod</t>
        </is>
      </c>
    </row>
    <row r="1080">
      <c r="A1080" t="inlineStr">
        <is>
          <t>2025-05-09 12:01:29.809</t>
        </is>
      </c>
      <c r="B1080">
        <f>=请求结束== [请求耗时]:14毫秒, [返回数据]:{"code":"000000","msg":"Success","traceId":"990dd3c10f35b31a24c06268ddfcb5b3"}</f>
        <v/>
      </c>
      <c r="C1080" t="inlineStr">
        <is>
          <t>INFO</t>
        </is>
      </c>
      <c r="D1080" t="inlineStr">
        <is>
          <t>vdh</t>
        </is>
      </c>
      <c r="E1080" t="inlineStr">
        <is>
          <t>pro17</t>
        </is>
      </c>
      <c r="F1080" t="inlineStr">
        <is>
          <t>prod</t>
        </is>
      </c>
    </row>
    <row r="1081">
      <c r="A1081" t="inlineStr">
        <is>
          <t>2025-05-09 12:01:29.795</t>
        </is>
      </c>
      <c r="B1081">
        <f>=请求开始== [请求IP]:218.17.115.163 ,[请求方式]:POST， [请求URL]:https://172.30.103.196:8080/api/appservice/bfv/v1/chatHistory/batchSave, [请求类名]:com.yingzi.appservice.bfv.provider.rest.ChatHistoryController,[请求方法名]:batchSave, [请求头参数]:{"host":"172.30.103.196:8080"}, [请求参数]:[[{"userId":763793440584638464,"deviceId":"1C:99:57:15:5F:C7","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12,"minute":1,"second":24,"nano":0,"chronology":{"id":"ISO","calendarType":"iso8601"}},"response":1746763284470}]]</f>
        <v/>
      </c>
      <c r="C1081" t="inlineStr">
        <is>
          <t>INFO</t>
        </is>
      </c>
      <c r="D1081" t="inlineStr">
        <is>
          <t>vdh</t>
        </is>
      </c>
      <c r="E1081" t="inlineStr">
        <is>
          <t>pro17</t>
        </is>
      </c>
      <c r="F1081" t="inlineStr">
        <is>
          <t>prod</t>
        </is>
      </c>
    </row>
    <row r="1082">
      <c r="A1082" t="inlineStr">
        <is>
          <t>2025-05-09 12:00:35.472</t>
        </is>
      </c>
      <c r="B1082">
        <f>=请求结束== [请求耗时]:13毫秒, [返回数据]:{"code":"000000","msg":"Success","traceId":"395d6d92be0e730e2e6d078e741154f1"}</f>
        <v/>
      </c>
      <c r="C1082" t="inlineStr">
        <is>
          <t>INFO</t>
        </is>
      </c>
      <c r="D1082" t="inlineStr">
        <is>
          <t>vdh</t>
        </is>
      </c>
      <c r="E1082" t="inlineStr">
        <is>
          <t>pro14</t>
        </is>
      </c>
      <c r="F1082" t="inlineStr">
        <is>
          <t>prod</t>
        </is>
      </c>
    </row>
    <row r="1083">
      <c r="A1083" t="inlineStr">
        <is>
          <t>2025-05-09 12:00:35.460</t>
        </is>
      </c>
      <c r="B1083">
        <f>=请求开始== [请求IP]:112.0.142.15 ,[请求方式]:POST， [请求URL]:https://172.30.212.148:8080/api/appservice/bfv/v1/chatHistory/batchSave, [请求类名]:com.yingzi.appservice.bfv.provider.rest.ChatHistoryController,[请求方法名]:batchSave, [请求头参数]:{"host":"172.30.212.148:8080"}, [请求参数]:[[{"userId":1350071574707671040,"deviceId":"28:D0:EA:87:99:9D","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12,"minute":0,"second":30,"nano":0,"chronology":{"id":"ISO","calendarType":"iso8601"}},"response":1746763230176}]]</f>
        <v/>
      </c>
      <c r="C1083" t="inlineStr">
        <is>
          <t>INFO</t>
        </is>
      </c>
      <c r="D1083" t="inlineStr">
        <is>
          <t>vdh</t>
        </is>
      </c>
      <c r="E1083" t="inlineStr">
        <is>
          <t>pro14</t>
        </is>
      </c>
      <c r="F1083" t="inlineStr">
        <is>
          <t>prod</t>
        </is>
      </c>
    </row>
    <row r="1084">
      <c r="A1084" t="inlineStr">
        <is>
          <t>2025-05-09 11:59:48.447</t>
        </is>
      </c>
      <c r="B1084">
        <f>=请求结束== [请求耗时]:13毫秒, [返回数据]:{"code":"000000","msg":"Success","traceId":"db2e404677950587ac01c8b5fc4ee41a"}</f>
        <v/>
      </c>
      <c r="C1084" t="inlineStr">
        <is>
          <t>INFO</t>
        </is>
      </c>
      <c r="D1084" t="inlineStr">
        <is>
          <t>vdh</t>
        </is>
      </c>
      <c r="E1084" t="inlineStr">
        <is>
          <t>pro14</t>
        </is>
      </c>
      <c r="F1084" t="inlineStr">
        <is>
          <t>prod</t>
        </is>
      </c>
    </row>
    <row r="1085">
      <c r="A1085" t="inlineStr">
        <is>
          <t>2025-05-09 11:59:48.434</t>
        </is>
      </c>
      <c r="B1085">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3:34","sessionId":"","avatarId":"11200220000208050000000000000000","appCode":"VDHtestWDC","instructionTemplateType":"","recordId":"","asrResult":"","knowledgeId":"","knowledgeMasterId":"","instructionType":"","instructionName":"","instructionFlag":"","parameter":"{}","ttsResultSource":"","ttsResult":"","response":0}]]</f>
        <v/>
      </c>
      <c r="C1085" t="inlineStr">
        <is>
          <t>INFO</t>
        </is>
      </c>
      <c r="D1085" t="inlineStr">
        <is>
          <t>vdh</t>
        </is>
      </c>
      <c r="E1085" t="inlineStr">
        <is>
          <t>pro14</t>
        </is>
      </c>
      <c r="F1085" t="inlineStr">
        <is>
          <t>prod</t>
        </is>
      </c>
    </row>
    <row r="1086">
      <c r="A1086" t="inlineStr">
        <is>
          <t>2025-05-09 11:59:40.957</t>
        </is>
      </c>
      <c r="B1086">
        <f>=请求结束== [请求耗时]:15毫秒, [返回数据]:{"code":"000000","msg":"Success","traceId":"c6370f2e674c9cb9209984a69264e32c"}</f>
        <v/>
      </c>
      <c r="C1086" t="inlineStr">
        <is>
          <t>INFO</t>
        </is>
      </c>
      <c r="D1086" t="inlineStr">
        <is>
          <t>vdh</t>
        </is>
      </c>
      <c r="E1086" t="inlineStr">
        <is>
          <t>pro17</t>
        </is>
      </c>
      <c r="F1086" t="inlineStr">
        <is>
          <t>prod</t>
        </is>
      </c>
    </row>
    <row r="1087">
      <c r="A1087" t="inlineStr">
        <is>
          <t>2025-05-09 11:59:40.942</t>
        </is>
      </c>
      <c r="B1087">
        <f>=请求开始== [请求IP]:112.0.142.15 ,[请求方式]:POST， [请求URL]:https://172.30.103.196:8080/api/appservice/bfv/v1/chatHistory/batchSave, [请求类名]:com.yingzi.appservice.bfv.provider.rest.ChatHistoryController,[请求方法名]:batchSave, [请求头参数]:{"host":"172.30.103.196:8080"}, [请求参数]:[[{"userId":1350071574707671040,"deviceId":"28:D0:EA:87:99:9D","sessionId":"","avatarId":"11200220000208050000000000000000","appCode":"VDHtestWDC","instructionTemplateType":"","recordId":"","asrResult":"","knowledgeId":"","knowledgeMasterId":"","instructionType":"","instructionName":"","instructionFlag":"","parameter":"{}","ttsResultSource":"local","ttsResult":"这道菜小万还没学会,可以使用自助烹饪!","ttsResultTime":{"year":2025,"monthValue":5,"month":"MAY","dayOfMonth":9,"dayOfYear":129,"dayOfWeek":"FRIDAY","hour":11,"minute":58,"second":44,"nano":0,"chronology":{"id":"ISO","calendarType":"iso8601"}},"response":1746763124061}]]</f>
        <v/>
      </c>
      <c r="C1087" t="inlineStr">
        <is>
          <t>INFO</t>
        </is>
      </c>
      <c r="D1087" t="inlineStr">
        <is>
          <t>vdh</t>
        </is>
      </c>
      <c r="E1087" t="inlineStr">
        <is>
          <t>pro17</t>
        </is>
      </c>
      <c r="F1087" t="inlineStr">
        <is>
          <t>prod</t>
        </is>
      </c>
    </row>
    <row r="1088">
      <c r="A1088" t="inlineStr">
        <is>
          <t>2025-05-09 11:59:28.254</t>
        </is>
      </c>
      <c r="B1088">
        <f>=请求结束== [请求耗时]:17毫秒, [返回数据]:{"code":"000000","msg":"Success","traceId":"2075ea34768890d5f4bff585d6faf25a"}</f>
        <v/>
      </c>
      <c r="C1088" t="inlineStr">
        <is>
          <t>INFO</t>
        </is>
      </c>
      <c r="D1088" t="inlineStr">
        <is>
          <t>vdh</t>
        </is>
      </c>
      <c r="E1088" t="inlineStr">
        <is>
          <t>pro17</t>
        </is>
      </c>
      <c r="F1088" t="inlineStr">
        <is>
          <t>prod</t>
        </is>
      </c>
    </row>
    <row r="1089">
      <c r="A1089" t="inlineStr">
        <is>
          <t>2025-05-09 11:59:28.237</t>
        </is>
      </c>
      <c r="B1089">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88:00:68","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11,"minute":29,"second":10,"nano":0,"chronology":{"id":"ISO","calendarType":"iso8601"}},"response":1746761350414}]]</f>
        <v/>
      </c>
      <c r="C1089" t="inlineStr">
        <is>
          <t>INFO</t>
        </is>
      </c>
      <c r="D1089" t="inlineStr">
        <is>
          <t>vdh</t>
        </is>
      </c>
      <c r="E1089" t="inlineStr">
        <is>
          <t>pro17</t>
        </is>
      </c>
      <c r="F1089" t="inlineStr">
        <is>
          <t>prod</t>
        </is>
      </c>
    </row>
    <row r="1090">
      <c r="A1090" t="inlineStr">
        <is>
          <t>2025-05-09 11:58:33.627</t>
        </is>
      </c>
      <c r="B1090">
        <f>=请求结束== [请求耗时]:10毫秒, [返回数据]:{"code":"000000","msg":"Success","traceId":"cde70deccce42c3c2ef6c6e59ebea252"}</f>
        <v/>
      </c>
      <c r="C1090" t="inlineStr">
        <is>
          <t>INFO</t>
        </is>
      </c>
      <c r="D1090" t="inlineStr">
        <is>
          <t>vdh</t>
        </is>
      </c>
      <c r="E1090" t="inlineStr">
        <is>
          <t>pro14</t>
        </is>
      </c>
      <c r="F1090" t="inlineStr">
        <is>
          <t>prod</t>
        </is>
      </c>
    </row>
    <row r="1091">
      <c r="A1091" t="inlineStr">
        <is>
          <t>2025-05-09 11:58:33.617</t>
        </is>
      </c>
      <c r="B1091">
        <f>=请求开始== [请求IP]:222.217.159.63 ,[请求方式]:POST， [请求URL]:https://172.30.212.148:8080/api/appservice/bfv/v1/chatHistory/batchSave, [请求类名]:com.yingzi.appservice.bfv.provider.rest.ChatHistoryController,[请求方法名]:batchSave, [请求头参数]:{"host":"172.30.212.148:8080"}, [请求参数]:[[{"userId":908023034473390081,"deviceId":"64:79:F0:79:7B:1F","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11,"minute":58,"second":28,"nano":0,"chronology":{"id":"ISO","calendarType":"iso8601"}},"response":1746763108354}]]</f>
        <v/>
      </c>
      <c r="C1091" t="inlineStr">
        <is>
          <t>INFO</t>
        </is>
      </c>
      <c r="D1091" t="inlineStr">
        <is>
          <t>vdh</t>
        </is>
      </c>
      <c r="E1091" t="inlineStr">
        <is>
          <t>pro14</t>
        </is>
      </c>
      <c r="F1091" t="inlineStr">
        <is>
          <t>prod</t>
        </is>
      </c>
    </row>
    <row r="1092">
      <c r="A1092" t="inlineStr">
        <is>
          <t>2025-05-09 11:58:07.464</t>
        </is>
      </c>
      <c r="B1092">
        <f>=请求结束== [请求耗时]:13毫秒, [返回数据]:{"code":"000000","msg":"Success","traceId":"cede4d0a451ab4cf2065184060d4cda0"}</f>
        <v/>
      </c>
      <c r="C1092" t="inlineStr">
        <is>
          <t>INFO</t>
        </is>
      </c>
      <c r="D1092" t="inlineStr">
        <is>
          <t>vdh</t>
        </is>
      </c>
      <c r="E1092" t="inlineStr">
        <is>
          <t>pro17</t>
        </is>
      </c>
      <c r="F1092" t="inlineStr">
        <is>
          <t>prod</t>
        </is>
      </c>
    </row>
    <row r="1093">
      <c r="A1093" t="inlineStr">
        <is>
          <t>2025-05-09 11:58:07.451</t>
        </is>
      </c>
      <c r="B1093">
        <f>=请求开始== [请求IP]:111.58.68.45 ,[请求方式]:POST， [请求URL]:https://172.30.103.196:8080/api/appservice/bfv/v1/chatHistory/batchSave, [请求类名]:com.yingzi.appservice.bfv.provider.rest.ChatHistoryController,[请求方法名]:batchSave, [请求头参数]:{"host":"172.30.103.196:8080"}, [请求参数]:[[{"userId":794947370928070656,"deviceId":"70:CF:49:9C:69:3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11,"minute":58,"second":2,"nano":0,"chronology":{"id":"ISO","calendarType":"iso8601"}},"response":15755705}]]</f>
        <v/>
      </c>
      <c r="C1093" t="inlineStr">
        <is>
          <t>INFO</t>
        </is>
      </c>
      <c r="D1093" t="inlineStr">
        <is>
          <t>vdh</t>
        </is>
      </c>
      <c r="E1093" t="inlineStr">
        <is>
          <t>pro17</t>
        </is>
      </c>
      <c r="F1093" t="inlineStr">
        <is>
          <t>prod</t>
        </is>
      </c>
    </row>
    <row r="1094">
      <c r="A1094" t="inlineStr">
        <is>
          <t>2025-05-09 11:57:47.190</t>
        </is>
      </c>
      <c r="B1094">
        <f>=请求结束== [请求耗时]:17毫秒, [返回数据]:{"code":"000000","msg":"Success","traceId":"f91fe009f531206a67a2bb854889cb03"}</f>
        <v/>
      </c>
      <c r="C1094" t="inlineStr">
        <is>
          <t>INFO</t>
        </is>
      </c>
      <c r="D1094" t="inlineStr">
        <is>
          <t>vdh</t>
        </is>
      </c>
      <c r="E1094" t="inlineStr">
        <is>
          <t>pro14</t>
        </is>
      </c>
      <c r="F1094" t="inlineStr">
        <is>
          <t>prod</t>
        </is>
      </c>
    </row>
    <row r="1095">
      <c r="A1095" t="inlineStr">
        <is>
          <t>2025-05-09 11:57:47.173</t>
        </is>
      </c>
      <c r="B1095">
        <f>=请求开始== [请求IP]:111.58.68.45 ,[请求方式]:POST， [请求URL]:https://172.30.212.148:8080/api/appservice/bfv/v1/chatHistory/batchSave, [请求类名]:com.yingzi.appservice.bfv.provider.rest.ChatHistoryController,[请求方法名]:batchSave, [请求头参数]:{"host":"172.30.212.148:8080"}, [请求参数]:[[{"userId":794947370928070656,"deviceId":"70:CF:49:9C:69:3B","sessionId":"","avatarId":"11200220000208050000000000000000","appCode":"VDHtestWDC","instructionTemplateType":"","recordId":"","asrResult":"","knowledgeId":"","knowledgeMasterId":"","instructionType":"","instructionName":"","instructionFlag":"","parameter":"{}","ttsResultSource":"local","ttsResult":"好嘞,已经按照推荐的温度调好了,要帮主人开始烹饪吗","ttsResultTime":{"year":2025,"monthValue":5,"month":"MAY","dayOfMonth":9,"dayOfYear":129,"dayOfWeek":"FRIDAY","hour":11,"minute":57,"second":42,"nano":0,"chronology":{"id":"ISO","calendarType":"iso8601"}},"response":15735961}]]</f>
        <v/>
      </c>
      <c r="C1095" t="inlineStr">
        <is>
          <t>INFO</t>
        </is>
      </c>
      <c r="D1095" t="inlineStr">
        <is>
          <t>vdh</t>
        </is>
      </c>
      <c r="E1095" t="inlineStr">
        <is>
          <t>pro14</t>
        </is>
      </c>
      <c r="F1095" t="inlineStr">
        <is>
          <t>prod</t>
        </is>
      </c>
    </row>
    <row r="1096">
      <c r="A1096" t="inlineStr">
        <is>
          <t>2025-05-09 11:57:28.010</t>
        </is>
      </c>
      <c r="B1096">
        <f>=请求结束== [请求耗时]:15毫秒, [返回数据]:{"code":"000000","msg":"Success","traceId":"001bcdd7d76955680f2cd62405f1eb7d"}</f>
        <v/>
      </c>
      <c r="C1096" t="inlineStr">
        <is>
          <t>INFO</t>
        </is>
      </c>
      <c r="D1096" t="inlineStr">
        <is>
          <t>vdh</t>
        </is>
      </c>
      <c r="E1096" t="inlineStr">
        <is>
          <t>pro17</t>
        </is>
      </c>
      <c r="F1096" t="inlineStr">
        <is>
          <t>prod</t>
        </is>
      </c>
    </row>
    <row r="1097">
      <c r="A1097" t="inlineStr">
        <is>
          <t>2025-05-09 11:57:27.995</t>
        </is>
      </c>
      <c r="B1097">
        <f>=请求开始== [请求IP]:111.58.68.45 ,[请求方式]:POST， [请求URL]:https://172.30.103.196:8080/api/appservice/bfv/v1/chatHistory/batchSave, [请求类名]:com.yingzi.appservice.bfv.provider.rest.ChatHistoryController,[请求方法名]:batchSave, [请求头参数]:{"host":"172.30.103.196:8080"}, [请求参数]:[[{"userId":794947370928070656,"deviceId":"70:CF:49:9C:69:3B","sessionId":"","avatarId":"11200220000208050000000000000000","appCode":"VDHtestWDC","instructionTemplateType":"","recordId":"","asrResult":"","knowledgeId":"","knowledgeMasterId":"","instructionType":"","instructionName":"","instructionFlag":"","parameter":"{}","ttsResultSource":"local","ttsResult":"请放入食物","ttsResultTime":{"year":2025,"monthValue":5,"month":"MAY","dayOfMonth":9,"dayOfYear":129,"dayOfWeek":"FRIDAY","hour":11,"minute":57,"second":23,"nano":0,"chronology":{"id":"ISO","calendarType":"iso8601"}},"response":15717113}]]</f>
        <v/>
      </c>
      <c r="C1097" t="inlineStr">
        <is>
          <t>INFO</t>
        </is>
      </c>
      <c r="D1097" t="inlineStr">
        <is>
          <t>vdh</t>
        </is>
      </c>
      <c r="E1097" t="inlineStr">
        <is>
          <t>pro17</t>
        </is>
      </c>
      <c r="F1097" t="inlineStr">
        <is>
          <t>prod</t>
        </is>
      </c>
    </row>
    <row r="1098">
      <c r="A1098" t="inlineStr">
        <is>
          <t>2025-05-09 11:53:39.623</t>
        </is>
      </c>
      <c r="B1098">
        <f>=请求结束== [请求耗时]:15毫秒, [返回数据]:{"code":"000000","msg":"Success","traceId":"ba6b0e951fb93bf6ac63391141f667b7"}</f>
        <v/>
      </c>
      <c r="C1098" t="inlineStr">
        <is>
          <t>INFO</t>
        </is>
      </c>
      <c r="D1098" t="inlineStr">
        <is>
          <t>vdh</t>
        </is>
      </c>
      <c r="E1098" t="inlineStr">
        <is>
          <t>pro14</t>
        </is>
      </c>
      <c r="F1098" t="inlineStr">
        <is>
          <t>prod</t>
        </is>
      </c>
    </row>
    <row r="1099">
      <c r="A1099" t="inlineStr">
        <is>
          <t>2025-05-09 11:53:39.608</t>
        </is>
      </c>
      <c r="B1099">
        <f>=请求开始== [请求IP]:218.17.115.163 ,[请求方式]:POST， [请求URL]:https://172.30.212.148:8080/api/appservice/bfv/v1/chatHistory/batchSave, [请求类名]:com.yingzi.appservice.bfv.provider.rest.ChatHistoryController,[请求方法名]:batchSave, [请求头参数]:{"host":"172.30.212.148:8080"}, [请求参数]:[[{"userId":1163481844748582912,"deviceId":"64:79:F0:79:7A:A7","sessionId":"","avatarId":"11200220000208050000000000000000","appCode":"VDHtestWDC","instructionTemplateType":"","recordId":"","asrResult":"","knowledgeId":"","knowledgeMasterId":"","instructionType":"","instructionName":"","instructionFlag":"","parameter":"{}","ttsResultSource":"local","ttsResult":"开始烹饪,请耐心等待烹饪完成,请取餐,小心烫开始烹饪,请耐心等待烹饪完成,请取餐,小心烫","ttsResultTime":{"year":2025,"monthValue":5,"month":"MAY","dayOfMonth":9,"dayOfYear":129,"dayOfWeek":"FRIDAY","hour":7,"minute":36,"second":39,"nano":0,"chronology":{"id":"ISO","calendarType":"iso8601"}},"response":1746747399392}]]</f>
        <v/>
      </c>
      <c r="C1099" t="inlineStr">
        <is>
          <t>INFO</t>
        </is>
      </c>
      <c r="D1099" t="inlineStr">
        <is>
          <t>vdh</t>
        </is>
      </c>
      <c r="E1099" t="inlineStr">
        <is>
          <t>pro14</t>
        </is>
      </c>
      <c r="F1099" t="inlineStr">
        <is>
          <t>prod</t>
        </is>
      </c>
    </row>
    <row r="1100">
      <c r="A1100" t="inlineStr">
        <is>
          <t>2025-05-09 11:52:44.633</t>
        </is>
      </c>
      <c r="B1100">
        <f>=请求结束== [请求耗时]:13毫秒, [返回数据]:{"code":"000000","msg":"Success","traceId":"f9831d4b50b71b3af285f184a0be7ff5"}</f>
        <v/>
      </c>
      <c r="C1100" t="inlineStr">
        <is>
          <t>INFO</t>
        </is>
      </c>
      <c r="D1100" t="inlineStr">
        <is>
          <t>vdh</t>
        </is>
      </c>
      <c r="E1100" t="inlineStr">
        <is>
          <t>pro17</t>
        </is>
      </c>
      <c r="F1100" t="inlineStr">
        <is>
          <t>prod</t>
        </is>
      </c>
    </row>
    <row r="1101">
      <c r="A1101" t="inlineStr">
        <is>
          <t>2025-05-09 11:52:44.620</t>
        </is>
      </c>
      <c r="B1101">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64:79:F0:FF:55:A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11,"minute":45,"second":27,"nano":0,"chronology":{"id":"ISO","calendarType":"iso8601"}},"response":1746762327362}]]</f>
        <v/>
      </c>
      <c r="C1101" t="inlineStr">
        <is>
          <t>INFO</t>
        </is>
      </c>
      <c r="D1101" t="inlineStr">
        <is>
          <t>vdh</t>
        </is>
      </c>
      <c r="E1101" t="inlineStr">
        <is>
          <t>pro17</t>
        </is>
      </c>
      <c r="F1101" t="inlineStr">
        <is>
          <t>prod</t>
        </is>
      </c>
    </row>
    <row r="1102">
      <c r="A1102" t="inlineStr">
        <is>
          <t>2025-05-09 11:52:43.104</t>
        </is>
      </c>
      <c r="B1102">
        <f>=请求结束== [请求耗时]:13毫秒, [返回数据]:{"code":"000000","msg":"Success","traceId":"58ae61515039ec7d881996bb9f6c1866"}</f>
        <v/>
      </c>
      <c r="C1102" t="inlineStr">
        <is>
          <t>INFO</t>
        </is>
      </c>
      <c r="D1102" t="inlineStr">
        <is>
          <t>vdh</t>
        </is>
      </c>
      <c r="E1102" t="inlineStr">
        <is>
          <t>pro14</t>
        </is>
      </c>
      <c r="F1102" t="inlineStr">
        <is>
          <t>prod</t>
        </is>
      </c>
    </row>
    <row r="1103">
      <c r="A1103" t="inlineStr">
        <is>
          <t>2025-05-09 11:52:43.091</t>
        </is>
      </c>
      <c r="B1103">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11,"minute":52,"second":35,"nano":0,"chronology":{"id":"ISO","calendarType":"iso8601"}},"response":1746762755059}]]</f>
        <v/>
      </c>
      <c r="C1103" t="inlineStr">
        <is>
          <t>INFO</t>
        </is>
      </c>
      <c r="D1103" t="inlineStr">
        <is>
          <t>vdh</t>
        </is>
      </c>
      <c r="E1103" t="inlineStr">
        <is>
          <t>pro14</t>
        </is>
      </c>
      <c r="F1103" t="inlineStr">
        <is>
          <t>prod</t>
        </is>
      </c>
    </row>
    <row r="1104">
      <c r="A1104" t="inlineStr">
        <is>
          <t>2025-05-09 11:52:16.914</t>
        </is>
      </c>
      <c r="B1104">
        <f>=请求结束== [请求耗时]:13毫秒, [返回数据]:{"code":"000000","msg":"Success","traceId":"7d4e50b91a5c2a86465b0a1b86c44ef4"}</f>
        <v/>
      </c>
      <c r="C1104" t="inlineStr">
        <is>
          <t>INFO</t>
        </is>
      </c>
      <c r="D1104" t="inlineStr">
        <is>
          <t>vdh</t>
        </is>
      </c>
      <c r="E1104" t="inlineStr">
        <is>
          <t>pro14</t>
        </is>
      </c>
      <c r="F1104" t="inlineStr">
        <is>
          <t>prod</t>
        </is>
      </c>
    </row>
    <row r="1105">
      <c r="A1105" t="inlineStr">
        <is>
          <t>2025-05-09 11:52:16.901</t>
        </is>
      </c>
      <c r="B1105">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3:34","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10,"minute":39,"second":50,"nano":0,"chronology":{"id":"ISO","calendarType":"iso8601"}},"response":1746758390141}]]</f>
        <v/>
      </c>
      <c r="C1105" t="inlineStr">
        <is>
          <t>INFO</t>
        </is>
      </c>
      <c r="D1105" t="inlineStr">
        <is>
          <t>vdh</t>
        </is>
      </c>
      <c r="E1105" t="inlineStr">
        <is>
          <t>pro14</t>
        </is>
      </c>
      <c r="F1105" t="inlineStr">
        <is>
          <t>prod</t>
        </is>
      </c>
    </row>
    <row r="1106">
      <c r="A1106" t="inlineStr">
        <is>
          <t>2025-05-09 11:51:47.856</t>
        </is>
      </c>
      <c r="B1106">
        <f>=请求结束== [请求耗时]:13毫秒, [返回数据]:{"code":"000000","msg":"Success","traceId":"0855a6dca54499532a7f8f8966112ec0"}</f>
        <v/>
      </c>
      <c r="C1106" t="inlineStr">
        <is>
          <t>INFO</t>
        </is>
      </c>
      <c r="D1106" t="inlineStr">
        <is>
          <t>vdh</t>
        </is>
      </c>
      <c r="E1106" t="inlineStr">
        <is>
          <t>pro17</t>
        </is>
      </c>
      <c r="F1106" t="inlineStr">
        <is>
          <t>prod</t>
        </is>
      </c>
    </row>
    <row r="1107">
      <c r="A1107" t="inlineStr">
        <is>
          <t>2025-05-09 11:51:47.843</t>
        </is>
      </c>
      <c r="B1107">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64:79:F0:FF:55:A5","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11,"minute":44,"second":30,"nano":0,"chronology":{"id":"ISO","calendarType":"iso8601"}},"response":1746762270641}]]</f>
        <v/>
      </c>
      <c r="C1107" t="inlineStr">
        <is>
          <t>INFO</t>
        </is>
      </c>
      <c r="D1107" t="inlineStr">
        <is>
          <t>vdh</t>
        </is>
      </c>
      <c r="E1107" t="inlineStr">
        <is>
          <t>pro17</t>
        </is>
      </c>
      <c r="F1107" t="inlineStr">
        <is>
          <t>prod</t>
        </is>
      </c>
    </row>
    <row r="1108">
      <c r="A1108" t="inlineStr">
        <is>
          <t>2025-05-09 11:51:03.002</t>
        </is>
      </c>
      <c r="B1108">
        <f>=请求结束== [请求耗时]:16毫秒, [返回数据]:{"code":"000000","msg":"Success","traceId":"405b10685e219a992261ac432602c015"}</f>
        <v/>
      </c>
      <c r="C1108" t="inlineStr">
        <is>
          <t>INFO</t>
        </is>
      </c>
      <c r="D1108" t="inlineStr">
        <is>
          <t>vdh</t>
        </is>
      </c>
      <c r="E1108" t="inlineStr">
        <is>
          <t>pro14</t>
        </is>
      </c>
      <c r="F1108" t="inlineStr">
        <is>
          <t>prod</t>
        </is>
      </c>
    </row>
    <row r="1109">
      <c r="A1109" t="inlineStr">
        <is>
          <t>2025-05-09 11:51:02.986</t>
        </is>
      </c>
      <c r="B1109">
        <f>=请求开始== [请求IP]:119.32.28.2 ,[请求方式]:POST， [请求URL]:https://172.30.212.148:8080/api/appservice/bfv/v1/chatHistory/batchSave, [请求类名]:com.yingzi.appservice.bfv.provider.rest.ChatHistoryController,[请求方法名]:batchSave, [请求头参数]:{"host":"172.30.212.148:8080"}, [请求参数]:[[{"userId":1151876849451257858,"deviceId":"64:79:F0:79:7A:16","sessionId":"","avatarId":"11200220000208050000000000000000","appCode":"VDHtestWDC","instructionTemplateType":"","recordId":"","asrResult":"","knowledgeId":"","knowledgeMasterId":"","instructionType":"","instructionName":"","instructionFlag":"","parameter":"{}","ttsResultSource":"local","ttsResult":"","response":0}]]</f>
        <v/>
      </c>
      <c r="C1109" t="inlineStr">
        <is>
          <t>INFO</t>
        </is>
      </c>
      <c r="D1109" t="inlineStr">
        <is>
          <t>vdh</t>
        </is>
      </c>
      <c r="E1109" t="inlineStr">
        <is>
          <t>pro14</t>
        </is>
      </c>
      <c r="F1109" t="inlineStr">
        <is>
          <t>prod</t>
        </is>
      </c>
    </row>
    <row r="1110">
      <c r="A1110" t="inlineStr">
        <is>
          <t>2025-05-09 11:50:45.942</t>
        </is>
      </c>
      <c r="B1110">
        <f>=请求结束== [请求耗时]:15毫秒, [返回数据]:{"code":"000000","msg":"Success","traceId":"19138d752367a09a09ba06c0061a3df1"}</f>
        <v/>
      </c>
      <c r="C1110" t="inlineStr">
        <is>
          <t>INFO</t>
        </is>
      </c>
      <c r="D1110" t="inlineStr">
        <is>
          <t>vdh</t>
        </is>
      </c>
      <c r="E1110" t="inlineStr">
        <is>
          <t>pro17</t>
        </is>
      </c>
      <c r="F1110" t="inlineStr">
        <is>
          <t>prod</t>
        </is>
      </c>
    </row>
    <row r="1111">
      <c r="A1111" t="inlineStr">
        <is>
          <t>2025-05-09 11:50:45.927</t>
        </is>
      </c>
      <c r="B1111">
        <f>=请求开始== [请求IP]:222.217.159.63 ,[请求方式]:POST， [请求URL]:https://172.30.103.196:8080/api/appservice/bfv/v1/chatHistory/batchSave, [请求类名]:com.yingzi.appservice.bfv.provider.rest.ChatHistoryController,[请求方法名]:batchSave, [请求头参数]:{"host":"172.30.103.196:8080"}, [请求参数]:[[{"userId":908023034473390081,"deviceId":"64:79:F0:79:7B:1F","sessionId":"","avatarId":"11200220000208050000000000000000","appCode":"VDHtestWDC","instructionTemplateType":"","recordId":"","asrResult":"","knowledgeId":"","knowledgeMasterId":"","instructionType":"","instructionName":"","instructionFlag":"","parameter":"{}","ttsResultSource":"local","ttsResult":"小万发现了茼蒿,主人喜欢茼蒿还是茼蒿(细叶)口感","ttsResultTime":{"year":2025,"monthValue":5,"month":"MAY","dayOfMonth":9,"dayOfYear":129,"dayOfWeek":"FRIDAY","hour":11,"minute":50,"second":41,"nano":0,"chronology":{"id":"ISO","calendarType":"iso8601"}},"response":1746762641411}]]</f>
        <v/>
      </c>
      <c r="C1111" t="inlineStr">
        <is>
          <t>INFO</t>
        </is>
      </c>
      <c r="D1111" t="inlineStr">
        <is>
          <t>vdh</t>
        </is>
      </c>
      <c r="E1111" t="inlineStr">
        <is>
          <t>pro17</t>
        </is>
      </c>
      <c r="F1111" t="inlineStr">
        <is>
          <t>prod</t>
        </is>
      </c>
    </row>
    <row r="1112">
      <c r="A1112" t="inlineStr">
        <is>
          <t>2025-05-09 11:49:39.742</t>
        </is>
      </c>
      <c r="B1112">
        <f>=请求结束== [请求耗时]:15毫秒, [返回数据]:{"code":"000000","msg":"Success","traceId":"ba684c66c1c16ed3983ed55fd2fa19b9"}</f>
        <v/>
      </c>
      <c r="C1112" t="inlineStr">
        <is>
          <t>INFO</t>
        </is>
      </c>
      <c r="D1112" t="inlineStr">
        <is>
          <t>vdh</t>
        </is>
      </c>
      <c r="E1112" t="inlineStr">
        <is>
          <t>pro14</t>
        </is>
      </c>
      <c r="F1112" t="inlineStr">
        <is>
          <t>prod</t>
        </is>
      </c>
    </row>
    <row r="1113">
      <c r="A1113" t="inlineStr">
        <is>
          <t>2025-05-09 11:49:39.727</t>
        </is>
      </c>
      <c r="B1113">
        <f>=请求开始== [请求IP]:218.17.115.163 ,[请求方式]:POST， [请求URL]:https://172.30.212.148:8080/api/appservice/bfv/v1/chatHistory/batchSave, [请求类名]:com.yingzi.appservice.bfv.provider.rest.ChatHistoryController,[请求方法名]:batchSave, [请求头参数]:{"host":"172.30.212.148:8080"}, [请求参数]:[[{"userId":908023066098442241,"deviceId":"F4:CE:23:BC:3F:B8","sessionId":"","avatarId":"11200220000208050000000000000000","appCode":"VDHtestWDC","instructionTemplateType":"","recordId":"","asrResult":"","knowledgeId":"","knowledgeMasterId":"","instructionType":"","instructionName":"","instructionFlag":"","parameter":"{}","ttsResultSource":"","ttsResult":"","response":0}]]</f>
        <v/>
      </c>
      <c r="C1113" t="inlineStr">
        <is>
          <t>INFO</t>
        </is>
      </c>
      <c r="D1113" t="inlineStr">
        <is>
          <t>vdh</t>
        </is>
      </c>
      <c r="E1113" t="inlineStr">
        <is>
          <t>pro14</t>
        </is>
      </c>
      <c r="F1113" t="inlineStr">
        <is>
          <t>prod</t>
        </is>
      </c>
    </row>
    <row r="1114">
      <c r="A1114" t="inlineStr">
        <is>
          <t>2025-05-09 11:48:50.680</t>
        </is>
      </c>
      <c r="B1114">
        <f>=请求结束== [请求耗时]:15毫秒, [返回数据]:{"code":"000000","msg":"Success","traceId":"8b228af0dca00a7946c785b8607225ed"}</f>
        <v/>
      </c>
      <c r="C1114" t="inlineStr">
        <is>
          <t>INFO</t>
        </is>
      </c>
      <c r="D1114" t="inlineStr">
        <is>
          <t>vdh</t>
        </is>
      </c>
      <c r="E1114" t="inlineStr">
        <is>
          <t>pro17</t>
        </is>
      </c>
      <c r="F1114" t="inlineStr">
        <is>
          <t>prod</t>
        </is>
      </c>
    </row>
    <row r="1115">
      <c r="A1115" t="inlineStr">
        <is>
          <t>2025-05-09 11:48:50.666</t>
        </is>
      </c>
      <c r="B1115">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64:79:F0:FF:55:A5","sessionId":"","avatarId":"11200220000208050000000000000000","appCode":"VDHtestWDC","instructionTemplateType":"","recordId":"","asrResult":"","knowledgeId":"","knowledgeMasterId":"","instructionType":"","instructionName":"","instructionFlag":"","parameter":"{}","ttsResultSource":"local","ttsResult":"小万发现了玉米,主人喜欢脆嫩还是熟制(复热)口感","ttsResultTime":{"year":2025,"monthValue":5,"month":"MAY","dayOfMonth":9,"dayOfYear":129,"dayOfWeek":"FRIDAY","hour":11,"minute":41,"second":33,"nano":0,"chronology":{"id":"ISO","calendarType":"iso8601"}},"response":1746762093970}]]</f>
        <v/>
      </c>
      <c r="C1115" t="inlineStr">
        <is>
          <t>INFO</t>
        </is>
      </c>
      <c r="D1115" t="inlineStr">
        <is>
          <t>vdh</t>
        </is>
      </c>
      <c r="E1115" t="inlineStr">
        <is>
          <t>pro17</t>
        </is>
      </c>
      <c r="F1115" t="inlineStr">
        <is>
          <t>prod</t>
        </is>
      </c>
    </row>
    <row r="1116">
      <c r="A1116" t="inlineStr">
        <is>
          <t>2025-05-09 11:48:25.125</t>
        </is>
      </c>
      <c r="B1116">
        <f>=请求结束== [请求耗时]:14毫秒, [返回数据]:{"code":"000000","msg":"Success","traceId":"d80157cb039b6f9ac5d58e182fec6e85"}</f>
        <v/>
      </c>
      <c r="C1116" t="inlineStr">
        <is>
          <t>INFO</t>
        </is>
      </c>
      <c r="D1116" t="inlineStr">
        <is>
          <t>vdh</t>
        </is>
      </c>
      <c r="E1116" t="inlineStr">
        <is>
          <t>pro14</t>
        </is>
      </c>
      <c r="F1116" t="inlineStr">
        <is>
          <t>prod</t>
        </is>
      </c>
    </row>
    <row r="1117">
      <c r="A1117" t="inlineStr">
        <is>
          <t>2025-05-09 11:48:25.111</t>
        </is>
      </c>
      <c r="B1117">
        <f>=请求开始== [请求IP]:14.145.78.24 ,[请求方式]:POST， [请求URL]:https://172.30.212.148:8080/api/appservice/bfv/v1/chatHistory/batchSave, [请求类名]:com.yingzi.appservice.bfv.provider.rest.ChatHistoryController,[请求方法名]:batchSave, [请求头参数]:{"host":"172.30.212.148:8080"}, [请求参数]:[[{"userId":1187618907244167170,"deviceId":"64:79:F0:E9:E1:6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11,"minute":48,"second":19,"nano":0,"chronology":{"id":"ISO","calendarType":"iso8601"}},"response":13599}]]</f>
        <v/>
      </c>
      <c r="C1117" t="inlineStr">
        <is>
          <t>INFO</t>
        </is>
      </c>
      <c r="D1117" t="inlineStr">
        <is>
          <t>vdh</t>
        </is>
      </c>
      <c r="E1117" t="inlineStr">
        <is>
          <t>pro14</t>
        </is>
      </c>
      <c r="F1117" t="inlineStr">
        <is>
          <t>prod</t>
        </is>
      </c>
    </row>
    <row r="1118">
      <c r="A1118" t="inlineStr">
        <is>
          <t>2025-05-09 11:48:14.254</t>
        </is>
      </c>
      <c r="B1118">
        <f>=请求结束== [请求耗时]:16毫秒, [返回数据]:{"code":"000000","msg":"Success","traceId":"70e03f350a79450baee68e810bad47d3"}</f>
        <v/>
      </c>
      <c r="C1118" t="inlineStr">
        <is>
          <t>INFO</t>
        </is>
      </c>
      <c r="D1118" t="inlineStr">
        <is>
          <t>vdh</t>
        </is>
      </c>
      <c r="E1118" t="inlineStr">
        <is>
          <t>pro17</t>
        </is>
      </c>
      <c r="F1118" t="inlineStr">
        <is>
          <t>prod</t>
        </is>
      </c>
    </row>
    <row r="1119">
      <c r="A1119" t="inlineStr">
        <is>
          <t>2025-05-09 11:48:14.239</t>
        </is>
      </c>
      <c r="B1119">
        <f>=请求开始== [请求IP]:14.145.78.24 ,[请求方式]:POST， [请求URL]:https://172.30.103.196:8080/api/appservice/bfv/v1/chatHistory/batchSave, [请求类名]:com.yingzi.appservice.bfv.provider.rest.ChatHistoryController,[请求方法名]:batchSave, [请求头参数]:{"host":"172.30.103.196:8080"}, [请求参数]:[[{"userId":1187618907244167170,"deviceId":"64:79:F0:E9:E1:6B","sessionId":"","avatarId":"11200220000208050000000000000000","appCode":"VDHtestWDC","instructionTemplateType":"Instruction_library","recordId":"","asrResult":"40度","instructionAsrFirstTime":{"year":2025,"monthValue":5,"month":"MAY","dayOfMonth":9,"dayOfYear":129,"dayOfWeek":"FRIDAY","hour":11,"minute":48,"second":5,"nano":0,"chronology":{"id":"ISO","calendarType":"iso8601"}},"knowledgeId":"","knowledgeMasterId":"295","instructionType":"COOKING","instructionName":"加热到指定温度","instructionFlag":"set_cooking_temp","parameter":"{\"answer\":\"DEFAULT\",\"code\":\"set_cooking_temp\",\"continue_answer\":\"\",\"continue_failed_answer\":\"\",\"entities\":\"[{\\\"start\\\":0,\\\"end\\\":2,\\\"text\\\":\\\"40\\\",\\\"value\\\":40,\\\"confidence\\\":1,\\\"additional_info\\\":{\\\"value\\\":40,\\\"type\\\":\\\"value\\\",\\\"unit\\\":\\\"\\\"},\\\"entity\\\":\\\"number\\\",\\\"extractor\\\":\\\"DucklingEntityExtractor\\\"}]\",\"failed_answer\":\"{\\\"answerId\\\":\\\"\\\",\\\"value\\\":\\\"抱歉，无法执行\\\",\\\"hidb\\\":\\\"\\\",\\\"aplusId\\\":\\\"\\\",\\\"flag\\\":true,\\\"updFlag\\\":false,\\\"cache\\\":false}\",\"hitBusiness\":\"295\",\"init_state\":\"false\",\"intent\":\"加热到指定温度\",\"intentType\":\"COOKING\",\"isEnd\":\"true\",\"isMulti\":\"false\",\"service\":\"Instruction_library\",\"succeed_answer\":\"{\\\"answerId\\\":\\\"\\\",\\\"value\\\":\\\"好嘞，温度调好了，要帮主人开始烹饪吗\\\",\\\"hidb\\\":\\\"\\\",\\\"aplusId\\\":\\\"\\\",\\\"flag\\\":true,\\\"updFlag\\\":false,\\\"cache\\\":false}\"}","ttsResultSource":"local","ttsResult":"温度调好了,要开始烹饪吗开始烹饪,请耐心等待","ttsResultTime":{"year":2025,"monthValue":5,"month":"MAY","dayOfMonth":9,"dayOfYear":129,"dayOfWeek":"FRIDAY","hour":11,"minute":48,"second":7,"nano":0,"chronology":{"id":"ISO","calendarType":"iso8601"}},"response":1216}]]</f>
        <v/>
      </c>
      <c r="C1119" t="inlineStr">
        <is>
          <t>INFO</t>
        </is>
      </c>
      <c r="D1119" t="inlineStr">
        <is>
          <t>vdh</t>
        </is>
      </c>
      <c r="E1119" t="inlineStr">
        <is>
          <t>pro17</t>
        </is>
      </c>
      <c r="F1119" t="inlineStr">
        <is>
          <t>prod</t>
        </is>
      </c>
    </row>
    <row r="1120">
      <c r="A1120" t="inlineStr">
        <is>
          <t>2025-05-09 11:47:30.601</t>
        </is>
      </c>
      <c r="B1120">
        <f>=请求结束== [请求耗时]:14毫秒, [返回数据]:{"code":"000000","msg":"Success","traceId":"48d25a0a835190067da4fa0fca3ed81d"}</f>
        <v/>
      </c>
      <c r="C1120" t="inlineStr">
        <is>
          <t>INFO</t>
        </is>
      </c>
      <c r="D1120" t="inlineStr">
        <is>
          <t>vdh</t>
        </is>
      </c>
      <c r="E1120" t="inlineStr">
        <is>
          <t>pro14</t>
        </is>
      </c>
      <c r="F1120" t="inlineStr">
        <is>
          <t>prod</t>
        </is>
      </c>
    </row>
    <row r="1121">
      <c r="A1121" t="inlineStr">
        <is>
          <t>2025-05-09 11:47:30.587</t>
        </is>
      </c>
      <c r="B1121">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87:97:8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11,"minute":40,"second":49,"nano":0,"chronology":{"id":"ISO","calendarType":"iso8601"}},"response":1746762049841}]]</f>
        <v/>
      </c>
      <c r="C1121" t="inlineStr">
        <is>
          <t>INFO</t>
        </is>
      </c>
      <c r="D1121" t="inlineStr">
        <is>
          <t>vdh</t>
        </is>
      </c>
      <c r="E1121" t="inlineStr">
        <is>
          <t>pro14</t>
        </is>
      </c>
      <c r="F1121" t="inlineStr">
        <is>
          <t>prod</t>
        </is>
      </c>
    </row>
    <row r="1122">
      <c r="A1122" t="inlineStr">
        <is>
          <t>2025-05-09 11:46:13.638</t>
        </is>
      </c>
      <c r="B1122">
        <f>=请求结束== [请求耗时]:14毫秒, [返回数据]:{"code":"000000","msg":"Success","traceId":"7517d94f437c436d4e5cca890f80897d"}</f>
        <v/>
      </c>
      <c r="C1122" t="inlineStr">
        <is>
          <t>INFO</t>
        </is>
      </c>
      <c r="D1122" t="inlineStr">
        <is>
          <t>vdh</t>
        </is>
      </c>
      <c r="E1122" t="inlineStr">
        <is>
          <t>pro17</t>
        </is>
      </c>
      <c r="F1122" t="inlineStr">
        <is>
          <t>prod</t>
        </is>
      </c>
    </row>
    <row r="1123">
      <c r="A1123" t="inlineStr">
        <is>
          <t>2025-05-09 11:46:13.625</t>
        </is>
      </c>
      <c r="B1123">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15:5F:7C","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11,"minute":42,"second":27,"nano":0,"chronology":{"id":"ISO","calendarType":"iso8601"}},"response":1746762147263}]]</f>
        <v/>
      </c>
      <c r="C1123" t="inlineStr">
        <is>
          <t>INFO</t>
        </is>
      </c>
      <c r="D1123" t="inlineStr">
        <is>
          <t>vdh</t>
        </is>
      </c>
      <c r="E1123" t="inlineStr">
        <is>
          <t>pro17</t>
        </is>
      </c>
      <c r="F1123" t="inlineStr">
        <is>
          <t>prod</t>
        </is>
      </c>
    </row>
    <row r="1124">
      <c r="A1124" t="inlineStr">
        <is>
          <t>2025-05-09 11:46:10.141</t>
        </is>
      </c>
      <c r="B1124">
        <f>=请求结束== [请求耗时]:16毫秒, [返回数据]:{"code":"000000","msg":"Success","traceId":"12f52d472e47b27db2307fbdde804146"}</f>
        <v/>
      </c>
      <c r="C1124" t="inlineStr">
        <is>
          <t>INFO</t>
        </is>
      </c>
      <c r="D1124" t="inlineStr">
        <is>
          <t>vdh</t>
        </is>
      </c>
      <c r="E1124" t="inlineStr">
        <is>
          <t>pro14</t>
        </is>
      </c>
      <c r="F1124" t="inlineStr">
        <is>
          <t>prod</t>
        </is>
      </c>
    </row>
    <row r="1125">
      <c r="A1125" t="inlineStr">
        <is>
          <t>2025-05-09 11:46:10.125</t>
        </is>
      </c>
      <c r="B1125">
        <f>=请求开始== [请求IP]:14.145.78.24 ,[请求方式]:POST， [请求URL]:https://172.30.212.148:8080/api/appservice/bfv/v1/chatHistory/batchSave, [请求类名]:com.yingzi.appservice.bfv.provider.rest.ChatHistoryController,[请求方法名]:batchSave, [请求头参数]:{"host":"172.30.212.148:8080"}, [请求参数]:[[{"userId":1187618907244167170,"deviceId":"64:79:F0:E9:E1:6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11,"minute":46,"second":4,"nano":0,"chronology":{"id":"ISO","calendarType":"iso8601"}},"response":57228116}]]</f>
        <v/>
      </c>
      <c r="C1125" t="inlineStr">
        <is>
          <t>INFO</t>
        </is>
      </c>
      <c r="D1125" t="inlineStr">
        <is>
          <t>vdh</t>
        </is>
      </c>
      <c r="E1125" t="inlineStr">
        <is>
          <t>pro14</t>
        </is>
      </c>
      <c r="F1125" t="inlineStr">
        <is>
          <t>prod</t>
        </is>
      </c>
    </row>
    <row r="1126">
      <c r="A1126" t="inlineStr">
        <is>
          <t>2025-05-09 11:40:45.391</t>
        </is>
      </c>
      <c r="B1126">
        <f>=请求结束== [请求耗时]:16毫秒, [返回数据]:{"code":"000000","msg":"Success","traceId":"301ccd4ee6506be30e5e78a318b84a0f"}</f>
        <v/>
      </c>
      <c r="C1126" t="inlineStr">
        <is>
          <t>INFO</t>
        </is>
      </c>
      <c r="D1126" t="inlineStr">
        <is>
          <t>vdh</t>
        </is>
      </c>
      <c r="E1126" t="inlineStr">
        <is>
          <t>pro17</t>
        </is>
      </c>
      <c r="F1126" t="inlineStr">
        <is>
          <t>prod</t>
        </is>
      </c>
    </row>
    <row r="1127">
      <c r="A1127" t="inlineStr">
        <is>
          <t>2025-05-09 11:40:45.375</t>
        </is>
      </c>
      <c r="B1127">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84:5C:F3:27:DE:40","sessionId":"","avatarId":"11200220000208050000000000000000","appCode":"VDHtestWDC","instructionTemplateType":"","recordId":"","asrResult":"","knowledgeId":"","knowledgeMasterId":"","instructionType":"","instructionName":"","instructionFlag":"","parameter":"{}","ttsResultSource":"local","ttsResult":"","response":0}]]</f>
        <v/>
      </c>
      <c r="C1127" t="inlineStr">
        <is>
          <t>INFO</t>
        </is>
      </c>
      <c r="D1127" t="inlineStr">
        <is>
          <t>vdh</t>
        </is>
      </c>
      <c r="E1127" t="inlineStr">
        <is>
          <t>pro17</t>
        </is>
      </c>
      <c r="F1127" t="inlineStr">
        <is>
          <t>prod</t>
        </is>
      </c>
    </row>
    <row r="1128">
      <c r="A1128" t="inlineStr">
        <is>
          <t>2025-05-09 11:37:58.723</t>
        </is>
      </c>
      <c r="B1128">
        <f>=请求结束== [请求耗时]:15毫秒, [返回数据]:{"code":"000000","msg":"Success","traceId":"6b4213977edc931e8632424096034ba1"}</f>
        <v/>
      </c>
      <c r="C1128" t="inlineStr">
        <is>
          <t>INFO</t>
        </is>
      </c>
      <c r="D1128" t="inlineStr">
        <is>
          <t>vdh</t>
        </is>
      </c>
      <c r="E1128" t="inlineStr">
        <is>
          <t>pro14</t>
        </is>
      </c>
      <c r="F1128" t="inlineStr">
        <is>
          <t>prod</t>
        </is>
      </c>
    </row>
    <row r="1129">
      <c r="A1129" t="inlineStr">
        <is>
          <t>2025-05-09 11:37:58.708</t>
        </is>
      </c>
      <c r="B1129">
        <f>=请求开始== [请求IP]:111.29.153.114 ,[请求方式]:POST， [请求URL]:https://172.30.212.148:8080/api/appservice/bfv/v1/chatHistory/batchSave, [请求类名]:com.yingzi.appservice.bfv.provider.rest.ChatHistoryController,[请求方法名]:batchSave, [请求头参数]:{"host":"172.30.212.148:8080"}, [请求参数]:[[{"userId":764489818596057088,"deviceId":"64:79:F0:79:7A:43","sessionId":"","avatarId":"11200220000208050000000000000000","appCode":"VDHtestWDC","instructionTemplateType":"Instruction_library","recordId":"","asrResult":"南瓜","instructionAsrFirstTime":{"year":2025,"monthValue":5,"month":"MAY","dayOfMonth":9,"dayOfYear":129,"dayOfWeek":"FRIDAY","hour":11,"minute":33,"second":55,"nano":0,"chronology":{"id":"ISO","calendarType":"iso8601"}},"knowledgeId":"","knowledgeMasterId":"295","instructionType":"COOKING","instructionName":"选择食物","instructionFlag":"set_foodtype","parameter":"{\"answer\":\"DEFAULT\",\"code\":\"set_foodtype\",\"continue_answer\":\"\",\"continue_failed_answer\":\"\",\"entities\":\"[{\\\"name\\\":\\\"菜品名称\\\",\\\"value\\\":\\\"南瓜\\\",\\\"similar_value\\\":\\\"南瓜\\\",\\\"similar_standard_value\\\":\\\"南瓜\\\",\\\"similar_target_id\\\":\\\"679\\\",\\\"answer\\\":{\\\"answerId\\\":\\\"\\\",\\\"value\\\":\\\"\\\",\\\"hidb\\\":\\\"\\\",\\\"aplusId\\\":\\\"\\\",\\\"flag\\\":true,\\\"updFlag\\\":false,\\\"cache\\\":false}}]\",\"failed_answer\":\"{\\\"answerId\\\":\\\"\\\",\\\"value\\\":\\\"抱歉，执行失败\\\",\\\"hidb\\\":\\\"\\\",\\\"aplusId\\\":\\\"\\\",\\\"flag\\\":true,\\\"updFlag\\\":false,\\\"cache\\\":false}\",\"hitBusiness\":\"295\",\"init_state\":\"false\",\"intent\":\"选择食物\",\"intentType\":\"COOKING\",\"isEnd\":\"true\",\"isMulti\":\"false\",\"service\":\"Instruction_library\",\"succeed_answer\":\"{\\\"answerId\\\":\\\"\\\",\\\"value\\\":\\\"好嘞，小万会按照主人吩咐的烹饪哒\\\",\\\"hidb\\\":\\\"\\\",\\\"aplusId\\\":\\\"\\\",\\\"flag\\\":true,\\\"updFlag\\\":false,\\\"cache\\\":false}\"}","ttsResultSource":"local","ttsResult":"找到多个烹饪方案,主人想选第几个呢烹饪完成,请取餐,小心烫","ttsResultTime":{"year":2025,"monthValue":5,"month":"MAY","dayOfMonth":9,"dayOfYear":129,"dayOfWeek":"FRIDAY","hour":11,"minute":34,"second":3,"nano":0,"chronology":{"id":"ISO","calendarType":"iso8601"}},"response":7323}]]</f>
        <v/>
      </c>
      <c r="C1129" t="inlineStr">
        <is>
          <t>INFO</t>
        </is>
      </c>
      <c r="D1129" t="inlineStr">
        <is>
          <t>vdh</t>
        </is>
      </c>
      <c r="E1129" t="inlineStr">
        <is>
          <t>pro14</t>
        </is>
      </c>
      <c r="F1129" t="inlineStr">
        <is>
          <t>prod</t>
        </is>
      </c>
    </row>
    <row r="1130">
      <c r="A1130" t="inlineStr">
        <is>
          <t>2025-05-09 11:37:30.606</t>
        </is>
      </c>
      <c r="B1130">
        <f>=请求结束== [请求耗时]:12毫秒, [返回数据]:{"code":"000000","msg":"Success","traceId":"3a9800b18931965ff1738b1e279a7894"}</f>
        <v/>
      </c>
      <c r="C1130" t="inlineStr">
        <is>
          <t>INFO</t>
        </is>
      </c>
      <c r="D1130" t="inlineStr">
        <is>
          <t>vdh</t>
        </is>
      </c>
      <c r="E1130" t="inlineStr">
        <is>
          <t>pro17</t>
        </is>
      </c>
      <c r="F1130" t="inlineStr">
        <is>
          <t>prod</t>
        </is>
      </c>
    </row>
    <row r="1131">
      <c r="A1131" t="inlineStr">
        <is>
          <t>2025-05-09 11:37:30.595</t>
        </is>
      </c>
      <c r="B1131">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64:79:F0:FF:55:A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11,"minute":30,"second":13,"nano":0,"chronology":{"id":"ISO","calendarType":"iso8601"}},"response":1746761413264}]]</f>
        <v/>
      </c>
      <c r="C1131" t="inlineStr">
        <is>
          <t>INFO</t>
        </is>
      </c>
      <c r="D1131" t="inlineStr">
        <is>
          <t>vdh</t>
        </is>
      </c>
      <c r="E1131" t="inlineStr">
        <is>
          <t>pro17</t>
        </is>
      </c>
      <c r="F1131" t="inlineStr">
        <is>
          <t>prod</t>
        </is>
      </c>
    </row>
    <row r="1132">
      <c r="A1132" t="inlineStr">
        <is>
          <t>2025-05-09 11:37:07.052</t>
        </is>
      </c>
      <c r="B1132">
        <f>=请求结束== [请求耗时]:14毫秒, [返回数据]:{"code":"000000","msg":"Success","traceId":"6046146895893471beeed7eb3bca4e2a"}</f>
        <v/>
      </c>
      <c r="C1132" t="inlineStr">
        <is>
          <t>INFO</t>
        </is>
      </c>
      <c r="D1132" t="inlineStr">
        <is>
          <t>vdh</t>
        </is>
      </c>
      <c r="E1132" t="inlineStr">
        <is>
          <t>pro14</t>
        </is>
      </c>
      <c r="F1132" t="inlineStr">
        <is>
          <t>prod</t>
        </is>
      </c>
    </row>
    <row r="1133">
      <c r="A1133" t="inlineStr">
        <is>
          <t>2025-05-09 11:37:07.038</t>
        </is>
      </c>
      <c r="B1133">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15:5F:7C","sessionId":"","avatarId":"11200220000208050000000000000000","appCode":"VDHtestWDC","instructionTemplateType":"","recordId":"","asrResult":"","knowledgeId":"","knowledgeMasterId":"","instructionType":"","instructionName":"","instructionFlag":"","parameter":"{}","ttsResultSource":"local","ttsResult":"烹饪完成,请取餐,小心烫小万发现了红烧排骨或糖醋排骨或话梅排骨,主人喜欢糖醋排骨还是红烧排骨/话梅排骨口感开始烹饪,请耐心等待","ttsResultTime":{"year":2025,"monthValue":5,"month":"MAY","dayOfMonth":9,"dayOfYear":129,"dayOfWeek":"FRIDAY","hour":11,"minute":31,"second":31,"nano":0,"chronology":{"id":"ISO","calendarType":"iso8601"}},"response":1746761491743}]]</f>
        <v/>
      </c>
      <c r="C1133" t="inlineStr">
        <is>
          <t>INFO</t>
        </is>
      </c>
      <c r="D1133" t="inlineStr">
        <is>
          <t>vdh</t>
        </is>
      </c>
      <c r="E1133" t="inlineStr">
        <is>
          <t>pro14</t>
        </is>
      </c>
      <c r="F1133" t="inlineStr">
        <is>
          <t>prod</t>
        </is>
      </c>
    </row>
    <row r="1134">
      <c r="A1134" t="inlineStr">
        <is>
          <t>2025-05-09 11:36:13.718</t>
        </is>
      </c>
      <c r="B1134">
        <f>=请求结束== [请求耗时]:13毫秒, [返回数据]:{"code":"000000","msg":"Success","traceId":"ff252efd37f00bf493ab319105daa9a9"}</f>
        <v/>
      </c>
      <c r="C1134" t="inlineStr">
        <is>
          <t>INFO</t>
        </is>
      </c>
      <c r="D1134" t="inlineStr">
        <is>
          <t>vdh</t>
        </is>
      </c>
      <c r="E1134" t="inlineStr">
        <is>
          <t>pro17</t>
        </is>
      </c>
      <c r="F1134" t="inlineStr">
        <is>
          <t>prod</t>
        </is>
      </c>
    </row>
    <row r="1135">
      <c r="A1135" t="inlineStr">
        <is>
          <t>2025-05-09 11:36:13.705</t>
        </is>
      </c>
      <c r="B1135">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11,"minute":29,"second":32,"nano":0,"chronology":{"id":"ISO","calendarType":"iso8601"}},"response":1746761372633}]]</f>
        <v/>
      </c>
      <c r="C1135" t="inlineStr">
        <is>
          <t>INFO</t>
        </is>
      </c>
      <c r="D1135" t="inlineStr">
        <is>
          <t>vdh</t>
        </is>
      </c>
      <c r="E1135" t="inlineStr">
        <is>
          <t>pro17</t>
        </is>
      </c>
      <c r="F1135" t="inlineStr">
        <is>
          <t>prod</t>
        </is>
      </c>
    </row>
    <row r="1136">
      <c r="A1136" t="inlineStr">
        <is>
          <t>2025-05-09 11:34:12.609</t>
        </is>
      </c>
      <c r="B1136">
        <f>=请求结束== [请求耗时]:14毫秒, [返回数据]:{"code":"000000","msg":"Success","traceId":"61aa228957a27d76dd37cc30cf74feb1"}</f>
        <v/>
      </c>
      <c r="C1136" t="inlineStr">
        <is>
          <t>INFO</t>
        </is>
      </c>
      <c r="D1136" t="inlineStr">
        <is>
          <t>vdh</t>
        </is>
      </c>
      <c r="E1136" t="inlineStr">
        <is>
          <t>pro14</t>
        </is>
      </c>
      <c r="F1136" t="inlineStr">
        <is>
          <t>prod</t>
        </is>
      </c>
    </row>
    <row r="1137">
      <c r="A1137" t="inlineStr">
        <is>
          <t>2025-05-09 11:34:12.595</t>
        </is>
      </c>
      <c r="B1137">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87:97:8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11,"minute":27,"second":31,"nano":0,"chronology":{"id":"ISO","calendarType":"iso8601"}},"response":1746761251865}]]</f>
        <v/>
      </c>
      <c r="C1137" t="inlineStr">
        <is>
          <t>INFO</t>
        </is>
      </c>
      <c r="D1137" t="inlineStr">
        <is>
          <t>vdh</t>
        </is>
      </c>
      <c r="E1137" t="inlineStr">
        <is>
          <t>pro14</t>
        </is>
      </c>
      <c r="F1137" t="inlineStr">
        <is>
          <t>prod</t>
        </is>
      </c>
    </row>
    <row r="1138">
      <c r="A1138" t="inlineStr">
        <is>
          <t>2025-05-09 11:33:53.131</t>
        </is>
      </c>
      <c r="B1138">
        <f>=请求结束== [请求耗时]:16毫秒, [返回数据]:{"code":"000000","msg":"Success","traceId":"03f82f8808d9f8f387e0e52619550919"}</f>
        <v/>
      </c>
      <c r="C1138" t="inlineStr">
        <is>
          <t>INFO</t>
        </is>
      </c>
      <c r="D1138" t="inlineStr">
        <is>
          <t>vdh</t>
        </is>
      </c>
      <c r="E1138" t="inlineStr">
        <is>
          <t>pro17</t>
        </is>
      </c>
      <c r="F1138" t="inlineStr">
        <is>
          <t>prod</t>
        </is>
      </c>
    </row>
    <row r="1139">
      <c r="A1139" t="inlineStr">
        <is>
          <t>2025-05-09 11:33:53.115</t>
        </is>
      </c>
      <c r="B1139">
        <f>=请求开始== [请求IP]:111.29.153.114 ,[请求方式]:POST， [请求URL]:https://172.30.103.196:8080/api/appservice/bfv/v1/chatHistory/batchSave, [请求类名]:com.yingzi.appservice.bfv.provider.rest.ChatHistoryController,[请求方法名]:batchSave, [请求头参数]:{"host":"172.30.103.196:8080"}, [请求参数]:[[{"userId":764489818596057088,"deviceId":"64:79:F0:79:7A:43","sessionId":"","avatarId":"11200220000208050000000000000000","appCode":"VDHtestWDC","instructionTemplateType":"","recordId":"","asrResult":"","instructionAsrFirstTime":{"year":2025,"monthValue":5,"month":"MAY","dayOfMonth":9,"dayOfYear":129,"dayOfWeek":"FRIDAY","hour":11,"minute":33,"second":52,"nano":0,"chronology":{"id":"ISO","calendarType":"iso8601"}},"knowledgeId":"","knowledgeMasterId":"","instructionType":"","instructionName":"","instructionFlag":"","parameter":"{}","ttsResultSource":"","ttsResult":"","response":0}]]</f>
        <v/>
      </c>
      <c r="C1139" t="inlineStr">
        <is>
          <t>INFO</t>
        </is>
      </c>
      <c r="D1139" t="inlineStr">
        <is>
          <t>vdh</t>
        </is>
      </c>
      <c r="E1139" t="inlineStr">
        <is>
          <t>pro17</t>
        </is>
      </c>
      <c r="F1139" t="inlineStr">
        <is>
          <t>prod</t>
        </is>
      </c>
    </row>
    <row r="1140">
      <c r="A1140" t="inlineStr">
        <is>
          <t>2025-05-09 11:33:51.343</t>
        </is>
      </c>
      <c r="B1140">
        <f>=请求结束== [请求耗时]:16毫秒, [返回数据]:{"code":"000000","msg":"Success","traceId":"fdf8d7c8bcaccead79985f619f3b91e3"}</f>
        <v/>
      </c>
      <c r="C1140" t="inlineStr">
        <is>
          <t>INFO</t>
        </is>
      </c>
      <c r="D1140" t="inlineStr">
        <is>
          <t>vdh</t>
        </is>
      </c>
      <c r="E1140" t="inlineStr">
        <is>
          <t>pro14</t>
        </is>
      </c>
      <c r="F1140" t="inlineStr">
        <is>
          <t>prod</t>
        </is>
      </c>
    </row>
    <row r="1141">
      <c r="A1141" t="inlineStr">
        <is>
          <t>2025-05-09 11:33:51.327</t>
        </is>
      </c>
      <c r="B1141">
        <f>=请求开始== [请求IP]:111.29.153.114 ,[请求方式]:POST， [请求URL]:https://172.30.212.148:8080/api/appservice/bfv/v1/chatHistory/batchSave, [请求类名]:com.yingzi.appservice.bfv.provider.rest.ChatHistoryController,[请求方法名]:batchSave, [请求头参数]:{"host":"172.30.212.148:8080"}, [请求参数]:[[{"userId":764489818596057088,"deviceId":"64:79:F0:79:7A:43","sessionId":"","avatarId":"11200220000208050000000000000000","appCode":"VDHtestWDC","instructionTemplateType":"","recordId":"","asrResult":"","knowledgeId":"","knowledgeMasterId":"","instructionType":"","instructionName":"","instructionFlag":"","parameter":"{}","ttsResultSource":"local","ttsResult":"小万发现了清烹土豆,要帮主人开始烹饪吗","ttsResultTime":{"year":2025,"monthValue":5,"month":"MAY","dayOfMonth":9,"dayOfYear":129,"dayOfWeek":"FRIDAY","hour":11,"minute":33,"second":46,"nano":0,"chronology":{"id":"ISO","calendarType":"iso8601"}},"response":1746761626947}]]</f>
        <v/>
      </c>
      <c r="C1141" t="inlineStr">
        <is>
          <t>INFO</t>
        </is>
      </c>
      <c r="D1141" t="inlineStr">
        <is>
          <t>vdh</t>
        </is>
      </c>
      <c r="E1141" t="inlineStr">
        <is>
          <t>pro14</t>
        </is>
      </c>
      <c r="F1141" t="inlineStr">
        <is>
          <t>prod</t>
        </is>
      </c>
    </row>
    <row r="1142">
      <c r="A1142" t="inlineStr">
        <is>
          <t>2025-05-09 11:32:25.864</t>
        </is>
      </c>
      <c r="B1142">
        <f>=请求结束== [请求耗时]:15毫秒, [返回数据]:{"code":"000000","msg":"Success","traceId":"a4fdc9958d0123c1e0bec992c6e9c2a5"}</f>
        <v/>
      </c>
      <c r="C1142" t="inlineStr">
        <is>
          <t>INFO</t>
        </is>
      </c>
      <c r="D1142" t="inlineStr">
        <is>
          <t>vdh</t>
        </is>
      </c>
      <c r="E1142" t="inlineStr">
        <is>
          <t>pro17</t>
        </is>
      </c>
      <c r="F1142" t="inlineStr">
        <is>
          <t>prod</t>
        </is>
      </c>
    </row>
    <row r="1143">
      <c r="A1143" t="inlineStr">
        <is>
          <t>2025-05-09 11:32:25.849</t>
        </is>
      </c>
      <c r="B1143">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1C:99:57:15:E8:B1","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11,"minute":28,"second":57,"nano":0,"chronology":{"id":"ISO","calendarType":"iso8601"}},"response":1746761337156}]]</f>
        <v/>
      </c>
      <c r="C1143" t="inlineStr">
        <is>
          <t>INFO</t>
        </is>
      </c>
      <c r="D1143" t="inlineStr">
        <is>
          <t>vdh</t>
        </is>
      </c>
      <c r="E1143" t="inlineStr">
        <is>
          <t>pro17</t>
        </is>
      </c>
      <c r="F1143" t="inlineStr">
        <is>
          <t>prod</t>
        </is>
      </c>
    </row>
    <row r="1144">
      <c r="A1144" t="inlineStr">
        <is>
          <t>2025-05-09 11:32:18.232</t>
        </is>
      </c>
      <c r="B1144">
        <f>=请求结束== [请求耗时]:15毫秒, [返回数据]:{"code":"000000","msg":"Success","traceId":"b7bff81f8743dc7b8881fe750879468f"}</f>
        <v/>
      </c>
      <c r="C1144" t="inlineStr">
        <is>
          <t>INFO</t>
        </is>
      </c>
      <c r="D1144" t="inlineStr">
        <is>
          <t>vdh</t>
        </is>
      </c>
      <c r="E1144" t="inlineStr">
        <is>
          <t>pro14</t>
        </is>
      </c>
      <c r="F1144" t="inlineStr">
        <is>
          <t>prod</t>
        </is>
      </c>
    </row>
    <row r="1145">
      <c r="A1145" t="inlineStr">
        <is>
          <t>2025-05-09 11:32:18.217</t>
        </is>
      </c>
      <c r="B1145">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64:79:F0:FF:55:A5","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11,"minute":25,"second":1,"nano":0,"chronology":{"id":"ISO","calendarType":"iso8601"}},"response":1746761101058}]]</f>
        <v/>
      </c>
      <c r="C1145" t="inlineStr">
        <is>
          <t>INFO</t>
        </is>
      </c>
      <c r="D1145" t="inlineStr">
        <is>
          <t>vdh</t>
        </is>
      </c>
      <c r="E1145" t="inlineStr">
        <is>
          <t>pro14</t>
        </is>
      </c>
      <c r="F1145" t="inlineStr">
        <is>
          <t>prod</t>
        </is>
      </c>
    </row>
    <row r="1146">
      <c r="A1146" t="inlineStr">
        <is>
          <t>2025-05-09 11:32:08.821</t>
        </is>
      </c>
      <c r="B1146">
        <f>=请求结束== [请求耗时]:17毫秒, [返回数据]:{"code":"000000","msg":"Success","traceId":"553fcb6237f9815f5d56d366e05908a2"}</f>
        <v/>
      </c>
      <c r="C1146" t="inlineStr">
        <is>
          <t>INFO</t>
        </is>
      </c>
      <c r="D1146" t="inlineStr">
        <is>
          <t>vdh</t>
        </is>
      </c>
      <c r="E1146" t="inlineStr">
        <is>
          <t>pro17</t>
        </is>
      </c>
      <c r="F1146" t="inlineStr">
        <is>
          <t>prod</t>
        </is>
      </c>
    </row>
    <row r="1147">
      <c r="A1147" t="inlineStr">
        <is>
          <t>2025-05-09 11:32:08.805</t>
        </is>
      </c>
      <c r="B1147">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11,"minute":25,"second":28,"nano":0,"chronology":{"id":"ISO","calendarType":"iso8601"}},"response":1746761128202}]]</f>
        <v/>
      </c>
      <c r="C1147" t="inlineStr">
        <is>
          <t>INFO</t>
        </is>
      </c>
      <c r="D1147" t="inlineStr">
        <is>
          <t>vdh</t>
        </is>
      </c>
      <c r="E1147" t="inlineStr">
        <is>
          <t>pro17</t>
        </is>
      </c>
      <c r="F1147" t="inlineStr">
        <is>
          <t>prod</t>
        </is>
      </c>
    </row>
    <row r="1148">
      <c r="A1148" t="inlineStr">
        <is>
          <t>2025-05-09 11:31:36.495</t>
        </is>
      </c>
      <c r="B1148">
        <f>=请求结束== [请求耗时]:14毫秒, [返回数据]:{"code":"000000","msg":"Success","traceId":"1e9b81ec188c12ca4fb391a0d16a4afc"}</f>
        <v/>
      </c>
      <c r="C1148" t="inlineStr">
        <is>
          <t>INFO</t>
        </is>
      </c>
      <c r="D1148" t="inlineStr">
        <is>
          <t>vdh</t>
        </is>
      </c>
      <c r="E1148" t="inlineStr">
        <is>
          <t>pro14</t>
        </is>
      </c>
      <c r="F1148" t="inlineStr">
        <is>
          <t>prod</t>
        </is>
      </c>
    </row>
    <row r="1149">
      <c r="A1149" t="inlineStr">
        <is>
          <t>2025-05-09 11:31:36.481</t>
        </is>
      </c>
      <c r="B1149">
        <f>=请求开始== [请求IP]:14.145.78.24 ,[请求方式]:POST， [请求URL]:https://172.30.212.148:8080/api/appservice/bfv/v1/chatHistory/batchSave, [请求类名]:com.yingzi.appservice.bfv.provider.rest.ChatHistoryController,[请求方法名]:batchSave, [请求头参数]:{"host":"172.30.212.148:8080"}, [请求参数]:[[{"userId":1187618907244167170,"deviceId":"64:79:F0:E9:E1:6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11,"minute":31,"second":30,"nano":0,"chronology":{"id":"ISO","calendarType":"iso8601"}},"response":56354081}]]</f>
        <v/>
      </c>
      <c r="C1149" t="inlineStr">
        <is>
          <t>INFO</t>
        </is>
      </c>
      <c r="D1149" t="inlineStr">
        <is>
          <t>vdh</t>
        </is>
      </c>
      <c r="E1149" t="inlineStr">
        <is>
          <t>pro14</t>
        </is>
      </c>
      <c r="F1149" t="inlineStr">
        <is>
          <t>prod</t>
        </is>
      </c>
    </row>
    <row r="1150">
      <c r="A1150" t="inlineStr">
        <is>
          <t>2025-05-09 11:30:33.574</t>
        </is>
      </c>
      <c r="B1150">
        <f>=请求结束== [请求耗时]:16毫秒, [返回数据]:{"code":"000000","msg":"Success","traceId":"d442c672b668b46f9758f8535a084618"}</f>
        <v/>
      </c>
      <c r="C1150" t="inlineStr">
        <is>
          <t>INFO</t>
        </is>
      </c>
      <c r="D1150" t="inlineStr">
        <is>
          <t>vdh</t>
        </is>
      </c>
      <c r="E1150" t="inlineStr">
        <is>
          <t>pro17</t>
        </is>
      </c>
      <c r="F1150" t="inlineStr">
        <is>
          <t>prod</t>
        </is>
      </c>
    </row>
    <row r="1151">
      <c r="A1151" t="inlineStr">
        <is>
          <t>2025-05-09 11:30:33.558</t>
        </is>
      </c>
      <c r="B1151">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15:5F:7C","sessionId":"","avatarId":"11200220000208050000000000000000","appCode":"VDHtestWDC","instructionTemplateType":"","recordId":"","asrResult":"","knowledgeId":"","knowledgeMasterId":"","instructionType":"","instructionName":"","instructionFlag":"","parameter":"{}","ttsResultSource":"","ttsResult":"","response":0}]]</f>
        <v/>
      </c>
      <c r="C1151" t="inlineStr">
        <is>
          <t>INFO</t>
        </is>
      </c>
      <c r="D1151" t="inlineStr">
        <is>
          <t>vdh</t>
        </is>
      </c>
      <c r="E1151" t="inlineStr">
        <is>
          <t>pro17</t>
        </is>
      </c>
      <c r="F1151" t="inlineStr">
        <is>
          <t>prod</t>
        </is>
      </c>
    </row>
    <row r="1152">
      <c r="A1152" t="inlineStr">
        <is>
          <t>2025-05-09 11:30:18.701</t>
        </is>
      </c>
      <c r="B1152">
        <f>=请求结束== [请求耗时]:16毫秒, [返回数据]:{"code":"000000","msg":"Success","traceId":"cb9897f88c276594a832dd092edf5f68"}</f>
        <v/>
      </c>
      <c r="C1152" t="inlineStr">
        <is>
          <t>INFO</t>
        </is>
      </c>
      <c r="D1152" t="inlineStr">
        <is>
          <t>vdh</t>
        </is>
      </c>
      <c r="E1152" t="inlineStr">
        <is>
          <t>pro14</t>
        </is>
      </c>
      <c r="F1152" t="inlineStr">
        <is>
          <t>prod</t>
        </is>
      </c>
    </row>
    <row r="1153">
      <c r="A1153" t="inlineStr">
        <is>
          <t>2025-05-09 11:30:18.685</t>
        </is>
      </c>
      <c r="B115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64:79:F0:FF:55:A5","sessionId":"","avatarId":"11200220000208050000000000000000","appCode":"VDHtestWDC","instructionTemplateType":"","recordId":"","asrResult":"","knowledgeId":"","knowledgeMasterId":"","instructionType":"","instructionName":"","instructionFlag":"","parameter":"{}","ttsResultSource":"local","ttsResult":"好的烹饪完成,请取餐,小心烫开始烹饪,请耐心等待","ttsResultTime":{"year":2025,"monthValue":5,"month":"MAY","dayOfMonth":9,"dayOfYear":129,"dayOfWeek":"FRIDAY","hour":11,"minute":22,"second":21,"nano":0,"chronology":{"id":"ISO","calendarType":"iso8601"}},"response":1746760941409}]]</f>
        <v/>
      </c>
      <c r="C1153" t="inlineStr">
        <is>
          <t>INFO</t>
        </is>
      </c>
      <c r="D1153" t="inlineStr">
        <is>
          <t>vdh</t>
        </is>
      </c>
      <c r="E1153" t="inlineStr">
        <is>
          <t>pro14</t>
        </is>
      </c>
      <c r="F1153" t="inlineStr">
        <is>
          <t>prod</t>
        </is>
      </c>
    </row>
    <row r="1154">
      <c r="A1154" t="inlineStr">
        <is>
          <t>2025-05-09 11:29:16.769</t>
        </is>
      </c>
      <c r="B1154">
        <f>=请求结束== [请求耗时]:13毫秒, [返回数据]:{"code":"000000","msg":"Success","traceId":"90def93ef93f5c33db9e295d5c100b69"}</f>
        <v/>
      </c>
      <c r="C1154" t="inlineStr">
        <is>
          <t>INFO</t>
        </is>
      </c>
      <c r="D1154" t="inlineStr">
        <is>
          <t>vdh</t>
        </is>
      </c>
      <c r="E1154" t="inlineStr">
        <is>
          <t>pro17</t>
        </is>
      </c>
      <c r="F1154" t="inlineStr">
        <is>
          <t>prod</t>
        </is>
      </c>
    </row>
    <row r="1155">
      <c r="A1155" t="inlineStr">
        <is>
          <t>2025-05-09 11:29:16.757</t>
        </is>
      </c>
      <c r="B1155">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开始烹饪,请耐心等待小万发现了红烧排骨或糖醋排骨或话梅排骨,主人喜欢糖醋排骨还是红烧排骨/话梅排骨口感","ttsResultTime":{"year":2025,"monthValue":5,"month":"MAY","dayOfMonth":9,"dayOfYear":129,"dayOfWeek":"FRIDAY","hour":11,"minute":22,"second":28,"nano":0,"chronology":{"id":"ISO","calendarType":"iso8601"}},"response":1746760948574}]]</f>
        <v/>
      </c>
      <c r="C1155" t="inlineStr">
        <is>
          <t>INFO</t>
        </is>
      </c>
      <c r="D1155" t="inlineStr">
        <is>
          <t>vdh</t>
        </is>
      </c>
      <c r="E1155" t="inlineStr">
        <is>
          <t>pro17</t>
        </is>
      </c>
      <c r="F1155" t="inlineStr">
        <is>
          <t>prod</t>
        </is>
      </c>
    </row>
    <row r="1156">
      <c r="A1156" t="inlineStr">
        <is>
          <t>2025-05-09 11:28:08.611</t>
        </is>
      </c>
      <c r="B1156">
        <f>=请求结束== [请求耗时]:14毫秒, [返回数据]:{"code":"000000","msg":"Success","traceId":"cbaf0f16041b6feef8c8befb860f109c"}</f>
        <v/>
      </c>
      <c r="C1156" t="inlineStr">
        <is>
          <t>INFO</t>
        </is>
      </c>
      <c r="D1156" t="inlineStr">
        <is>
          <t>vdh</t>
        </is>
      </c>
      <c r="E1156" t="inlineStr">
        <is>
          <t>pro17</t>
        </is>
      </c>
      <c r="F1156" t="inlineStr">
        <is>
          <t>prod</t>
        </is>
      </c>
    </row>
    <row r="1157">
      <c r="A1157" t="inlineStr">
        <is>
          <t>2025-05-09 11:28:08.597</t>
        </is>
      </c>
      <c r="B1157">
        <f>=请求开始== [请求IP]:183.9.195.75 ,[请求方式]:POST， [请求URL]:https://172.30.103.196:8080/api/appservice/bfv/v1/chatHistory/batchSave, [请求类名]:com.yingzi.appservice.bfv.provider.rest.ChatHistoryController,[请求方法名]:batchSave, [请求头参数]:{"host":"172.30.103.196:8080"}, [请求参数]:[[{"userId":1151876849451257858,"deviceId":"64:79:F0:79:7A:16","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11,"minute":28,"second":2,"nano":0,"chronology":{"id":"ISO","calendarType":"iso8601"}},"response":1746761282556}]]</f>
        <v/>
      </c>
      <c r="C1157" t="inlineStr">
        <is>
          <t>INFO</t>
        </is>
      </c>
      <c r="D1157" t="inlineStr">
        <is>
          <t>vdh</t>
        </is>
      </c>
      <c r="E1157" t="inlineStr">
        <is>
          <t>pro17</t>
        </is>
      </c>
      <c r="F1157" t="inlineStr">
        <is>
          <t>prod</t>
        </is>
      </c>
    </row>
    <row r="1158">
      <c r="A1158" t="inlineStr">
        <is>
          <t>2025-05-09 11:28:05.964</t>
        </is>
      </c>
      <c r="B1158">
        <f>=请求结束== [请求耗时]:14毫秒, [返回数据]:{"code":"000000","msg":"Success","traceId":"8370d529667f028952dc5ba980f350f9"}</f>
        <v/>
      </c>
      <c r="C1158" t="inlineStr">
        <is>
          <t>INFO</t>
        </is>
      </c>
      <c r="D1158" t="inlineStr">
        <is>
          <t>vdh</t>
        </is>
      </c>
      <c r="E1158" t="inlineStr">
        <is>
          <t>pro14</t>
        </is>
      </c>
      <c r="F1158" t="inlineStr">
        <is>
          <t>prod</t>
        </is>
      </c>
    </row>
    <row r="1159">
      <c r="A1159" t="inlineStr">
        <is>
          <t>2025-05-09 11:28:05.950</t>
        </is>
      </c>
      <c r="B1159">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87:97:8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11,"minute":21,"second":25,"nano":0,"chronology":{"id":"ISO","calendarType":"iso8601"}},"response":1746760885112}]]</f>
        <v/>
      </c>
      <c r="C1159" t="inlineStr">
        <is>
          <t>INFO</t>
        </is>
      </c>
      <c r="D1159" t="inlineStr">
        <is>
          <t>vdh</t>
        </is>
      </c>
      <c r="E1159" t="inlineStr">
        <is>
          <t>pro14</t>
        </is>
      </c>
      <c r="F1159" t="inlineStr">
        <is>
          <t>prod</t>
        </is>
      </c>
    </row>
    <row r="1160">
      <c r="A1160" t="inlineStr">
        <is>
          <t>2025-05-09 11:27:57.664</t>
        </is>
      </c>
      <c r="B1160">
        <f>=请求结束== [请求耗时]:14毫秒, [返回数据]:{"code":"000000","msg":"Success","traceId":"abe001b021ad518ab86b80c7f49f98e0"}</f>
        <v/>
      </c>
      <c r="C1160" t="inlineStr">
        <is>
          <t>INFO</t>
        </is>
      </c>
      <c r="D1160" t="inlineStr">
        <is>
          <t>vdh</t>
        </is>
      </c>
      <c r="E1160" t="inlineStr">
        <is>
          <t>pro17</t>
        </is>
      </c>
      <c r="F1160" t="inlineStr">
        <is>
          <t>prod</t>
        </is>
      </c>
    </row>
    <row r="1161">
      <c r="A1161" t="inlineStr">
        <is>
          <t>2025-05-09 11:27:57.650</t>
        </is>
      </c>
      <c r="B1161">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64:79:F0:FF:55:A5","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11,"minute":19,"second":44,"nano":0,"chronology":{"id":"ISO","calendarType":"iso8601"}},"response":1746760784865}]]</f>
        <v/>
      </c>
      <c r="C1161" t="inlineStr">
        <is>
          <t>INFO</t>
        </is>
      </c>
      <c r="D1161" t="inlineStr">
        <is>
          <t>vdh</t>
        </is>
      </c>
      <c r="E1161" t="inlineStr">
        <is>
          <t>pro17</t>
        </is>
      </c>
      <c r="F1161" t="inlineStr">
        <is>
          <t>prod</t>
        </is>
      </c>
    </row>
    <row r="1162">
      <c r="A1162" t="inlineStr">
        <is>
          <t>2025-05-09 11:27:24.766</t>
        </is>
      </c>
      <c r="B1162">
        <f>=请求结束== [请求耗时]:13毫秒, [返回数据]:{"code":"000000","msg":"Success","traceId":"1050de6714a827c3fed30af21c879cfa"}</f>
        <v/>
      </c>
      <c r="C1162" t="inlineStr">
        <is>
          <t>INFO</t>
        </is>
      </c>
      <c r="D1162" t="inlineStr">
        <is>
          <t>vdh</t>
        </is>
      </c>
      <c r="E1162" t="inlineStr">
        <is>
          <t>pro14</t>
        </is>
      </c>
      <c r="F1162" t="inlineStr">
        <is>
          <t>prod</t>
        </is>
      </c>
    </row>
    <row r="1163">
      <c r="A1163" t="inlineStr">
        <is>
          <t>2025-05-09 11:27:24.753</t>
        </is>
      </c>
      <c r="B116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8:B1","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11,"minute":23,"second":56,"nano":0,"chronology":{"id":"ISO","calendarType":"iso8601"}},"response":1746761036319}]]</f>
        <v/>
      </c>
      <c r="C1163" t="inlineStr">
        <is>
          <t>INFO</t>
        </is>
      </c>
      <c r="D1163" t="inlineStr">
        <is>
          <t>vdh</t>
        </is>
      </c>
      <c r="E1163" t="inlineStr">
        <is>
          <t>pro14</t>
        </is>
      </c>
      <c r="F1163" t="inlineStr">
        <is>
          <t>prod</t>
        </is>
      </c>
    </row>
    <row r="1164">
      <c r="A1164" t="inlineStr">
        <is>
          <t>2025-05-09 11:26:33.002</t>
        </is>
      </c>
      <c r="B1164">
        <f>=请求结束== [请求耗时]:13毫秒, [返回数据]:{"code":"000000","msg":"Success","traceId":"9e4bd547ef5ec72553756c9e52e95882"}</f>
        <v/>
      </c>
      <c r="C1164" t="inlineStr">
        <is>
          <t>INFO</t>
        </is>
      </c>
      <c r="D1164" t="inlineStr">
        <is>
          <t>vdh</t>
        </is>
      </c>
      <c r="E1164" t="inlineStr">
        <is>
          <t>pro14</t>
        </is>
      </c>
      <c r="F1164" t="inlineStr">
        <is>
          <t>prod</t>
        </is>
      </c>
    </row>
    <row r="1165">
      <c r="A1165" t="inlineStr">
        <is>
          <t>2025-05-09 11:26:32.989</t>
        </is>
      </c>
      <c r="B1165">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88:00:68","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11,"minute":26,"second":27,"nano":0,"chronology":{"id":"ISO","calendarType":"iso8601"}},"response":1746761187627}]]</f>
        <v/>
      </c>
      <c r="C1165" t="inlineStr">
        <is>
          <t>INFO</t>
        </is>
      </c>
      <c r="D1165" t="inlineStr">
        <is>
          <t>vdh</t>
        </is>
      </c>
      <c r="E1165" t="inlineStr">
        <is>
          <t>pro14</t>
        </is>
      </c>
      <c r="F1165" t="inlineStr">
        <is>
          <t>prod</t>
        </is>
      </c>
    </row>
    <row r="1166">
      <c r="A1166" t="inlineStr">
        <is>
          <t>2025-05-09 11:26:14.134</t>
        </is>
      </c>
      <c r="B1166">
        <f>=请求结束== [请求耗时]:17毫秒, [返回数据]:{"code":"000000","msg":"Success","traceId":"519d47b3b441b6b4750e55e751d7a3cb"}</f>
        <v/>
      </c>
      <c r="C1166" t="inlineStr">
        <is>
          <t>INFO</t>
        </is>
      </c>
      <c r="D1166" t="inlineStr">
        <is>
          <t>vdh</t>
        </is>
      </c>
      <c r="E1166" t="inlineStr">
        <is>
          <t>pro17</t>
        </is>
      </c>
      <c r="F1166" t="inlineStr">
        <is>
          <t>prod</t>
        </is>
      </c>
    </row>
    <row r="1167">
      <c r="A1167" t="inlineStr">
        <is>
          <t>2025-05-09 11:26:14.117</t>
        </is>
      </c>
      <c r="B1167">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64:79:F0:FF:55:A5","sessionId":"","avatarId":"11200220000208050000000000000000","appCode":"VDHtestWDC","instructionTemplateType":"","recordId":"","asrResult":"","knowledgeId":"","knowledgeMasterId":"","instructionType":"","instructionName":"","instructionFlag":"","parameter":"{}","ttsResultSource":"local","ttsResult":"小万发现了上汤娃娃菜,要开始烹饪吗","ttsResultTime":{"year":2025,"monthValue":5,"month":"MAY","dayOfMonth":9,"dayOfYear":129,"dayOfWeek":"FRIDAY","hour":11,"minute":18,"second":58,"nano":0,"chronology":{"id":"ISO","calendarType":"iso8601"}},"response":1746760738354}]]</f>
        <v/>
      </c>
      <c r="C1167" t="inlineStr">
        <is>
          <t>INFO</t>
        </is>
      </c>
      <c r="D1167" t="inlineStr">
        <is>
          <t>vdh</t>
        </is>
      </c>
      <c r="E1167" t="inlineStr">
        <is>
          <t>pro17</t>
        </is>
      </c>
      <c r="F1167" t="inlineStr">
        <is>
          <t>prod</t>
        </is>
      </c>
    </row>
    <row r="1168">
      <c r="A1168" t="inlineStr">
        <is>
          <t>2025-05-09 11:26:01.873</t>
        </is>
      </c>
      <c r="B1168">
        <f>=请求结束== [请求耗时]:14毫秒, [返回数据]:{"code":"000000","msg":"Success","traceId":"61577de6bb6807add1268315457ec573"}</f>
        <v/>
      </c>
      <c r="C1168" t="inlineStr">
        <is>
          <t>INFO</t>
        </is>
      </c>
      <c r="D1168" t="inlineStr">
        <is>
          <t>vdh</t>
        </is>
      </c>
      <c r="E1168" t="inlineStr">
        <is>
          <t>pro14</t>
        </is>
      </c>
      <c r="F1168" t="inlineStr">
        <is>
          <t>prod</t>
        </is>
      </c>
    </row>
    <row r="1169">
      <c r="A1169" t="inlineStr">
        <is>
          <t>2025-05-09 11:26:01.859</t>
        </is>
      </c>
      <c r="B1169">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64:79:F0:FF:55:A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11,"minute":18,"second":44,"nano":0,"chronology":{"id":"ISO","calendarType":"iso8601"}},"response":1746760724562}]]</f>
        <v/>
      </c>
      <c r="C1169" t="inlineStr">
        <is>
          <t>INFO</t>
        </is>
      </c>
      <c r="D1169" t="inlineStr">
        <is>
          <t>vdh</t>
        </is>
      </c>
      <c r="E1169" t="inlineStr">
        <is>
          <t>pro14</t>
        </is>
      </c>
      <c r="F1169" t="inlineStr">
        <is>
          <t>prod</t>
        </is>
      </c>
    </row>
    <row r="1170">
      <c r="A1170" t="inlineStr">
        <is>
          <t>2025-05-09 11:25:05.539</t>
        </is>
      </c>
      <c r="B1170">
        <f>=请求结束== [请求耗时]:15毫秒, [返回数据]:{"code":"000000","msg":"Success","traceId":"42c919ae2210e816e9ef130e75a954cf"}</f>
        <v/>
      </c>
      <c r="C1170" t="inlineStr">
        <is>
          <t>INFO</t>
        </is>
      </c>
      <c r="D1170" t="inlineStr">
        <is>
          <t>vdh</t>
        </is>
      </c>
      <c r="E1170" t="inlineStr">
        <is>
          <t>pro17</t>
        </is>
      </c>
      <c r="F1170" t="inlineStr">
        <is>
          <t>prod</t>
        </is>
      </c>
    </row>
    <row r="1171">
      <c r="A1171" t="inlineStr">
        <is>
          <t>2025-05-09 11:25:05.524</t>
        </is>
      </c>
      <c r="B1171">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11,"minute":18,"second":24,"nano":0,"chronology":{"id":"ISO","calendarType":"iso8601"}},"response":1746760704809}]]</f>
        <v/>
      </c>
      <c r="C1171" t="inlineStr">
        <is>
          <t>INFO</t>
        </is>
      </c>
      <c r="D1171" t="inlineStr">
        <is>
          <t>vdh</t>
        </is>
      </c>
      <c r="E1171" t="inlineStr">
        <is>
          <t>pro17</t>
        </is>
      </c>
      <c r="F1171" t="inlineStr">
        <is>
          <t>prod</t>
        </is>
      </c>
    </row>
    <row r="1172">
      <c r="A1172" t="inlineStr">
        <is>
          <t>2025-05-09 11:17:58.031</t>
        </is>
      </c>
      <c r="B1172">
        <f>=请求结束== [请求耗时]:19毫秒, [返回数据]:{"code":"000000","msg":"Success","traceId":"8d95b9f5bc73dc5a88437eec35d6aa72"}</f>
        <v/>
      </c>
      <c r="C1172" t="inlineStr">
        <is>
          <t>INFO</t>
        </is>
      </c>
      <c r="D1172" t="inlineStr">
        <is>
          <t>vdh</t>
        </is>
      </c>
      <c r="E1172" t="inlineStr">
        <is>
          <t>pro14</t>
        </is>
      </c>
      <c r="F1172" t="inlineStr">
        <is>
          <t>prod</t>
        </is>
      </c>
    </row>
    <row r="1173">
      <c r="A1173" t="inlineStr">
        <is>
          <t>2025-05-09 11:17:58.012</t>
        </is>
      </c>
      <c r="B1173">
        <f>=请求开始== [请求IP]:111.58.143.25 ,[请求方式]:POST， [请求URL]:https://172.30.212.148:8080/api/appservice/bfv/v1/chatHistory/batchSave, [请求类名]:com.yingzi.appservice.bfv.provider.rest.ChatHistoryController,[请求方法名]:batchSave, [请求头参数]:{"host":"172.30.212.148:8080"}, [请求参数]:[[{"userId":863116987128217601,"deviceId":"14:18:C3:DC:26:E8","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11,"minute":17,"second":52,"nano":0,"chronology":{"id":"ISO","calendarType":"iso8601"}},"response":1746760672759}]]</f>
        <v/>
      </c>
      <c r="C1173" t="inlineStr">
        <is>
          <t>INFO</t>
        </is>
      </c>
      <c r="D1173" t="inlineStr">
        <is>
          <t>vdh</t>
        </is>
      </c>
      <c r="E1173" t="inlineStr">
        <is>
          <t>pro14</t>
        </is>
      </c>
      <c r="F1173" t="inlineStr">
        <is>
          <t>prod</t>
        </is>
      </c>
    </row>
    <row r="1174">
      <c r="A1174" t="inlineStr">
        <is>
          <t>2025-05-09 11:09:33.468</t>
        </is>
      </c>
      <c r="B1174">
        <f>=请求结束== [请求耗时]:18毫秒, [返回数据]:{"code":"000000","msg":"Success","traceId":"e2c93b42a99cfbf156094b4da2e6e916"}</f>
        <v/>
      </c>
      <c r="C1174" t="inlineStr">
        <is>
          <t>INFO</t>
        </is>
      </c>
      <c r="D1174" t="inlineStr">
        <is>
          <t>vdh</t>
        </is>
      </c>
      <c r="E1174" t="inlineStr">
        <is>
          <t>pro17</t>
        </is>
      </c>
      <c r="F1174" t="inlineStr">
        <is>
          <t>prod</t>
        </is>
      </c>
    </row>
    <row r="1175">
      <c r="A1175" t="inlineStr">
        <is>
          <t>2025-05-09 11:09:33.450</t>
        </is>
      </c>
      <c r="B1175">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1C:99:57:15:E8:B1","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11,"minute":6,"second":5,"nano":0,"chronology":{"id":"ISO","calendarType":"iso8601"}},"response":1746759965095}]]</f>
        <v/>
      </c>
      <c r="C1175" t="inlineStr">
        <is>
          <t>INFO</t>
        </is>
      </c>
      <c r="D1175" t="inlineStr">
        <is>
          <t>vdh</t>
        </is>
      </c>
      <c r="E1175" t="inlineStr">
        <is>
          <t>pro17</t>
        </is>
      </c>
      <c r="F1175" t="inlineStr">
        <is>
          <t>prod</t>
        </is>
      </c>
    </row>
    <row r="1176">
      <c r="A1176" t="inlineStr">
        <is>
          <t>2025-05-09 10:57:57.736</t>
        </is>
      </c>
      <c r="B1176">
        <f>=请求结束== [请求耗时]:12毫秒, [返回数据]:{"code":"000000","msg":"Success","traceId":"14708078b7ed559f8a6a41c46c3e8904"}</f>
        <v/>
      </c>
      <c r="C1176" t="inlineStr">
        <is>
          <t>INFO</t>
        </is>
      </c>
      <c r="D1176" t="inlineStr">
        <is>
          <t>vdh</t>
        </is>
      </c>
      <c r="E1176" t="inlineStr">
        <is>
          <t>pro14</t>
        </is>
      </c>
      <c r="F1176" t="inlineStr">
        <is>
          <t>prod</t>
        </is>
      </c>
    </row>
    <row r="1177">
      <c r="A1177" t="inlineStr">
        <is>
          <t>2025-05-09 10:57:57.724</t>
        </is>
      </c>
      <c r="B1177">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15:5F:7C","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10,"minute":54,"second":11,"nano":0,"chronology":{"id":"ISO","calendarType":"iso8601"}},"response":1746759251414}]]</f>
        <v/>
      </c>
      <c r="C1177" t="inlineStr">
        <is>
          <t>INFO</t>
        </is>
      </c>
      <c r="D1177" t="inlineStr">
        <is>
          <t>vdh</t>
        </is>
      </c>
      <c r="E1177" t="inlineStr">
        <is>
          <t>pro14</t>
        </is>
      </c>
      <c r="F1177" t="inlineStr">
        <is>
          <t>prod</t>
        </is>
      </c>
    </row>
    <row r="1178">
      <c r="A1178" t="inlineStr">
        <is>
          <t>2025-05-09 10:57:15.690</t>
        </is>
      </c>
      <c r="B1178">
        <f>=请求结束== [请求耗时]:14毫秒, [返回数据]:{"code":"000000","msg":"Success","traceId":"dcce6a0c0cf9302800b097a707fb991b"}</f>
        <v/>
      </c>
      <c r="C1178" t="inlineStr">
        <is>
          <t>INFO</t>
        </is>
      </c>
      <c r="D1178" t="inlineStr">
        <is>
          <t>vdh</t>
        </is>
      </c>
      <c r="E1178" t="inlineStr">
        <is>
          <t>pro17</t>
        </is>
      </c>
      <c r="F1178" t="inlineStr">
        <is>
          <t>prod</t>
        </is>
      </c>
    </row>
    <row r="1179">
      <c r="A1179" t="inlineStr">
        <is>
          <t>2025-05-09 10:57:15.676</t>
        </is>
      </c>
      <c r="B1179">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1C:99:57:15:E8:B1","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10,"minute":53,"second":47,"nano":0,"chronology":{"id":"ISO","calendarType":"iso8601"}},"response":1746759227277}]]</f>
        <v/>
      </c>
      <c r="C1179" t="inlineStr">
        <is>
          <t>INFO</t>
        </is>
      </c>
      <c r="D1179" t="inlineStr">
        <is>
          <t>vdh</t>
        </is>
      </c>
      <c r="E1179" t="inlineStr">
        <is>
          <t>pro17</t>
        </is>
      </c>
      <c r="F1179" t="inlineStr">
        <is>
          <t>prod</t>
        </is>
      </c>
    </row>
    <row r="1180">
      <c r="A1180" t="inlineStr">
        <is>
          <t>2025-05-09 10:52:55.918</t>
        </is>
      </c>
      <c r="B1180">
        <f>=请求结束== [请求耗时]:14毫秒, [返回数据]:{"code":"000000","msg":"Success","traceId":"aef25702b585d0511a9be0eda4a83237"}</f>
        <v/>
      </c>
      <c r="C1180" t="inlineStr">
        <is>
          <t>INFO</t>
        </is>
      </c>
      <c r="D1180" t="inlineStr">
        <is>
          <t>vdh</t>
        </is>
      </c>
      <c r="E1180" t="inlineStr">
        <is>
          <t>pro14</t>
        </is>
      </c>
      <c r="F1180" t="inlineStr">
        <is>
          <t>prod</t>
        </is>
      </c>
    </row>
    <row r="1181">
      <c r="A1181" t="inlineStr">
        <is>
          <t>2025-05-09 10:52:55.904</t>
        </is>
      </c>
      <c r="B1181">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87:97:8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10,"minute":46,"second":15,"nano":0,"chronology":{"id":"ISO","calendarType":"iso8601"}},"response":1746758775336}]]</f>
        <v/>
      </c>
      <c r="C1181" t="inlineStr">
        <is>
          <t>INFO</t>
        </is>
      </c>
      <c r="D1181" t="inlineStr">
        <is>
          <t>vdh</t>
        </is>
      </c>
      <c r="E1181" t="inlineStr">
        <is>
          <t>pro14</t>
        </is>
      </c>
      <c r="F1181" t="inlineStr">
        <is>
          <t>prod</t>
        </is>
      </c>
    </row>
    <row r="1182">
      <c r="A1182" t="inlineStr">
        <is>
          <t>2025-05-09 10:49:41.984</t>
        </is>
      </c>
      <c r="B1182">
        <f>=请求结束== [请求耗时]:16毫秒, [返回数据]:{"code":"000000","msg":"Success","traceId":"5a98c744b4450f7a942403dd17f65df7"}</f>
        <v/>
      </c>
      <c r="C1182" t="inlineStr">
        <is>
          <t>INFO</t>
        </is>
      </c>
      <c r="D1182" t="inlineStr">
        <is>
          <t>vdh</t>
        </is>
      </c>
      <c r="E1182" t="inlineStr">
        <is>
          <t>pro17</t>
        </is>
      </c>
      <c r="F1182" t="inlineStr">
        <is>
          <t>prod</t>
        </is>
      </c>
    </row>
    <row r="1183">
      <c r="A1183" t="inlineStr">
        <is>
          <t>2025-05-09 10:49:41.968</t>
        </is>
      </c>
      <c r="B1183">
        <f>=请求开始== [请求IP]:218.65.232.187 ,[请求方式]:POST， [请求URL]:https://172.30.103.196:8080/api/appservice/bfv/v1/chatHistory/batchSave, [请求类名]:com.yingzi.appservice.bfv.provider.rest.ChatHistoryController,[请求方法名]:batchSave, [请求头参数]:{"host":"172.30.103.196:8080"}, [请求参数]:[[{"userId":908023031440908291,"deviceId":"70:CF:49:13:DD:96","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10,"minute":49,"second":36,"nano":0,"chronology":{"id":"ISO","calendarType":"iso8601"}},"response":1746758976732}]]</f>
        <v/>
      </c>
      <c r="C1183" t="inlineStr">
        <is>
          <t>INFO</t>
        </is>
      </c>
      <c r="D1183" t="inlineStr">
        <is>
          <t>vdh</t>
        </is>
      </c>
      <c r="E1183" t="inlineStr">
        <is>
          <t>pro17</t>
        </is>
      </c>
      <c r="F1183" t="inlineStr">
        <is>
          <t>prod</t>
        </is>
      </c>
    </row>
    <row r="1184">
      <c r="A1184" t="inlineStr">
        <is>
          <t>2025-05-09 10:47:57.476</t>
        </is>
      </c>
      <c r="B1184">
        <f>=请求结束== [请求耗时]:14毫秒, [返回数据]:{"code":"000000","msg":"Success","traceId":"14cd272fcc259af5b8f7b4ad80f6a5e5"}</f>
        <v/>
      </c>
      <c r="C1184" t="inlineStr">
        <is>
          <t>INFO</t>
        </is>
      </c>
      <c r="D1184" t="inlineStr">
        <is>
          <t>vdh</t>
        </is>
      </c>
      <c r="E1184" t="inlineStr">
        <is>
          <t>pro14</t>
        </is>
      </c>
      <c r="F1184" t="inlineStr">
        <is>
          <t>prod</t>
        </is>
      </c>
    </row>
    <row r="1185">
      <c r="A1185" t="inlineStr">
        <is>
          <t>2025-05-09 10:47:57.462</t>
        </is>
      </c>
      <c r="B1185">
        <f>=请求开始== [请求IP]:221.7.183.174 ,[请求方式]:POST， [请求URL]:https://172.30.212.148:8080/api/appservice/bfv/v1/chatHistory/batchSave, [请求类名]:com.yingzi.appservice.bfv.provider.rest.ChatHistoryController,[请求方法名]:batchSave, [请求头参数]:{"host":"172.30.212.148:8080"}, [请求参数]:[[{"userId":903284569758654466,"deviceId":"28:D0:EA:88:00:3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8,"dayOfYear":128,"dayOfWeek":"THURSDAY","hour":22,"minute":12,"second":24,"nano":0,"chronology":{"id":"ISO","calendarType":"iso8601"}},"response":1746713544148}]]</f>
        <v/>
      </c>
      <c r="C1185" t="inlineStr">
        <is>
          <t>INFO</t>
        </is>
      </c>
      <c r="D1185" t="inlineStr">
        <is>
          <t>vdh</t>
        </is>
      </c>
      <c r="E1185" t="inlineStr">
        <is>
          <t>pro14</t>
        </is>
      </c>
      <c r="F1185" t="inlineStr">
        <is>
          <t>prod</t>
        </is>
      </c>
    </row>
    <row r="1186">
      <c r="A1186" t="inlineStr">
        <is>
          <t>2025-05-09 10:46:50.080</t>
        </is>
      </c>
      <c r="B1186">
        <f>=请求结束== [请求耗时]:13毫秒, [返回数据]:{"code":"000000","msg":"Success","traceId":"90d2abc28ca52d9a41d6662660dc1ffa"}</f>
        <v/>
      </c>
      <c r="C1186" t="inlineStr">
        <is>
          <t>INFO</t>
        </is>
      </c>
      <c r="D1186" t="inlineStr">
        <is>
          <t>vdh</t>
        </is>
      </c>
      <c r="E1186" t="inlineStr">
        <is>
          <t>pro17</t>
        </is>
      </c>
      <c r="F1186" t="inlineStr">
        <is>
          <t>prod</t>
        </is>
      </c>
    </row>
    <row r="1187">
      <c r="A1187" t="inlineStr">
        <is>
          <t>2025-05-09 10:46:50.068</t>
        </is>
      </c>
      <c r="B1187">
        <f>=请求开始== [请求IP]:222.83.224.137 ,[请求方式]:POST， [请求URL]:https://172.30.103.196:8080/api/appservice/bfv/v1/chatHistory/batchSave, [请求类名]:com.yingzi.appservice.bfv.provider.rest.ChatHistoryController,[请求方法名]:batchSave, [请求头参数]:{"host":"172.30.103.196:8080"}, [请求参数]:[[{"userId":908023034477584384,"deviceId":"1C:99:57:15:5F:B8","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10,"minute":46,"second":44,"nano":0,"chronology":{"id":"ISO","calendarType":"iso8601"}},"response":312003291}]]</f>
        <v/>
      </c>
      <c r="C1187" t="inlineStr">
        <is>
          <t>INFO</t>
        </is>
      </c>
      <c r="D1187" t="inlineStr">
        <is>
          <t>vdh</t>
        </is>
      </c>
      <c r="E1187" t="inlineStr">
        <is>
          <t>pro17</t>
        </is>
      </c>
      <c r="F1187" t="inlineStr">
        <is>
          <t>prod</t>
        </is>
      </c>
    </row>
    <row r="1188">
      <c r="A1188" t="inlineStr">
        <is>
          <t>2025-05-09 10:46:25.482</t>
        </is>
      </c>
      <c r="B1188">
        <f>=请求结束== [请求耗时]:15毫秒, [返回数据]:{"code":"000000","msg":"Success","traceId":"e3a4f1231c757f1be0a9af7646be1739"}</f>
        <v/>
      </c>
      <c r="C1188" t="inlineStr">
        <is>
          <t>INFO</t>
        </is>
      </c>
      <c r="D1188" t="inlineStr">
        <is>
          <t>vdh</t>
        </is>
      </c>
      <c r="E1188" t="inlineStr">
        <is>
          <t>pro17</t>
        </is>
      </c>
      <c r="F1188" t="inlineStr">
        <is>
          <t>prod</t>
        </is>
      </c>
    </row>
    <row r="1189">
      <c r="A1189" t="inlineStr">
        <is>
          <t>2025-05-09 10:46:25.468</t>
        </is>
      </c>
      <c r="B1189">
        <f>=请求开始== [请求IP]:218.65.232.187 ,[请求方式]:POST， [请求URL]:https://172.30.103.196:8080/api/appservice/bfv/v1/chatHistory/batchSave, [请求类名]:com.yingzi.appservice.bfv.provider.rest.ChatHistoryController,[请求方法名]:batchSave, [请求头参数]:{"host":"172.30.103.196:8080"}, [请求参数]:[[{"userId":908023031440908291,"deviceId":"70:CF:49:13:DD:96","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10,"minute":46,"second":9,"nano":0,"chronology":{"id":"ISO","calendarType":"iso8601"}},"response":1746758769718}]]</f>
        <v/>
      </c>
      <c r="C1189" t="inlineStr">
        <is>
          <t>INFO</t>
        </is>
      </c>
      <c r="D1189" t="inlineStr">
        <is>
          <t>vdh</t>
        </is>
      </c>
      <c r="E1189" t="inlineStr">
        <is>
          <t>pro17</t>
        </is>
      </c>
      <c r="F1189" t="inlineStr">
        <is>
          <t>prod</t>
        </is>
      </c>
    </row>
    <row r="1190">
      <c r="A1190" t="inlineStr">
        <is>
          <t>2025-05-09 10:46:00.958</t>
        </is>
      </c>
      <c r="B1190">
        <f>=请求结束== [请求耗时]:26毫秒, [返回数据]:{"code":"000000","msg":"Success","traceId":"a42f5542f390a1214113e1271def3b63"}</f>
        <v/>
      </c>
      <c r="C1190" t="inlineStr">
        <is>
          <t>INFO</t>
        </is>
      </c>
      <c r="D1190" t="inlineStr">
        <is>
          <t>vdh</t>
        </is>
      </c>
      <c r="E1190" t="inlineStr">
        <is>
          <t>pro14</t>
        </is>
      </c>
      <c r="F1190" t="inlineStr">
        <is>
          <t>prod</t>
        </is>
      </c>
    </row>
    <row r="1191">
      <c r="A1191" t="inlineStr">
        <is>
          <t>2025-05-09 10:46:00.932</t>
        </is>
      </c>
      <c r="B1191">
        <f>=请求开始== [请求IP]:218.65.232.187 ,[请求方式]:POST， [请求URL]:https://172.30.212.148:8080/api/appservice/bfv/v1/chatHistory/batchSave, [请求类名]:com.yingzi.appservice.bfv.provider.rest.ChatHistoryController,[请求方法名]:batchSave, [请求头参数]:{"host":"172.30.212.148:8080"}, [请求参数]:[[{"userId":908023031440908291,"deviceId":"70:CF:49:13:DD:96","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10,"minute":45,"second":29,"nano":0,"chronology":{"id":"ISO","calendarType":"iso8601"}},"response":1746758729274}]]</f>
        <v/>
      </c>
      <c r="C1191" t="inlineStr">
        <is>
          <t>INFO</t>
        </is>
      </c>
      <c r="D1191" t="inlineStr">
        <is>
          <t>vdh</t>
        </is>
      </c>
      <c r="E1191" t="inlineStr">
        <is>
          <t>pro14</t>
        </is>
      </c>
      <c r="F1191" t="inlineStr">
        <is>
          <t>prod</t>
        </is>
      </c>
    </row>
    <row r="1192">
      <c r="A1192" t="inlineStr">
        <is>
          <t>2025-05-09 10:45:53.443</t>
        </is>
      </c>
      <c r="B1192">
        <f>=请求结束== [请求耗时]:13毫秒, [返回数据]:{"code":"000000","msg":"Success","traceId":"9ef9be1055a7996bcb6351c18c905489"}</f>
        <v/>
      </c>
      <c r="C1192" t="inlineStr">
        <is>
          <t>INFO</t>
        </is>
      </c>
      <c r="D1192" t="inlineStr">
        <is>
          <t>vdh</t>
        </is>
      </c>
      <c r="E1192" t="inlineStr">
        <is>
          <t>pro14</t>
        </is>
      </c>
      <c r="F1192" t="inlineStr">
        <is>
          <t>prod</t>
        </is>
      </c>
    </row>
    <row r="1193">
      <c r="A1193" t="inlineStr">
        <is>
          <t>2025-05-09 10:45:53.430</t>
        </is>
      </c>
      <c r="B119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87:97:8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10,"minute":39,"second":7,"nano":0,"chronology":{"id":"ISO","calendarType":"iso8601"}},"response":1746758347430}]]</f>
        <v/>
      </c>
      <c r="C1193" t="inlineStr">
        <is>
          <t>INFO</t>
        </is>
      </c>
      <c r="D1193" t="inlineStr">
        <is>
          <t>vdh</t>
        </is>
      </c>
      <c r="E1193" t="inlineStr">
        <is>
          <t>pro14</t>
        </is>
      </c>
      <c r="F1193" t="inlineStr">
        <is>
          <t>prod</t>
        </is>
      </c>
    </row>
    <row r="1194">
      <c r="A1194" t="inlineStr">
        <is>
          <t>2025-05-09 10:45:52.590</t>
        </is>
      </c>
      <c r="B1194">
        <f>=请求结束== [请求耗时]:14毫秒, [返回数据]:{"code":"000000","msg":"Success","traceId":"135fa91ecf70bf678530930f29183685"}</f>
        <v/>
      </c>
      <c r="C1194" t="inlineStr">
        <is>
          <t>INFO</t>
        </is>
      </c>
      <c r="D1194" t="inlineStr">
        <is>
          <t>vdh</t>
        </is>
      </c>
      <c r="E1194" t="inlineStr">
        <is>
          <t>pro17</t>
        </is>
      </c>
      <c r="F1194" t="inlineStr">
        <is>
          <t>prod</t>
        </is>
      </c>
    </row>
    <row r="1195">
      <c r="A1195" t="inlineStr">
        <is>
          <t>2025-05-09 10:45:52.576</t>
        </is>
      </c>
      <c r="B1195">
        <f>=请求开始== [请求IP]:218.65.232.187 ,[请求方式]:POST， [请求URL]:https://172.30.103.196:8080/api/appservice/bfv/v1/chatHistory/batchSave, [请求类名]:com.yingzi.appservice.bfv.provider.rest.ChatHistoryController,[请求方法名]:batchSave, [请求头参数]:{"host":"172.30.103.196:8080"}, [请求参数]:[[{"userId":908023031440908291,"deviceId":"70:CF:49:13:DD:96","sessionId":"","avatarId":"11200220000208050000000000000000","appCode":"VDHtestWDC","instructionTemplateType":"","recordId":"","asrResult":"","knowledgeId":"","knowledgeMasterId":"","instructionType":"","instructionName":"","instructionFlag":"","parameter":"{}","ttsResultSource":"local","ttsResult":"这道菜小万还没学会,可以使用自助烹饪!好嘞,已经按照推荐的温度调好了,要帮主人开始烹饪吗","ttsResultTime":{"year":2025,"monthValue":5,"month":"MAY","dayOfMonth":9,"dayOfYear":129,"dayOfWeek":"FRIDAY","hour":10,"minute":45,"second":11,"nano":0,"chronology":{"id":"ISO","calendarType":"iso8601"}},"response":1746758711410}]]</f>
        <v/>
      </c>
      <c r="C1195" t="inlineStr">
        <is>
          <t>INFO</t>
        </is>
      </c>
      <c r="D1195" t="inlineStr">
        <is>
          <t>vdh</t>
        </is>
      </c>
      <c r="E1195" t="inlineStr">
        <is>
          <t>pro17</t>
        </is>
      </c>
      <c r="F1195" t="inlineStr">
        <is>
          <t>prod</t>
        </is>
      </c>
    </row>
    <row r="1196">
      <c r="A1196" t="inlineStr">
        <is>
          <t>2025-05-09 10:45:20.481</t>
        </is>
      </c>
      <c r="B1196">
        <f>=请求结束== [请求耗时]:16毫秒, [返回数据]:{"code":"000000","msg":"Success","traceId":"7a37e0f0a479294e905551c638a52740"}</f>
        <v/>
      </c>
      <c r="C1196" t="inlineStr">
        <is>
          <t>INFO</t>
        </is>
      </c>
      <c r="D1196" t="inlineStr">
        <is>
          <t>vdh</t>
        </is>
      </c>
      <c r="E1196" t="inlineStr">
        <is>
          <t>pro17</t>
        </is>
      </c>
      <c r="F1196" t="inlineStr">
        <is>
          <t>prod</t>
        </is>
      </c>
    </row>
    <row r="1197">
      <c r="A1197" t="inlineStr">
        <is>
          <t>2025-05-09 10:45:20.466</t>
        </is>
      </c>
      <c r="B1197">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1C:99:57:15:E4:15","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10,"minute":42,"second":3,"nano":0,"chronology":{"id":"ISO","calendarType":"iso8601"}},"response":1746758523485}]]</f>
        <v/>
      </c>
      <c r="C1197" t="inlineStr">
        <is>
          <t>INFO</t>
        </is>
      </c>
      <c r="D1197" t="inlineStr">
        <is>
          <t>vdh</t>
        </is>
      </c>
      <c r="E1197" t="inlineStr">
        <is>
          <t>pro17</t>
        </is>
      </c>
      <c r="F1197" t="inlineStr">
        <is>
          <t>prod</t>
        </is>
      </c>
    </row>
    <row r="1198">
      <c r="A1198" t="inlineStr">
        <is>
          <t>2025-05-09 10:43:49.816</t>
        </is>
      </c>
      <c r="B1198">
        <f>=请求结束== [请求耗时]:12毫秒, [返回数据]:{"code":"000000","msg":"Success","traceId":"7fcd4b11e4150cf2b0ff495bfaf8e4f1"}</f>
        <v/>
      </c>
      <c r="C1198" t="inlineStr">
        <is>
          <t>INFO</t>
        </is>
      </c>
      <c r="D1198" t="inlineStr">
        <is>
          <t>vdh</t>
        </is>
      </c>
      <c r="E1198" t="inlineStr">
        <is>
          <t>pro14</t>
        </is>
      </c>
      <c r="F1198" t="inlineStr">
        <is>
          <t>prod</t>
        </is>
      </c>
    </row>
    <row r="1199">
      <c r="A1199" t="inlineStr">
        <is>
          <t>2025-05-09 10:43:49.805</t>
        </is>
      </c>
      <c r="B1199">
        <f>=请求开始== [请求IP]:222.83.224.137 ,[请求方式]:POST， [请求URL]:https://172.30.212.148:8080/api/appservice/bfv/v1/chatHistory/batchSave, [请求类名]:com.yingzi.appservice.bfv.provider.rest.ChatHistoryController,[请求方法名]:batchSave, [请求头参数]:{"host":"172.30.212.148:8080"}, [请求参数]:[[{"userId":908023034477584384,"deviceId":"1C:99:57:15:5F:B8","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10,"minute":43,"second":44,"nano":0,"chronology":{"id":"ISO","calendarType":"iso8601"}},"response":311822956}]]</f>
        <v/>
      </c>
      <c r="C1199" t="inlineStr">
        <is>
          <t>INFO</t>
        </is>
      </c>
      <c r="D1199" t="inlineStr">
        <is>
          <t>vdh</t>
        </is>
      </c>
      <c r="E1199" t="inlineStr">
        <is>
          <t>pro14</t>
        </is>
      </c>
      <c r="F1199" t="inlineStr">
        <is>
          <t>prod</t>
        </is>
      </c>
    </row>
    <row r="1200">
      <c r="A1200" t="inlineStr">
        <is>
          <t>2025-05-09 10:43:40.018</t>
        </is>
      </c>
      <c r="B1200">
        <f>=请求结束== [请求耗时]:12毫秒, [返回数据]:{"code":"000000","msg":"Success","traceId":"df4df772b816014cbd8d6da0467a3e3d"}</f>
        <v/>
      </c>
      <c r="C1200" t="inlineStr">
        <is>
          <t>INFO</t>
        </is>
      </c>
      <c r="D1200" t="inlineStr">
        <is>
          <t>vdh</t>
        </is>
      </c>
      <c r="E1200" t="inlineStr">
        <is>
          <t>pro17</t>
        </is>
      </c>
      <c r="F1200" t="inlineStr">
        <is>
          <t>prod</t>
        </is>
      </c>
    </row>
    <row r="1201">
      <c r="A1201" t="inlineStr">
        <is>
          <t>2025-05-09 10:43:40.006</t>
        </is>
      </c>
      <c r="B1201">
        <f>=请求开始== [请求IP]:222.83.224.137 ,[请求方式]:POST， [请求URL]:https://172.30.103.196:8080/api/appservice/bfv/v1/chatHistory/batchSave, [请求类名]:com.yingzi.appservice.bfv.provider.rest.ChatHistoryController,[请求方法名]:batchSave, [请求头参数]:{"host":"172.30.103.196:8080"}, [请求参数]:[[{"userId":908023034477584384,"deviceId":"1C:99:57:15:5F:B8","sessionId":"","avatarId":"11200220000208050000000000000000","appCode":"VDHtestWDC","instructionTemplateType":"","recordId":"","asrResult":"","knowledgeId":"","knowledgeMasterId":"","instructionType":"","instructionName":"","instructionFlag":"","parameter":"{}","ttsResultSource":"local","ttsResult":"小万发现了米饭或粥,请选择一下烹饪模式","ttsResultTime":{"year":2025,"monthValue":5,"month":"MAY","dayOfMonth":9,"dayOfYear":129,"dayOfWeek":"FRIDAY","hour":10,"minute":43,"second":35,"nano":0,"chronology":{"id":"ISO","calendarType":"iso8601"}},"response":311813963}]]</f>
        <v/>
      </c>
      <c r="C1201" t="inlineStr">
        <is>
          <t>INFO</t>
        </is>
      </c>
      <c r="D1201" t="inlineStr">
        <is>
          <t>vdh</t>
        </is>
      </c>
      <c r="E1201" t="inlineStr">
        <is>
          <t>pro17</t>
        </is>
      </c>
      <c r="F1201" t="inlineStr">
        <is>
          <t>prod</t>
        </is>
      </c>
    </row>
    <row r="1202">
      <c r="A1202" t="inlineStr">
        <is>
          <t>2025-05-09 10:39:25.408</t>
        </is>
      </c>
      <c r="B1202">
        <f>=请求结束== [请求耗时]:14毫秒, [返回数据]:{"code":"000000","msg":"Success","traceId":"4c241b45f8275a652656852a3a9b2221"}</f>
        <v/>
      </c>
      <c r="C1202" t="inlineStr">
        <is>
          <t>INFO</t>
        </is>
      </c>
      <c r="D1202" t="inlineStr">
        <is>
          <t>vdh</t>
        </is>
      </c>
      <c r="E1202" t="inlineStr">
        <is>
          <t>pro14</t>
        </is>
      </c>
      <c r="F1202" t="inlineStr">
        <is>
          <t>prod</t>
        </is>
      </c>
    </row>
    <row r="1203">
      <c r="A1203" t="inlineStr">
        <is>
          <t>2025-05-09 10:39:25.394</t>
        </is>
      </c>
      <c r="B120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3:34","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10,"minute":35,"second":13,"nano":0,"chronology":{"id":"ISO","calendarType":"iso8601"}},"response":1746758113003}]]</f>
        <v/>
      </c>
      <c r="C1203" t="inlineStr">
        <is>
          <t>INFO</t>
        </is>
      </c>
      <c r="D1203" t="inlineStr">
        <is>
          <t>vdh</t>
        </is>
      </c>
      <c r="E1203" t="inlineStr">
        <is>
          <t>pro14</t>
        </is>
      </c>
      <c r="F1203" t="inlineStr">
        <is>
          <t>prod</t>
        </is>
      </c>
    </row>
    <row r="1204">
      <c r="A1204" t="inlineStr">
        <is>
          <t>2025-05-09 10:39:22.965</t>
        </is>
      </c>
      <c r="B1204">
        <f>=请求结束== [请求耗时]:14毫秒, [返回数据]:{"code":"000000","msg":"Success","traceId":"c120fddf540cc2a38448d4b48ba8d4f7"}</f>
        <v/>
      </c>
      <c r="C1204" t="inlineStr">
        <is>
          <t>INFO</t>
        </is>
      </c>
      <c r="D1204" t="inlineStr">
        <is>
          <t>vdh</t>
        </is>
      </c>
      <c r="E1204" t="inlineStr">
        <is>
          <t>pro17</t>
        </is>
      </c>
      <c r="F1204" t="inlineStr">
        <is>
          <t>prod</t>
        </is>
      </c>
    </row>
    <row r="1205">
      <c r="A1205" t="inlineStr">
        <is>
          <t>2025-05-09 10:39:22.951</t>
        </is>
      </c>
      <c r="B1205">
        <f>=请求开始== [请求IP]:171.104.158.186 ,[请求方式]:POST， [请求URL]:https://172.30.103.196:8080/api/appservice/bfv/v1/chatHistory/batchSave, [请求类名]:com.yingzi.appservice.bfv.provider.rest.ChatHistoryController,[请求方法名]:batchSave, [请求头参数]:{"host":"172.30.103.196:8080"}, [请求参数]:[[{"userId":877845005063770112,"deviceId":"1C:99:57:15:E5:F0","sessionId":"","avatarId":"11200220000208050000000000000000","appCode":"VDHtestWDC","instructionTemplateType":"","recordId":"","asrResult":"","knowledgeId":"","knowledgeMasterId":"","instructionType":"","instructionName":"","instructionFlag":"","parameter":"{}","ttsResultSource":"local","ttsResult":"开始烹饪,请耐心等待","ttsResultTime":{"year":2025,"monthValue":3,"month":"MARCH","dayOfMonth":26,"dayOfYear":85,"dayOfWeek":"WEDNESDAY","hour":10,"minute":57,"second":15,"nano":0,"chronology":{"id":"ISO","calendarType":"iso8601"}},"response":1742957835356}]]</f>
        <v/>
      </c>
      <c r="C1205" t="inlineStr">
        <is>
          <t>INFO</t>
        </is>
      </c>
      <c r="D1205" t="inlineStr">
        <is>
          <t>vdh</t>
        </is>
      </c>
      <c r="E1205" t="inlineStr">
        <is>
          <t>pro17</t>
        </is>
      </c>
      <c r="F1205" t="inlineStr">
        <is>
          <t>prod</t>
        </is>
      </c>
    </row>
    <row r="1206">
      <c r="A1206" t="inlineStr">
        <is>
          <t>2025-05-09 10:38:32.408</t>
        </is>
      </c>
      <c r="B1206">
        <f>=请求结束== [请求耗时]:16毫秒, [返回数据]:{"code":"000000","msg":"Success","traceId":"58b3894929c137d8be1e6a5a8f9df621"}</f>
        <v/>
      </c>
      <c r="C1206" t="inlineStr">
        <is>
          <t>INFO</t>
        </is>
      </c>
      <c r="D1206" t="inlineStr">
        <is>
          <t>vdh</t>
        </is>
      </c>
      <c r="E1206" t="inlineStr">
        <is>
          <t>pro14</t>
        </is>
      </c>
      <c r="F1206" t="inlineStr">
        <is>
          <t>prod</t>
        </is>
      </c>
    </row>
    <row r="1207">
      <c r="A1207" t="inlineStr">
        <is>
          <t>2025-05-09 10:38:32.393</t>
        </is>
      </c>
      <c r="B1207">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4:15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10,"minute":35,"second":15,"nano":0,"chronology":{"id":"ISO","calendarType":"iso8601"}},"response":1746758115339}]]</f>
        <v/>
      </c>
      <c r="C1207" t="inlineStr">
        <is>
          <t>INFO</t>
        </is>
      </c>
      <c r="D1207" t="inlineStr">
        <is>
          <t>vdh</t>
        </is>
      </c>
      <c r="E1207" t="inlineStr">
        <is>
          <t>pro14</t>
        </is>
      </c>
      <c r="F1207" t="inlineStr">
        <is>
          <t>prod</t>
        </is>
      </c>
    </row>
    <row r="1208">
      <c r="A1208" t="inlineStr">
        <is>
          <t>2025-05-09 10:38:10.249</t>
        </is>
      </c>
      <c r="B1208">
        <f>=请求结束== [请求耗时]:13毫秒, [返回数据]:{"code":"000000","msg":"Success","traceId":"747e7bfdef75987b09e75c9513ac776c"}</f>
        <v/>
      </c>
      <c r="C1208" t="inlineStr">
        <is>
          <t>INFO</t>
        </is>
      </c>
      <c r="D1208" t="inlineStr">
        <is>
          <t>vdh</t>
        </is>
      </c>
      <c r="E1208" t="inlineStr">
        <is>
          <t>pro17</t>
        </is>
      </c>
      <c r="F1208" t="inlineStr">
        <is>
          <t>prod</t>
        </is>
      </c>
    </row>
    <row r="1209">
      <c r="A1209" t="inlineStr">
        <is>
          <t>2025-05-09 10:38:10.235</t>
        </is>
      </c>
      <c r="B1209">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1C:99:57:15:E3:34","sessionId":"","avatarId":"11200220000208050000000000000000","appCode":"VDHtestWDC","instructionTemplateType":"","recordId":"","asrResult":"","knowledgeId":"","knowledgeMasterId":"","instructionType":"","instructionName":"","instructionFlag":"","parameter":"{}","ttsResultSource":"local","ttsResult":"小万发现了红烧排骨或糖醋排骨或话梅排骨,主人喜欢糖醋排骨还是红烧排骨/话梅排骨口感","ttsResultTime":{"year":2025,"monthValue":5,"month":"MAY","dayOfMonth":9,"dayOfYear":129,"dayOfWeek":"FRIDAY","hour":10,"minute":33,"second":53,"nano":0,"chronology":{"id":"ISO","calendarType":"iso8601"}},"response":1746758033340}]]</f>
        <v/>
      </c>
      <c r="C1209" t="inlineStr">
        <is>
          <t>INFO</t>
        </is>
      </c>
      <c r="D1209" t="inlineStr">
        <is>
          <t>vdh</t>
        </is>
      </c>
      <c r="E1209" t="inlineStr">
        <is>
          <t>pro17</t>
        </is>
      </c>
      <c r="F1209" t="inlineStr">
        <is>
          <t>prod</t>
        </is>
      </c>
    </row>
    <row r="1210">
      <c r="A1210" t="inlineStr">
        <is>
          <t>2025-05-09 10:38:05.139</t>
        </is>
      </c>
      <c r="B1210">
        <f>=请求结束== [请求耗时]:218毫秒, [返回数据]:{"code":"000000","msg":"Success","traceId":"f1d888d6cdf717940d01f87cbfff6fe4"}</f>
        <v/>
      </c>
      <c r="C1210" t="inlineStr">
        <is>
          <t>INFO</t>
        </is>
      </c>
      <c r="D1210" t="inlineStr">
        <is>
          <t>vdh</t>
        </is>
      </c>
      <c r="E1210" t="inlineStr">
        <is>
          <t>pro14</t>
        </is>
      </c>
      <c r="F1210" t="inlineStr">
        <is>
          <t>prod</t>
        </is>
      </c>
    </row>
    <row r="1211">
      <c r="A1211" t="inlineStr">
        <is>
          <t>2025-05-09 10:38:04.921</t>
        </is>
      </c>
      <c r="B1211">
        <f>=请求开始== [请求IP]:171.104.158.186 ,[请求方式]:POST， [请求URL]:https://172.30.212.148:8080/api/appservice/bfv/v1/chatHistory/batchSave, [请求类名]:com.yingzi.appservice.bfv.provider.rest.ChatHistoryController,[请求方法名]:batchSave, [请求头参数]:{"host":"172.30.212.148:8080"}, [请求参数]:[[{"userId":877845005063770112,"deviceId":"1C:99:57:15:E5:F0","sessionId":"","avatarId":"11200220000208050000000000000000","appCode":"VDHtestWDC","instructionTemplateType":"","recordId":"","asrResult":"","knowledgeId":"","knowledgeMasterId":"","instructionType":"","instructionName":"","instructionFlag":"","parameter":"{}","ttsResultSource":"local","ttsResult":"小万发现了玉米,主人喜欢常温1~3根还是冷藏1~3根口感","ttsResultTime":{"year":2025,"monthValue":3,"month":"MARCH","dayOfMonth":26,"dayOfYear":85,"dayOfWeek":"WEDNESDAY","hour":10,"minute":55,"second":56,"nano":0,"chronology":{"id":"ISO","calendarType":"iso8601"}},"response":1742957756877}]]</f>
        <v/>
      </c>
      <c r="C1211" t="inlineStr">
        <is>
          <t>INFO</t>
        </is>
      </c>
      <c r="D1211" t="inlineStr">
        <is>
          <t>vdh</t>
        </is>
      </c>
      <c r="E1211" t="inlineStr">
        <is>
          <t>pro14</t>
        </is>
      </c>
      <c r="F1211" t="inlineStr">
        <is>
          <t>prod</t>
        </is>
      </c>
    </row>
    <row r="1212">
      <c r="A1212" t="inlineStr">
        <is>
          <t>2025-05-09 10:36:01.490</t>
        </is>
      </c>
      <c r="B1212">
        <f>=请求结束== [请求耗时]:16毫秒, [返回数据]:{"code":"000000","msg":"Success","traceId":"352c49b8407f25f5f64202aefd7129ff"}</f>
        <v/>
      </c>
      <c r="C1212" t="inlineStr">
        <is>
          <t>INFO</t>
        </is>
      </c>
      <c r="D1212" t="inlineStr">
        <is>
          <t>vdh</t>
        </is>
      </c>
      <c r="E1212" t="inlineStr">
        <is>
          <t>pro17</t>
        </is>
      </c>
      <c r="F1212" t="inlineStr">
        <is>
          <t>prod</t>
        </is>
      </c>
    </row>
    <row r="1213">
      <c r="A1213" t="inlineStr">
        <is>
          <t>2025-05-09 10:36:01.474</t>
        </is>
      </c>
      <c r="B1213">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17:5E:26","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10,"minute":28,"second":43,"nano":0,"chronology":{"id":"ISO","calendarType":"iso8601"}},"response":1746757723605}]]</f>
        <v/>
      </c>
      <c r="C1213" t="inlineStr">
        <is>
          <t>INFO</t>
        </is>
      </c>
      <c r="D1213" t="inlineStr">
        <is>
          <t>vdh</t>
        </is>
      </c>
      <c r="E1213" t="inlineStr">
        <is>
          <t>pro17</t>
        </is>
      </c>
      <c r="F1213" t="inlineStr">
        <is>
          <t>prod</t>
        </is>
      </c>
    </row>
    <row r="1214">
      <c r="A1214" t="inlineStr">
        <is>
          <t>2025-05-09 10:28:47.401</t>
        </is>
      </c>
      <c r="B1214">
        <f>=请求结束== [请求耗时]:12毫秒, [返回数据]:{"code":"000000","msg":"Success","traceId":"b03e5122bfdce5a62f70dee021ab78ff"}</f>
        <v/>
      </c>
      <c r="C1214" t="inlineStr">
        <is>
          <t>INFO</t>
        </is>
      </c>
      <c r="D1214" t="inlineStr">
        <is>
          <t>vdh</t>
        </is>
      </c>
      <c r="E1214" t="inlineStr">
        <is>
          <t>pro14</t>
        </is>
      </c>
      <c r="F1214" t="inlineStr">
        <is>
          <t>prod</t>
        </is>
      </c>
    </row>
    <row r="1215">
      <c r="A1215" t="inlineStr">
        <is>
          <t>2025-05-09 10:28:47.389</t>
        </is>
      </c>
      <c r="B1215">
        <f>=请求开始== [请求IP]:222.83.224.137 ,[请求方式]:POST， [请求URL]:https://172.30.212.148:8080/api/appservice/bfv/v1/chatHistory/batchSave, [请求类名]:com.yingzi.appservice.bfv.provider.rest.ChatHistoryController,[请求方法名]:batchSave, [请求头参数]:{"host":"172.30.212.148:8080"}, [请求参数]:[[{"userId":908023034477584384,"deviceId":"1C:99:57:15:5F:B8","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10,"minute":28,"second":42,"nano":0,"chronology":{"id":"ISO","calendarType":"iso8601"}},"response":310920555}]]</f>
        <v/>
      </c>
      <c r="C1215" t="inlineStr">
        <is>
          <t>INFO</t>
        </is>
      </c>
      <c r="D1215" t="inlineStr">
        <is>
          <t>vdh</t>
        </is>
      </c>
      <c r="E1215" t="inlineStr">
        <is>
          <t>pro14</t>
        </is>
      </c>
      <c r="F1215" t="inlineStr">
        <is>
          <t>prod</t>
        </is>
      </c>
    </row>
    <row r="1216">
      <c r="A1216" t="inlineStr">
        <is>
          <t>2025-05-09 10:28:43.830</t>
        </is>
      </c>
      <c r="B1216">
        <f>=请求结束== [请求耗时]:14毫秒, [返回数据]:{"code":"000000","msg":"Success","traceId":"2ecce3cc80d916eae8853c7a31d0185e"}</f>
        <v/>
      </c>
      <c r="C1216" t="inlineStr">
        <is>
          <t>INFO</t>
        </is>
      </c>
      <c r="D1216" t="inlineStr">
        <is>
          <t>vdh</t>
        </is>
      </c>
      <c r="E1216" t="inlineStr">
        <is>
          <t>pro17</t>
        </is>
      </c>
      <c r="F1216" t="inlineStr">
        <is>
          <t>prod</t>
        </is>
      </c>
    </row>
    <row r="1217">
      <c r="A1217" t="inlineStr">
        <is>
          <t>2025-05-09 10:28:43.816</t>
        </is>
      </c>
      <c r="B1217">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17:5E:26","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10,"minute":21,"second":25,"nano":0,"chronology":{"id":"ISO","calendarType":"iso8601"}},"response":1746757285911}]]</f>
        <v/>
      </c>
      <c r="C1217" t="inlineStr">
        <is>
          <t>INFO</t>
        </is>
      </c>
      <c r="D1217" t="inlineStr">
        <is>
          <t>vdh</t>
        </is>
      </c>
      <c r="E1217" t="inlineStr">
        <is>
          <t>pro17</t>
        </is>
      </c>
      <c r="F1217" t="inlineStr">
        <is>
          <t>prod</t>
        </is>
      </c>
    </row>
    <row r="1218">
      <c r="A1218" t="inlineStr">
        <is>
          <t>2025-05-09 10:25:47.505</t>
        </is>
      </c>
      <c r="B1218">
        <f>=请求结束== [请求耗时]:37毫秒, [返回数据]:{"code":"000000","msg":"Success","traceId":"83cb3f197af807df3648d8f1ecd91282"}</f>
        <v/>
      </c>
      <c r="C1218" t="inlineStr">
        <is>
          <t>INFO</t>
        </is>
      </c>
      <c r="D1218" t="inlineStr">
        <is>
          <t>vdh</t>
        </is>
      </c>
      <c r="E1218" t="inlineStr">
        <is>
          <t>pro14</t>
        </is>
      </c>
      <c r="F1218" t="inlineStr">
        <is>
          <t>prod</t>
        </is>
      </c>
    </row>
    <row r="1219">
      <c r="A1219" t="inlineStr">
        <is>
          <t>2025-05-09 10:25:47.468</t>
        </is>
      </c>
      <c r="B1219">
        <f>=请求开始== [请求IP]:222.83.224.137 ,[请求方式]:POST， [请求URL]:https://172.30.212.148:8080/api/appservice/bfv/v1/chatHistory/batchSave, [请求类名]:com.yingzi.appservice.bfv.provider.rest.ChatHistoryController,[请求方法名]:batchSave, [请求头参数]:{"host":"172.30.212.148:8080"}, [请求参数]:[[{"userId":908023034477584384,"deviceId":"1C:99:57:15:5F:B8","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10,"minute":25,"second":42,"nano":0,"chronology":{"id":"ISO","calendarType":"iso8601"}},"response":310740491}]]</f>
        <v/>
      </c>
      <c r="C1219" t="inlineStr">
        <is>
          <t>INFO</t>
        </is>
      </c>
      <c r="D1219" t="inlineStr">
        <is>
          <t>vdh</t>
        </is>
      </c>
      <c r="E1219" t="inlineStr">
        <is>
          <t>pro14</t>
        </is>
      </c>
      <c r="F1219" t="inlineStr">
        <is>
          <t>prod</t>
        </is>
      </c>
    </row>
    <row r="1220">
      <c r="A1220" t="inlineStr">
        <is>
          <t>2025-05-09 10:24:50.958</t>
        </is>
      </c>
      <c r="B1220">
        <f>=请求结束== [请求耗时]:17毫秒, [返回数据]:{"code":"000000","msg":"Success","traceId":"57a26292e4323bbcb9cd62340f498289"}</f>
        <v/>
      </c>
      <c r="C1220" t="inlineStr">
        <is>
          <t>INFO</t>
        </is>
      </c>
      <c r="D1220" t="inlineStr">
        <is>
          <t>vdh</t>
        </is>
      </c>
      <c r="E1220" t="inlineStr">
        <is>
          <t>pro17</t>
        </is>
      </c>
      <c r="F1220" t="inlineStr">
        <is>
          <t>prod</t>
        </is>
      </c>
    </row>
    <row r="1221">
      <c r="A1221" t="inlineStr">
        <is>
          <t>2025-05-09 10:24:50.941</t>
        </is>
      </c>
      <c r="B1221">
        <f>=请求开始== [请求IP]:222.83.224.137 ,[请求方式]:POST， [请求URL]:https://172.30.103.196:8080/api/appservice/bfv/v1/chatHistory/batchSave, [请求类名]:com.yingzi.appservice.bfv.provider.rest.ChatHistoryController,[请求方法名]:batchSave, [请求头参数]:{"host":"172.30.103.196:8080"}, [请求参数]:[[{"userId":908023034477584384,"deviceId":"1C:99:57:15:5F:B8","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10,"minute":24,"second":45,"nano":0,"chronology":{"id":"ISO","calendarType":"iso8601"}},"response":310684122}]]</f>
        <v/>
      </c>
      <c r="C1221" t="inlineStr">
        <is>
          <t>INFO</t>
        </is>
      </c>
      <c r="D1221" t="inlineStr">
        <is>
          <t>vdh</t>
        </is>
      </c>
      <c r="E1221" t="inlineStr">
        <is>
          <t>pro17</t>
        </is>
      </c>
      <c r="F1221" t="inlineStr">
        <is>
          <t>prod</t>
        </is>
      </c>
    </row>
    <row r="1222">
      <c r="A1222" t="inlineStr">
        <is>
          <t>2025-05-09 10:20:03.316</t>
        </is>
      </c>
      <c r="B1222">
        <f>=请求结束== [请求耗时]:16毫秒, [返回数据]:{"code":"000000","msg":"Success","traceId":"a103399e6d63a540b42c89dc0f930e6e"}</f>
        <v/>
      </c>
      <c r="C1222" t="inlineStr">
        <is>
          <t>INFO</t>
        </is>
      </c>
      <c r="D1222" t="inlineStr">
        <is>
          <t>vdh</t>
        </is>
      </c>
      <c r="E1222" t="inlineStr">
        <is>
          <t>pro14</t>
        </is>
      </c>
      <c r="F1222" t="inlineStr">
        <is>
          <t>prod</t>
        </is>
      </c>
    </row>
    <row r="1223">
      <c r="A1223" t="inlineStr">
        <is>
          <t>2025-05-09 10:20:03.301</t>
        </is>
      </c>
      <c r="B122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87:97:8B","sessionId":"","avatarId":"11200220000208050000000000000000","appCode":"VDHtestWDC","instructionTemplateType":"","recordId":"","asrResult":"","knowledgeId":"","knowledgeMasterId":"","instructionType":"","instructionName":"","instructionFlag":"","parameter":"{}","ttsResultSource":"local","ttsResult":"小万发现了红烧排骨或糖醋排骨或话梅排骨,主人喜欢糖醋排骨还是红烧排骨/话梅排骨口感","ttsResultTime":{"year":2025,"monthValue":5,"month":"MAY","dayOfMonth":9,"dayOfYear":129,"dayOfWeek":"FRIDAY","hour":10,"minute":13,"second":19,"nano":0,"chronology":{"id":"ISO","calendarType":"iso8601"}},"response":1746756799121}]]</f>
        <v/>
      </c>
      <c r="C1223" t="inlineStr">
        <is>
          <t>INFO</t>
        </is>
      </c>
      <c r="D1223" t="inlineStr">
        <is>
          <t>vdh</t>
        </is>
      </c>
      <c r="E1223" t="inlineStr">
        <is>
          <t>pro14</t>
        </is>
      </c>
      <c r="F1223" t="inlineStr">
        <is>
          <t>prod</t>
        </is>
      </c>
    </row>
    <row r="1224">
      <c r="A1224" t="inlineStr">
        <is>
          <t>2025-05-09 10:19:50.143</t>
        </is>
      </c>
      <c r="B1224">
        <f>=请求结束== [请求耗时]:14毫秒, [返回数据]:{"code":"000000","msg":"Success","traceId":"960a0b79c952aaed3673371d7262cc22"}</f>
        <v/>
      </c>
      <c r="C1224" t="inlineStr">
        <is>
          <t>INFO</t>
        </is>
      </c>
      <c r="D1224" t="inlineStr">
        <is>
          <t>vdh</t>
        </is>
      </c>
      <c r="E1224" t="inlineStr">
        <is>
          <t>pro14</t>
        </is>
      </c>
      <c r="F1224" t="inlineStr">
        <is>
          <t>prod</t>
        </is>
      </c>
    </row>
    <row r="1225">
      <c r="A1225" t="inlineStr">
        <is>
          <t>2025-05-09 10:19:50.128</t>
        </is>
      </c>
      <c r="B1225">
        <f>=请求开始== [请求IP]:222.83.224.137 ,[请求方式]:POST， [请求URL]:https://172.30.212.148:8080/api/appservice/bfv/v1/chatHistory/batchSave, [请求类名]:com.yingzi.appservice.bfv.provider.rest.ChatHistoryController,[请求方法名]:batchSave, [请求头参数]:{"host":"172.30.212.148:8080"}, [请求参数]:[[{"userId":908023034477584384,"deviceId":"1C:99:57:15:5F:B8","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10,"minute":19,"second":44,"nano":0,"chronology":{"id":"ISO","calendarType":"iso8601"}},"response":310383321}]]</f>
        <v/>
      </c>
      <c r="C1225" t="inlineStr">
        <is>
          <t>INFO</t>
        </is>
      </c>
      <c r="D1225" t="inlineStr">
        <is>
          <t>vdh</t>
        </is>
      </c>
      <c r="E1225" t="inlineStr">
        <is>
          <t>pro14</t>
        </is>
      </c>
      <c r="F1225" t="inlineStr">
        <is>
          <t>prod</t>
        </is>
      </c>
    </row>
    <row r="1226">
      <c r="A1226" t="inlineStr">
        <is>
          <t>2025-05-09 10:19:40.451</t>
        </is>
      </c>
      <c r="B1226">
        <f>=请求结束== [请求耗时]:16毫秒, [返回数据]:{"code":"000000","msg":"Success","traceId":"66bc7e20cd2e98895c94c8cf600eacd3"}</f>
        <v/>
      </c>
      <c r="C1226" t="inlineStr">
        <is>
          <t>INFO</t>
        </is>
      </c>
      <c r="D1226" t="inlineStr">
        <is>
          <t>vdh</t>
        </is>
      </c>
      <c r="E1226" t="inlineStr">
        <is>
          <t>pro17</t>
        </is>
      </c>
      <c r="F1226" t="inlineStr">
        <is>
          <t>prod</t>
        </is>
      </c>
    </row>
    <row r="1227">
      <c r="A1227" t="inlineStr">
        <is>
          <t>2025-05-09 10:19:40.435</t>
        </is>
      </c>
      <c r="B1227">
        <f>=请求开始== [请求IP]:222.83.224.137 ,[请求方式]:POST， [请求URL]:https://172.30.103.196:8080/api/appservice/bfv/v1/chatHistory/batchSave, [请求类名]:com.yingzi.appservice.bfv.provider.rest.ChatHistoryController,[请求方法名]:batchSave, [请求头参数]:{"host":"172.30.103.196:8080"}, [请求参数]:[[{"userId":908023034477584384,"deviceId":"1C:99:57:15:5F:B8","sessionId":"","avatarId":"11200220000208050000000000000000","appCode":"VDHtestWDC","instructionTemplateType":"","recordId":"","asrResult":"","knowledgeId":"","knowledgeMasterId":"","instructionType":"","instructionName":"","instructionFlag":"","parameter":"{}","ttsResultSource":"local","ttsResult":"小万发现了米饭或粥,请选择烹饪模式","ttsResultTime":{"year":2025,"monthValue":5,"month":"MAY","dayOfMonth":9,"dayOfYear":129,"dayOfWeek":"FRIDAY","hour":10,"minute":19,"second":36,"nano":0,"chronology":{"id":"ISO","calendarType":"iso8601"}},"response":310375034}]]</f>
        <v/>
      </c>
      <c r="C1227" t="inlineStr">
        <is>
          <t>INFO</t>
        </is>
      </c>
      <c r="D1227" t="inlineStr">
        <is>
          <t>vdh</t>
        </is>
      </c>
      <c r="E1227" t="inlineStr">
        <is>
          <t>pro17</t>
        </is>
      </c>
      <c r="F1227" t="inlineStr">
        <is>
          <t>prod</t>
        </is>
      </c>
    </row>
    <row r="1228">
      <c r="A1228" t="inlineStr">
        <is>
          <t>2025-05-09 10:19:02.197</t>
        </is>
      </c>
      <c r="B1228">
        <f>=请求结束== [请求耗时]:14毫秒, [返回数据]:{"code":"000000","msg":"Success","traceId":"57c11695e5e8228cadc8bb13db71da8b"}</f>
        <v/>
      </c>
      <c r="C1228" t="inlineStr">
        <is>
          <t>INFO</t>
        </is>
      </c>
      <c r="D1228" t="inlineStr">
        <is>
          <t>vdh</t>
        </is>
      </c>
      <c r="E1228" t="inlineStr">
        <is>
          <t>pro17</t>
        </is>
      </c>
      <c r="F1228" t="inlineStr">
        <is>
          <t>prod</t>
        </is>
      </c>
    </row>
    <row r="1229">
      <c r="A1229" t="inlineStr">
        <is>
          <t>2025-05-09 10:19:02.183</t>
        </is>
      </c>
      <c r="B1229">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3A:1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10,"minute":18,"second":56,"nano":0,"chronology":{"id":"ISO","calendarType":"iso8601"}},"response":1746757136932}]]</f>
        <v/>
      </c>
      <c r="C1229" t="inlineStr">
        <is>
          <t>INFO</t>
        </is>
      </c>
      <c r="D1229" t="inlineStr">
        <is>
          <t>vdh</t>
        </is>
      </c>
      <c r="E1229" t="inlineStr">
        <is>
          <t>pro17</t>
        </is>
      </c>
      <c r="F1229" t="inlineStr">
        <is>
          <t>prod</t>
        </is>
      </c>
    </row>
    <row r="1230">
      <c r="A1230" t="inlineStr">
        <is>
          <t>2025-05-09 10:18:55.492</t>
        </is>
      </c>
      <c r="B1230">
        <f>=请求结束== [请求耗时]:17毫秒, [返回数据]:{"code":"000000","msg":"Success","traceId":"df49be055683e559400a465238c7eee5"}</f>
        <v/>
      </c>
      <c r="C1230" t="inlineStr">
        <is>
          <t>INFO</t>
        </is>
      </c>
      <c r="D1230" t="inlineStr">
        <is>
          <t>vdh</t>
        </is>
      </c>
      <c r="E1230" t="inlineStr">
        <is>
          <t>pro14</t>
        </is>
      </c>
      <c r="F1230" t="inlineStr">
        <is>
          <t>prod</t>
        </is>
      </c>
    </row>
    <row r="1231">
      <c r="A1231" t="inlineStr">
        <is>
          <t>2025-05-09 10:18:55.475</t>
        </is>
      </c>
      <c r="B1231">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87:97:8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10,"minute":12,"second":14,"nano":0,"chronology":{"id":"ISO","calendarType":"iso8601"}},"response":1746756734912}]]</f>
        <v/>
      </c>
      <c r="C1231" t="inlineStr">
        <is>
          <t>INFO</t>
        </is>
      </c>
      <c r="D1231" t="inlineStr">
        <is>
          <t>vdh</t>
        </is>
      </c>
      <c r="E1231" t="inlineStr">
        <is>
          <t>pro14</t>
        </is>
      </c>
      <c r="F1231" t="inlineStr">
        <is>
          <t>prod</t>
        </is>
      </c>
    </row>
    <row r="1232">
      <c r="A1232" t="inlineStr">
        <is>
          <t>2025-05-09 10:17:04.032</t>
        </is>
      </c>
      <c r="B1232">
        <f>=请求结束== [请求耗时]:13毫秒, [返回数据]:{"code":"000000","msg":"Success","traceId":"57422067e15bbc816a230aba70683057"}</f>
        <v/>
      </c>
      <c r="C1232" t="inlineStr">
        <is>
          <t>INFO</t>
        </is>
      </c>
      <c r="D1232" t="inlineStr">
        <is>
          <t>vdh</t>
        </is>
      </c>
      <c r="E1232" t="inlineStr">
        <is>
          <t>pro14</t>
        </is>
      </c>
      <c r="F1232" t="inlineStr">
        <is>
          <t>prod</t>
        </is>
      </c>
    </row>
    <row r="1233">
      <c r="A1233" t="inlineStr">
        <is>
          <t>2025-05-09 10:17:04.019</t>
        </is>
      </c>
      <c r="B123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87:3A:1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10,"minute":16,"second":58,"nano":0,"chronology":{"id":"ISO","calendarType":"iso8601"}},"response":1746757018405}]]</f>
        <v/>
      </c>
      <c r="C1233" t="inlineStr">
        <is>
          <t>INFO</t>
        </is>
      </c>
      <c r="D1233" t="inlineStr">
        <is>
          <t>vdh</t>
        </is>
      </c>
      <c r="E1233" t="inlineStr">
        <is>
          <t>pro14</t>
        </is>
      </c>
      <c r="F1233" t="inlineStr">
        <is>
          <t>prod</t>
        </is>
      </c>
    </row>
    <row r="1234">
      <c r="A1234" t="inlineStr">
        <is>
          <t>2025-05-09 10:15:01.057</t>
        </is>
      </c>
      <c r="B1234">
        <f>=请求结束== [请求耗时]:17毫秒, [返回数据]:{"code":"000000","msg":"Success","traceId":"6ae2428515d1778dec8c058b885dbd26"}</f>
        <v/>
      </c>
      <c r="C1234" t="inlineStr">
        <is>
          <t>INFO</t>
        </is>
      </c>
      <c r="D1234" t="inlineStr">
        <is>
          <t>vdh</t>
        </is>
      </c>
      <c r="E1234" t="inlineStr">
        <is>
          <t>pro17</t>
        </is>
      </c>
      <c r="F1234" t="inlineStr">
        <is>
          <t>prod</t>
        </is>
      </c>
    </row>
    <row r="1235">
      <c r="A1235" t="inlineStr">
        <is>
          <t>2025-05-09 10:15:01.039</t>
        </is>
      </c>
      <c r="B1235">
        <f>=请求开始== [请求IP]:111.29.153.114 ,[请求方式]:POST， [请求URL]:https://172.30.103.196:8080/api/appservice/bfv/v1/chatHistory/batchSave, [请求类名]:com.yingzi.appservice.bfv.provider.rest.ChatHistoryController,[请求方法名]:batchSave, [请求头参数]:{"host":"172.30.103.196:8080"}, [请求参数]:[[{"userId":764489818596057088,"deviceId":"64:79:F0:79:7A:43","sessionId":"","avatarId":"11200220000208050000000000000000","appCode":"VDHtestWDC","instructionTemplateType":"","recordId":"","asrResult":"","knowledgeId":"","knowledgeMasterId":"","instructionType":"","instructionName":"","instructionFlag":"","parameter":"{}","ttsResultSource":"local","ttsResult":"好的烹饪完成,请取餐,小心烫","ttsResultTime":{"year":2025,"monthValue":5,"month":"MAY","dayOfMonth":9,"dayOfYear":129,"dayOfWeek":"FRIDAY","hour":10,"minute":10,"second":16,"nano":0,"chronology":{"id":"ISO","calendarType":"iso8601"}},"response":1746756616933}]]</f>
        <v/>
      </c>
      <c r="C1235" t="inlineStr">
        <is>
          <t>INFO</t>
        </is>
      </c>
      <c r="D1235" t="inlineStr">
        <is>
          <t>vdh</t>
        </is>
      </c>
      <c r="E1235" t="inlineStr">
        <is>
          <t>pro17</t>
        </is>
      </c>
      <c r="F1235" t="inlineStr">
        <is>
          <t>prod</t>
        </is>
      </c>
    </row>
    <row r="1236">
      <c r="A1236" t="inlineStr">
        <is>
          <t>2025-05-09 10:13:53.980</t>
        </is>
      </c>
      <c r="B1236">
        <f>=请求结束== [请求耗时]:19毫秒, [返回数据]:{"code":"000000","msg":"Success","traceId":"4ba81300ccee7dcd08c38731d2bbe821"}</f>
        <v/>
      </c>
      <c r="C1236" t="inlineStr">
        <is>
          <t>INFO</t>
        </is>
      </c>
      <c r="D1236" t="inlineStr">
        <is>
          <t>vdh</t>
        </is>
      </c>
      <c r="E1236" t="inlineStr">
        <is>
          <t>pro14</t>
        </is>
      </c>
      <c r="F1236" t="inlineStr">
        <is>
          <t>prod</t>
        </is>
      </c>
    </row>
    <row r="1237">
      <c r="A1237" t="inlineStr">
        <is>
          <t>2025-05-09 10:13:53.962</t>
        </is>
      </c>
      <c r="B1237">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17:5E:26","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10,"minute":6,"second":35,"nano":0,"chronology":{"id":"ISO","calendarType":"iso8601"}},"response":1746756395089}]]</f>
        <v/>
      </c>
      <c r="C1237" t="inlineStr">
        <is>
          <t>INFO</t>
        </is>
      </c>
      <c r="D1237" t="inlineStr">
        <is>
          <t>vdh</t>
        </is>
      </c>
      <c r="E1237" t="inlineStr">
        <is>
          <t>pro14</t>
        </is>
      </c>
      <c r="F1237" t="inlineStr">
        <is>
          <t>prod</t>
        </is>
      </c>
    </row>
    <row r="1238">
      <c r="A1238" t="inlineStr">
        <is>
          <t>2025-05-09 10:12:43.029</t>
        </is>
      </c>
      <c r="B1238">
        <f>=请求结束== [请求耗时]:16毫秒, [返回数据]:{"code":"000000","msg":"Success","traceId":"426b2341b1ac8b3ed10194f62d1e258f"}</f>
        <v/>
      </c>
      <c r="C1238" t="inlineStr">
        <is>
          <t>INFO</t>
        </is>
      </c>
      <c r="D1238" t="inlineStr">
        <is>
          <t>vdh</t>
        </is>
      </c>
      <c r="E1238" t="inlineStr">
        <is>
          <t>pro17</t>
        </is>
      </c>
      <c r="F1238" t="inlineStr">
        <is>
          <t>prod</t>
        </is>
      </c>
    </row>
    <row r="1239">
      <c r="A1239" t="inlineStr">
        <is>
          <t>2025-05-09 10:12:43.013</t>
        </is>
      </c>
      <c r="B1239">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3A:1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10,"minute":12,"second":37,"nano":0,"chronology":{"id":"ISO","calendarType":"iso8601"}},"response":1746756757685}]]</f>
        <v/>
      </c>
      <c r="C1239" t="inlineStr">
        <is>
          <t>INFO</t>
        </is>
      </c>
      <c r="D1239" t="inlineStr">
        <is>
          <t>vdh</t>
        </is>
      </c>
      <c r="E1239" t="inlineStr">
        <is>
          <t>pro17</t>
        </is>
      </c>
      <c r="F1239" t="inlineStr">
        <is>
          <t>prod</t>
        </is>
      </c>
    </row>
    <row r="1240">
      <c r="A1240" t="inlineStr">
        <is>
          <t>2025-05-09 10:11:21.645</t>
        </is>
      </c>
      <c r="B1240">
        <f>=请求结束== [请求耗时]:15毫秒, [返回数据]:{"code":"000000","msg":"Success","traceId":"2efc05de99d1b2fe4901ccd96657894f"}</f>
        <v/>
      </c>
      <c r="C1240" t="inlineStr">
        <is>
          <t>INFO</t>
        </is>
      </c>
      <c r="D1240" t="inlineStr">
        <is>
          <t>vdh</t>
        </is>
      </c>
      <c r="E1240" t="inlineStr">
        <is>
          <t>pro14</t>
        </is>
      </c>
      <c r="F1240" t="inlineStr">
        <is>
          <t>prod</t>
        </is>
      </c>
    </row>
    <row r="1241">
      <c r="A1241" t="inlineStr">
        <is>
          <t>2025-05-09 10:11:21.630</t>
        </is>
      </c>
      <c r="B1241">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17:5E:26","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10,"minute":4,"second":3,"nano":0,"chronology":{"id":"ISO","calendarType":"iso8601"}},"response":1746756243777}]]</f>
        <v/>
      </c>
      <c r="C1241" t="inlineStr">
        <is>
          <t>INFO</t>
        </is>
      </c>
      <c r="D1241" t="inlineStr">
        <is>
          <t>vdh</t>
        </is>
      </c>
      <c r="E1241" t="inlineStr">
        <is>
          <t>pro14</t>
        </is>
      </c>
      <c r="F1241" t="inlineStr">
        <is>
          <t>prod</t>
        </is>
      </c>
    </row>
    <row r="1242">
      <c r="A1242" t="inlineStr">
        <is>
          <t>2025-05-09 10:10:45.942</t>
        </is>
      </c>
      <c r="B1242">
        <f>=请求结束== [请求耗时]:12毫秒, [返回数据]:{"code":"000000","msg":"Success","traceId":"7ac549a761b03b869fc70accac9c3ecb"}</f>
        <v/>
      </c>
      <c r="C1242" t="inlineStr">
        <is>
          <t>INFO</t>
        </is>
      </c>
      <c r="D1242" t="inlineStr">
        <is>
          <t>vdh</t>
        </is>
      </c>
      <c r="E1242" t="inlineStr">
        <is>
          <t>pro17</t>
        </is>
      </c>
      <c r="F1242" t="inlineStr">
        <is>
          <t>prod</t>
        </is>
      </c>
    </row>
    <row r="1243">
      <c r="A1243" t="inlineStr">
        <is>
          <t>2025-05-09 10:10:45.930</t>
        </is>
      </c>
      <c r="B1243">
        <f>=请求开始== [请求IP]:171.104.158.186 ,[请求方式]:POST， [请求URL]:https://172.30.103.196:8080/api/appservice/bfv/v1/chatHistory/batchSave, [请求类名]:com.yingzi.appservice.bfv.provider.rest.ChatHistoryController,[请求方法名]:batchSave, [请求头参数]:{"host":"172.30.103.196:8080"}, [请求参数]:[[{"userId":1151876849451257858,"deviceId":"1C:99:57:17:5E:26","sessionId":"","avatarId":"11200220000208050000000000000000","appCode":"VDHtestWDC","instructionTemplateType":"","recordId":"","asrResult":"","knowledgeId":"","knowledgeMasterId":"","instructionType":"","instructionName":"","instructionFlag":"","parameter":"{}","ttsResultSource":"local","ttsResult":"小万发现了红烧排骨或糖醋排骨或话梅排骨,主人喜欢糖醋排骨还是红烧排骨/话梅排骨口感","ttsResultTime":{"year":2025,"monthValue":5,"month":"MAY","dayOfMonth":9,"dayOfYear":129,"dayOfWeek":"FRIDAY","hour":10,"minute":3,"second":24,"nano":0,"chronology":{"id":"ISO","calendarType":"iso8601"}},"response":1746756204426}]]</f>
        <v/>
      </c>
      <c r="C1243" t="inlineStr">
        <is>
          <t>INFO</t>
        </is>
      </c>
      <c r="D1243" t="inlineStr">
        <is>
          <t>vdh</t>
        </is>
      </c>
      <c r="E1243" t="inlineStr">
        <is>
          <t>pro17</t>
        </is>
      </c>
      <c r="F1243" t="inlineStr">
        <is>
          <t>prod</t>
        </is>
      </c>
    </row>
    <row r="1244">
      <c r="A1244" t="inlineStr">
        <is>
          <t>2025-05-09 10:10:43.835</t>
        </is>
      </c>
      <c r="B1244">
        <f>=请求结束== [请求耗时]:14毫秒, [返回数据]:{"code":"000000","msg":"Success","traceId":"a541096328bace7c50882c94cc892c41"}</f>
        <v/>
      </c>
      <c r="C1244" t="inlineStr">
        <is>
          <t>INFO</t>
        </is>
      </c>
      <c r="D1244" t="inlineStr">
        <is>
          <t>vdh</t>
        </is>
      </c>
      <c r="E1244" t="inlineStr">
        <is>
          <t>pro14</t>
        </is>
      </c>
      <c r="F1244" t="inlineStr">
        <is>
          <t>prod</t>
        </is>
      </c>
    </row>
    <row r="1245">
      <c r="A1245" t="inlineStr">
        <is>
          <t>2025-05-09 10:10:43.821</t>
        </is>
      </c>
      <c r="B1245">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87:3A:1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10,"minute":10,"second":37,"nano":0,"chronology":{"id":"ISO","calendarType":"iso8601"}},"response":1746756637573}]]</f>
        <v/>
      </c>
      <c r="C1245" t="inlineStr">
        <is>
          <t>INFO</t>
        </is>
      </c>
      <c r="D1245" t="inlineStr">
        <is>
          <t>vdh</t>
        </is>
      </c>
      <c r="E1245" t="inlineStr">
        <is>
          <t>pro14</t>
        </is>
      </c>
      <c r="F1245" t="inlineStr">
        <is>
          <t>prod</t>
        </is>
      </c>
    </row>
    <row r="1246">
      <c r="A1246" t="inlineStr">
        <is>
          <t>2025-05-09 10:10:21.463</t>
        </is>
      </c>
      <c r="B1246">
        <f>=请求结束== [请求耗时]:15毫秒, [返回数据]:{"code":"000000","msg":"Success","traceId":"56e1382ebb8cfbbe016936ddd4e0976d"}</f>
        <v/>
      </c>
      <c r="C1246" t="inlineStr">
        <is>
          <t>INFO</t>
        </is>
      </c>
      <c r="D1246" t="inlineStr">
        <is>
          <t>vdh</t>
        </is>
      </c>
      <c r="E1246" t="inlineStr">
        <is>
          <t>pro17</t>
        </is>
      </c>
      <c r="F1246" t="inlineStr">
        <is>
          <t>prod</t>
        </is>
      </c>
    </row>
    <row r="1247">
      <c r="A1247" t="inlineStr">
        <is>
          <t>2025-05-09 10:10:21.448</t>
        </is>
      </c>
      <c r="B1247">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64:79:F0:FF:55:A5","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10,"minute":3,"second":4,"nano":0,"chronology":{"id":"ISO","calendarType":"iso8601"}},"response":1746756184378}]]</f>
        <v/>
      </c>
      <c r="C1247" t="inlineStr">
        <is>
          <t>INFO</t>
        </is>
      </c>
      <c r="D1247" t="inlineStr">
        <is>
          <t>vdh</t>
        </is>
      </c>
      <c r="E1247" t="inlineStr">
        <is>
          <t>pro17</t>
        </is>
      </c>
      <c r="F1247" t="inlineStr">
        <is>
          <t>prod</t>
        </is>
      </c>
    </row>
    <row r="1248">
      <c r="A1248" t="inlineStr">
        <is>
          <t>2025-05-09 10:08:25.241</t>
        </is>
      </c>
      <c r="B1248">
        <f>=请求结束== [请求耗时]:22毫秒, [返回数据]:{"code":"000000","msg":"Success","traceId":"55589af8a3c2d5029ea7097f0967a594"}</f>
        <v/>
      </c>
      <c r="C1248" t="inlineStr">
        <is>
          <t>INFO</t>
        </is>
      </c>
      <c r="D1248" t="inlineStr">
        <is>
          <t>vdh</t>
        </is>
      </c>
      <c r="E1248" t="inlineStr">
        <is>
          <t>pro14</t>
        </is>
      </c>
      <c r="F1248" t="inlineStr">
        <is>
          <t>prod</t>
        </is>
      </c>
    </row>
    <row r="1249">
      <c r="A1249" t="inlineStr">
        <is>
          <t>2025-05-09 10:08:25.220</t>
        </is>
      </c>
      <c r="B1249">
        <f>=请求开始== [请求IP]:111.29.153.114 ,[请求方式]:POST， [请求URL]:https://172.30.212.148:8080/api/appservice/bfv/v1/chatHistory/batchSave, [请求类名]:com.yingzi.appservice.bfv.provider.rest.ChatHistoryController,[请求方法名]:batchSave, [请求头参数]:{"host":"172.30.212.148:8080"}, [请求参数]:[[{"userId":764489818596057088,"deviceId":"64:79:F0:79:7A:43","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10,"minute":8,"second":20,"nano":0,"chronology":{"id":"ISO","calendarType":"iso8601"}},"response":1746756500036}]]</f>
        <v/>
      </c>
      <c r="C1249" t="inlineStr">
        <is>
          <t>INFO</t>
        </is>
      </c>
      <c r="D1249" t="inlineStr">
        <is>
          <t>vdh</t>
        </is>
      </c>
      <c r="E1249" t="inlineStr">
        <is>
          <t>pro14</t>
        </is>
      </c>
      <c r="F1249" t="inlineStr">
        <is>
          <t>prod</t>
        </is>
      </c>
    </row>
    <row r="1250">
      <c r="A1250" t="inlineStr">
        <is>
          <t>2025-05-09 10:08:00.459</t>
        </is>
      </c>
      <c r="B1250">
        <f>=请求结束== [请求耗时]:15毫秒, [返回数据]:{"code":"000000","msg":"Success","traceId":"a60c9bdf2c2c63f0e11cc41398aa6bc5"}</f>
        <v/>
      </c>
      <c r="C1250" t="inlineStr">
        <is>
          <t>INFO</t>
        </is>
      </c>
      <c r="D1250" t="inlineStr">
        <is>
          <t>vdh</t>
        </is>
      </c>
      <c r="E1250" t="inlineStr">
        <is>
          <t>pro17</t>
        </is>
      </c>
      <c r="F1250" t="inlineStr">
        <is>
          <t>prod</t>
        </is>
      </c>
    </row>
    <row r="1251">
      <c r="A1251" t="inlineStr">
        <is>
          <t>2025-05-09 10:08:00.444</t>
        </is>
      </c>
      <c r="B1251">
        <f>=请求开始== [请求IP]:111.29.153.114 ,[请求方式]:POST， [请求URL]:https://172.30.103.196:8080/api/appservice/bfv/v1/chatHistory/batchSave, [请求类名]:com.yingzi.appservice.bfv.provider.rest.ChatHistoryController,[请求方法名]:batchSave, [请求头参数]:{"host":"172.30.103.196:8080"}, [请求参数]:[[{"userId":764489818596057088,"deviceId":"64:79:F0:79:7A:43","sessionId":"","avatarId":"11200220000208050000000000000000","appCode":"VDHtestWDC","instructionTemplateType":"","recordId":"","asrResult":"","knowledgeId":"","knowledgeMasterId":"","instructionType":"","instructionName":"","instructionFlag":"","parameter":"{}","ttsResultSource":"local","ttsResult":"烹饪完成,请取餐,小心烫小万发现了孜然土豆,主人喜欢小块还是大块口感","ttsResultTime":{"year":2025,"monthValue":5,"month":"MAY","dayOfMonth":9,"dayOfYear":129,"dayOfWeek":"FRIDAY","hour":10,"minute":7,"second":46,"nano":0,"chronology":{"id":"ISO","calendarType":"iso8601"}},"response":1746756466201}]]</f>
        <v/>
      </c>
      <c r="C1251" t="inlineStr">
        <is>
          <t>INFO</t>
        </is>
      </c>
      <c r="D1251" t="inlineStr">
        <is>
          <t>vdh</t>
        </is>
      </c>
      <c r="E1251" t="inlineStr">
        <is>
          <t>pro17</t>
        </is>
      </c>
      <c r="F1251" t="inlineStr">
        <is>
          <t>prod</t>
        </is>
      </c>
    </row>
    <row r="1252">
      <c r="A1252" t="inlineStr">
        <is>
          <t>2025-05-09 10:07:20.837</t>
        </is>
      </c>
      <c r="B1252">
        <f>=请求结束== [请求耗时]:19毫秒, [返回数据]:{"code":"000000","msg":"Success","traceId":"7ad6c967b767b927dbfdf25e26584de6"}</f>
        <v/>
      </c>
      <c r="C1252" t="inlineStr">
        <is>
          <t>INFO</t>
        </is>
      </c>
      <c r="D1252" t="inlineStr">
        <is>
          <t>vdh</t>
        </is>
      </c>
      <c r="E1252" t="inlineStr">
        <is>
          <t>pro14</t>
        </is>
      </c>
      <c r="F1252" t="inlineStr">
        <is>
          <t>prod</t>
        </is>
      </c>
    </row>
    <row r="1253">
      <c r="A1253" t="inlineStr">
        <is>
          <t>2025-05-09 10:07:20.818</t>
        </is>
      </c>
      <c r="B125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64:79:F0:FF:55:A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10,"minute":0,"second":3,"nano":0,"chronology":{"id":"ISO","calendarType":"iso8601"}},"response":1746756003611}]]</f>
        <v/>
      </c>
      <c r="C1253" t="inlineStr">
        <is>
          <t>INFO</t>
        </is>
      </c>
      <c r="D1253" t="inlineStr">
        <is>
          <t>vdh</t>
        </is>
      </c>
      <c r="E1253" t="inlineStr">
        <is>
          <t>pro14</t>
        </is>
      </c>
      <c r="F1253" t="inlineStr">
        <is>
          <t>prod</t>
        </is>
      </c>
    </row>
    <row r="1254">
      <c r="A1254" t="inlineStr">
        <is>
          <t>2025-05-09 10:04:51.665</t>
        </is>
      </c>
      <c r="B1254">
        <f>=请求结束== [请求耗时]:18毫秒, [返回数据]:{"code":"000000","msg":"Success","traceId":"a71a24127b4cb14487e335aef7edce4c"}</f>
        <v/>
      </c>
      <c r="C1254" t="inlineStr">
        <is>
          <t>INFO</t>
        </is>
      </c>
      <c r="D1254" t="inlineStr">
        <is>
          <t>vdh</t>
        </is>
      </c>
      <c r="E1254" t="inlineStr">
        <is>
          <t>pro17</t>
        </is>
      </c>
      <c r="F1254" t="inlineStr">
        <is>
          <t>prod</t>
        </is>
      </c>
    </row>
    <row r="1255">
      <c r="A1255" t="inlineStr">
        <is>
          <t>2025-05-09 10:04:51.647</t>
        </is>
      </c>
      <c r="B1255">
        <f>=请求开始== [请求IP]:111.29.153.114 ,[请求方式]:POST， [请求URL]:https://172.30.103.196:8080/api/appservice/bfv/v1/chatHistory/batchSave, [请求类名]:com.yingzi.appservice.bfv.provider.rest.ChatHistoryController,[请求方法名]:batchSave, [请求头参数]:{"host":"172.30.103.196:8080"}, [请求参数]:[[{"userId":764489818596057088,"deviceId":"64:79:F0:79:7A:43","sessionId":"","avatarId":"11200220000208050000000000000000","appCode":"VDHtestWDC","instructionTemplateType":"","recordId":"","asrResult":"","knowledgeId":"","knowledgeMasterId":"","instructionType":"","instructionName":"","instructionFlag":"","parameter":"{}","ttsResultSource":"local","ttsResult":"小万发现了孜然土豆,主人喜欢小块还是大块口感选好了,要帮主人开始烹饪吗开始烹饪,请耐心等待","ttsResultTime":{"year":2025,"monthValue":5,"month":"MAY","dayOfMonth":9,"dayOfYear":129,"dayOfWeek":"FRIDAY","hour":10,"minute":4,"second":37,"nano":0,"chronology":{"id":"ISO","calendarType":"iso8601"}},"response":1746756277924}]]</f>
        <v/>
      </c>
      <c r="C1255" t="inlineStr">
        <is>
          <t>INFO</t>
        </is>
      </c>
      <c r="D1255" t="inlineStr">
        <is>
          <t>vdh</t>
        </is>
      </c>
      <c r="E1255" t="inlineStr">
        <is>
          <t>pro17</t>
        </is>
      </c>
      <c r="F1255" t="inlineStr">
        <is>
          <t>prod</t>
        </is>
      </c>
    </row>
    <row r="1256">
      <c r="A1256" t="inlineStr">
        <is>
          <t>2025-05-09 09:55:02.078</t>
        </is>
      </c>
      <c r="B1256">
        <f>=请求结束== [请求耗时]:16毫秒, [返回数据]:{"code":"000000","msg":"Success","traceId":"d5208e694570ad7ee18526626393aa31"}</f>
        <v/>
      </c>
      <c r="C1256" t="inlineStr">
        <is>
          <t>INFO</t>
        </is>
      </c>
      <c r="D1256" t="inlineStr">
        <is>
          <t>vdh</t>
        </is>
      </c>
      <c r="E1256" t="inlineStr">
        <is>
          <t>pro17</t>
        </is>
      </c>
      <c r="F1256" t="inlineStr">
        <is>
          <t>prod</t>
        </is>
      </c>
    </row>
    <row r="1257">
      <c r="A1257" t="inlineStr">
        <is>
          <t>2025-05-09 09:55:02.063</t>
        </is>
      </c>
      <c r="B1257">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Instruction_library","recordId":"","asrResult":"暂停","instructionAsrFirstTime":{"year":2025,"monthValue":5,"month":"MAY","dayOfMonth":9,"dayOfYear":129,"dayOfWeek":"FRIDAY","hour":9,"minute":54,"second":56,"nano":0,"chronology":{"id":"ISO","calendarType":"iso8601"}},"knowledgeId":"","knowledgeMasterId":"295","instructionType":"COOKING","instructionName":"暂停烹饪","instructionFlag":"voice_cmd_pause_cooking","parameter":"{\"answer\":\"DEFAULT\",\"code\":\"voice_cmd_pause_cooking\",\"continue_answer\":\"\",\"continue_failed_answer\":\"\",\"entities\":\"\",\"failed_answer\":\"{\\\"answerId\\\":\\\"\\\",\\\"value\\\":\\\"抱歉，执行错误\\\",\\\"hidb\\\":\\\"\\\",\\\"aplusId\\\":\\\"\\\",\\\"flag\\\":true,\\\"updFlag\\\":false,\\\"cache\\\":false}\",\"hitBusiness\":\"295\",\"init_state\":\"false\",\"intent\":\"暂停烹饪\",\"intentType\":\"COOKING\",\"isEnd\":\"true\",\"isMulti\":\"false\",\"service\":\"Instruction_library\",\"succeed_answer\":\"{\\\"answerId\\\":\\\"\\\",\\\"value\\\":\\\"帮主人暂停啦\\\",\\\"hidb\\\":\\\"\\\",\\\"aplusId\\\":\\\"\\\",\\\"flag\\\":true,\\\"updFlag\\\":false,\\\"cache\\\":false}\"}","ttsResultSource":"local","ttsResult":"请先开始烹饪","ttsResultTime":{"year":2025,"monthValue":5,"month":"MAY","dayOfMonth":9,"dayOfYear":129,"dayOfWeek":"FRIDAY","hour":9,"minute":54,"second":58,"nano":0,"chronology":{"id":"ISO","calendarType":"iso8601"}},"response":956}]]</f>
        <v/>
      </c>
      <c r="C1257" t="inlineStr">
        <is>
          <t>INFO</t>
        </is>
      </c>
      <c r="D1257" t="inlineStr">
        <is>
          <t>vdh</t>
        </is>
      </c>
      <c r="E1257" t="inlineStr">
        <is>
          <t>pro17</t>
        </is>
      </c>
      <c r="F1257" t="inlineStr">
        <is>
          <t>prod</t>
        </is>
      </c>
    </row>
    <row r="1258">
      <c r="A1258" t="inlineStr">
        <is>
          <t>2025-05-09 09:54:56.198</t>
        </is>
      </c>
      <c r="B1258">
        <f>=请求结束== [请求耗时]:15毫秒, [返回数据]:{"code":"000000","msg":"Success","traceId":"f54636925b417a0ab280904c9ba30860"}</f>
        <v/>
      </c>
      <c r="C1258" t="inlineStr">
        <is>
          <t>INFO</t>
        </is>
      </c>
      <c r="D1258" t="inlineStr">
        <is>
          <t>vdh</t>
        </is>
      </c>
      <c r="E1258" t="inlineStr">
        <is>
          <t>pro14</t>
        </is>
      </c>
      <c r="F1258" t="inlineStr">
        <is>
          <t>prod</t>
        </is>
      </c>
    </row>
    <row r="1259">
      <c r="A1259" t="inlineStr">
        <is>
          <t>2025-05-09 09:54:56.183</t>
        </is>
      </c>
      <c r="B1259">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这个歌有籽籽","instructionAsrFirstTime":{"year":2025,"monthValue":5,"month":"MAY","dayOfMonth":9,"dayOfYear":129,"dayOfWeek":"FRIDAY","hour":9,"minute":54,"second":34,"nano":0,"chronology":{"id":"ISO","calendarType":"iso8601"}},"knowledgeId":"","knowledgeMasterId":"","instructionType":"","instructionName":"","instructionFlag":"","parameter":"{\"nlpId\":\"17300825629321642727spln\",\"service\":\"Chat_library\"}","ttsResultSource":"FTT","ttsResult":"这首歌是由歌手籽籽演唱的。她的音乐风格多样,作品深受粉丝喜爱。如果您有其他问题或需要帮助,随时告诉我。","ttsResultTime":{"year":2025,"monthValue":5,"month":"MAY","dayOfMonth":9,"dayOfYear":129,"dayOfWeek":"FRIDAY","hour":9,"minute":54,"second":42,"nano":0,"chronology":{"id":"ISO","calendarType":"iso8601"}},"response":4050}]]</f>
        <v/>
      </c>
      <c r="C1259" t="inlineStr">
        <is>
          <t>INFO</t>
        </is>
      </c>
      <c r="D1259" t="inlineStr">
        <is>
          <t>vdh</t>
        </is>
      </c>
      <c r="E1259" t="inlineStr">
        <is>
          <t>pro14</t>
        </is>
      </c>
      <c r="F1259" t="inlineStr">
        <is>
          <t>prod</t>
        </is>
      </c>
    </row>
    <row r="1260">
      <c r="A1260" t="inlineStr">
        <is>
          <t>2025-05-09 09:54:40.913</t>
        </is>
      </c>
      <c r="B1260">
        <f>=请求结束== [请求耗时]:2687毫秒</f>
        <v/>
      </c>
      <c r="C1260" t="inlineStr">
        <is>
          <t>INFO</t>
        </is>
      </c>
      <c r="D1260" t="inlineStr">
        <is>
          <t>vdh</t>
        </is>
      </c>
      <c r="E1260" t="inlineStr">
        <is>
          <t>pro14</t>
        </is>
      </c>
      <c r="F1260" t="inlineStr">
        <is>
          <t>prod</t>
        </is>
      </c>
    </row>
    <row r="1261">
      <c r="A1261" t="inlineStr">
        <is>
          <t>2025-05-09 09:54:40.912</t>
        </is>
      </c>
      <c r="B1261" t="inlineStr">
        <is>
          <t>第1次流式调用完成，耗时：2217ms，response: Response { content = AiMessage { text = "这首歌是由歌手籽籽演唱的。她的音乐风格多样，作品深受粉丝喜爱。如果您有其他问题或需要帮助，请随时告诉我。" toolExecutionRequests = null }, tokenUsage = TokenUsage { inputTokenCount = 5422, outputTokenCount = 66, totalTokenCount = 5488 }, finishReason = STOP }</t>
        </is>
      </c>
      <c r="C1261" t="inlineStr">
        <is>
          <t>INFO</t>
        </is>
      </c>
      <c r="D1261" t="inlineStr">
        <is>
          <t>vdh</t>
        </is>
      </c>
      <c r="E1261" t="inlineStr">
        <is>
          <t>pro14</t>
        </is>
      </c>
      <c r="F1261" t="inlineStr">
        <is>
          <t>prod</t>
        </is>
      </c>
    </row>
    <row r="1262">
      <c r="A1262" t="inlineStr">
        <is>
          <t>2025-05-09 09:54:39.792</t>
        </is>
      </c>
      <c r="B1262" t="inlineStr">
        <is>
          <t xml:space="preserve">第1次流式调用开始回复，耗时：1097ms，第一个token: </t>
        </is>
      </c>
      <c r="C1262" t="inlineStr">
        <is>
          <t>INFO</t>
        </is>
      </c>
      <c r="D1262" t="inlineStr">
        <is>
          <t>vdh</t>
        </is>
      </c>
      <c r="E1262" t="inlineStr">
        <is>
          <t>pro14</t>
        </is>
      </c>
      <c r="F1262" t="inlineStr">
        <is>
          <t>prod</t>
        </is>
      </c>
    </row>
    <row r="1263">
      <c r="A1263" t="inlineStr">
        <is>
          <t>2025-05-09 09:54:38.695</t>
        </is>
      </c>
      <c r="B1263" t="inlineStr">
        <is>
          <t>streaming provider=gpt, model: gpt-4o</t>
        </is>
      </c>
      <c r="C1263" t="inlineStr">
        <is>
          <t>INFO</t>
        </is>
      </c>
      <c r="D1263" t="inlineStr">
        <is>
          <t>vdh</t>
        </is>
      </c>
      <c r="E1263" t="inlineStr">
        <is>
          <t>pro14</t>
        </is>
      </c>
      <c r="F1263" t="inlineStr">
        <is>
          <t>prod</t>
        </is>
      </c>
    </row>
    <row r="1264">
      <c r="A1264" t="inlineStr">
        <is>
          <t>2025-05-09 09:54:38.686</t>
        </is>
      </c>
      <c r="B1264">
        <f>=请求结束== [请求耗时]:447毫秒, [返回数据]:{"code":"000000","msg":"Success","data":[{"knowledgeId":"1326868148286373888","knowledgeContent":[{"score":0.7072749275,"content":"：2025年春节/过年/大年初一是1月29日，农历正月初一，星期三。","fileId":"1326944717968060416","chunkId":"paragraph-1"},{"score":0.6971468375,"content":"：深圳数影科技的股价是多少？深圳数影科技有限公司没有上市，因此没有股价信息。 广西扬翔股份上市了吗？广西扬翔股份没有上市。","fileId":"1326944717968060416","chunkId":"paragraph-6"},{"score":0.6949419375,"content":"：广州影子科技的股价是多少？广州影子科技有限公司没有上市，因此没有股价信息。","fileId":"1326944717968060416","chunkId":"paragraph-5"}]},{"knowledgeId":"1272947938412855296","knowledgeContent":[{"score":0.724112875,"content":"辣味的菜有吗","fileId":"1275470180282040320","chunkId":"13","textGroup":"SELECT id, title FROM recipe_knowledge_nutrition WHERE classify_taste LIKE '%辣%' ORDER BY random() LIMIT 5;"},{"score":0.7227324325,"content":"我有红薯和牛奶，教我做一个甜口的甜品","fileId":"1275470180282040320","chunkId":"111","textGroup":"SELECT id, title, step_contents_list FROM recipe_knowledge_nutrition WHERE materials_list LIKE '%红薯%' AND materials_list LIKE '%牛奶%' AND classify_taste LIKE '%甜%' ORDER BY random() LIMIT 5;"},{"score":0.7210033625,"content":"有没有点赞数超过10的菜","fileId":"1275470180282040320","chunkId":"122","textGroup":"SELECT id, title FROM recipe_knowledge_nutrition WHERE fabulous_num &gt; 10 LIMIT 5;"},{"score":0.7182255624999999,"content":"有哪些由小万养生记发布的食谱","fileId":"1275470180282040320","chunkId":"124","textGroup":"SELECT id, title FROM recipe_knowledge_nutrition WHERE publisher_name LIKE '%小万养生记%' LIMIT 5;"},{"score":0.7158586525,"content":"我爷爷不能吃辣的，推荐个菜谱","fileId":"1275470180282040320","chunkId":"103","textGroup":"SELECT id, title FROM recipe_knowledge_nutrition WHERE classify_crowd LIKE '%老人%' AND classify_taste NOT LIKE '%辣%' ORDER BY random() LIMIT 1;"},{"score":0.7152963775000001,"content":"大家喜欢分享哪个食谱","fileId":"1275470180282040320","chunkId":"137","textGroup":"SELECT id, title FROM recipe_knowledge_nutrition ORDER BY forward_num DESC LIMIT 1;"}]},{"knowledgeId":"1329399948694220800","knowledgeContent":[{"score":0.803389595,"content":"这个是[菜品名称]","fileId":"1347217269055369216","chunkId":"46","textGroup":"set_foodtype_taste"},{"score":0.7230036675,"content":"请帮我继续微波","fileId":"1347217269055369216","chunkId":"256","textGroup":"cooking_control {type=continue}"},{"score":0.722007255,"content":"播放新闻","fileId":"1329400169758941184","chunkId":"51","textGroup":"news {type=top,size=3}"},{"score":0.7214844625,"content":"有什么娱乐新闻","fileId":"1329400169758941184","chunkId":"73","textGroup":"news {type=yule,size=3}"},{"score":0.7187214949999999,"content":"快启动吧","fileId":"1347217269055369216","chunkId":"137","textGroup":"cooking_control {type=start}"},{"score":0.715953895,"content":"请帮我终止微波","fileId":"1347217269055369216","chunkId":"328","textGroup":"cooking_control {type=stop}"},{"score":0.7158042524999999,"content":"我想微波暂停","fileId":"1347217269055369216","chunkId":"195","textGroup":"cooking_control {type=pause}"},{"score":0.7155244749999999,"content":"明天有没有雨","fileId":"1329400169758941184","chunkId":"26","textGroup":"getCurrentWeather"}]},{"knowledgeId":"1272948056214077440","knowledgeContent":[{"score":0.7322010925,"content":"问题：晚安。\\n回复：晚安。","fileId":"1303425377255075840","chunkId":"2766","textGroup":"晚安"},{"score":0.7306768724999999,"content":"问题：你喜欢唱歌吗。\\n回复：唱歌可以帮助我释放压力和情感，只是我唱歌的水平还不够好。","fileId":"1303425377255075840","chunkId":"2691","textGroup":"你喜欢唱歌吗"},{"score":0.7262691124999999,"content":"问题：你对新谊宾有了姐吗。\\n回复：新谊宾是贵港新谊宾大酒店旗下的的食品品牌。新谊宾大酒店通过将传统烘培技术与智能AI相结合，联合新食记研发出适配万得厨的美味烘培产品。目前，新谊宾的面包和糕点在平台商城上备受欢迎。","fileId":"1303425377255075840","chunkId":"418","textGroup":"介绍一下新谊宾"},{"score":0.725171295,"content":"问题：你对影子科技有了姐吗。\\n回复：广州影子科技有限公司，成立于2018年6月，致力于成为农牧食品产业互联网平台企业，利用基因科学、区块链、人工智能等技术，为农牧食品产业各环节提供智能解决方案与服务，驱动“农场到餐桌”产业链智能化转型升级，实现“让食品健康、安全、美味、便利”的愿景。","fileId":"1303425377255075840","chunkId":"758","textGroup":"影子科技是"},{"score":0.7250585,"content":"问题：你好。\\n回复：你好，有什么可以帮您。","fileId":"1303425377255075840","chunkId":"2699","textGroup":"你好"},{"score":0.724005775,"content":"问题：万能除有抖音号吗。\\n回复：万得厨官方抖音账号为“万得厨的厨”，不定时为您推送最全使用指南及最美味的食品食谱，期待您的关注！","fileId":"1303425377255075840","chunkId":"578","text</f>
        <v/>
      </c>
      <c r="C1264" t="inlineStr">
        <is>
          <t>INFO</t>
        </is>
      </c>
      <c r="D1264" t="inlineStr">
        <is>
          <t>vdh</t>
        </is>
      </c>
      <c r="E1264" t="inlineStr">
        <is>
          <t>pro17</t>
        </is>
      </c>
      <c r="F1264" t="inlineStr">
        <is>
          <t>prod</t>
        </is>
      </c>
    </row>
    <row r="1265">
      <c r="A1265" t="inlineStr">
        <is>
          <t>2025-05-09 09:54:38.685</t>
        </is>
      </c>
      <c r="B1265" t="inlineStr">
        <is>
          <t>知识库插件检索耗时: 445ms</t>
        </is>
      </c>
      <c r="C1265" t="inlineStr">
        <is>
          <t>INFO</t>
        </is>
      </c>
      <c r="D1265" t="inlineStr">
        <is>
          <t>vdh</t>
        </is>
      </c>
      <c r="E1265" t="inlineStr">
        <is>
          <t>pro17</t>
        </is>
      </c>
      <c r="F1265" t="inlineStr">
        <is>
          <t>prod</t>
        </is>
      </c>
    </row>
    <row r="1266">
      <c r="A1266" t="inlineStr">
        <is>
          <t>2025-05-09 09:54:38.239</t>
        </is>
      </c>
      <c r="B1266">
        <f>=请求开始== [请求IP]:172.18.33.14 ,[请求方式]:POST， [请求URL]:https://172.30.103.196:8080/api/appservice/bfv/v1/knowledge/retrieval/plugin, [请求类名]:com.yingzi.appservice.bfv.provider.rest.KnowledgeRetrievalController,[请求方法名]:plugin, [请求头参数]:{"host":"172.30.103.196:8080"}, [请求参数]:[{"query":"这个歌有籽籽","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266" t="inlineStr">
        <is>
          <t>INFO</t>
        </is>
      </c>
      <c r="D1266" t="inlineStr">
        <is>
          <t>vdh</t>
        </is>
      </c>
      <c r="E1266" t="inlineStr">
        <is>
          <t>pro17</t>
        </is>
      </c>
      <c r="F1266" t="inlineStr">
        <is>
          <t>prod</t>
        </is>
      </c>
    </row>
    <row r="1267">
      <c r="A1267" t="inlineStr">
        <is>
          <t>2025-05-09 09:54:38.226</t>
        </is>
      </c>
      <c r="B1267">
        <f>=请求开始== [请求IP]:172.18.114.116 ,[请求方式]:POST， [请求URL]:https://172.30.212.148:8080/api/appservice/bfv/v1/chat/, [请求类名]:com.yingzi.appservice.bfv.provider.rest.ChatV1Controller,[请求方法名]:chat, [请求头参数]:{"host":"172.30.212.148:8080"}, [请求参数]:[{"stream":true,"message":"这个歌有籽籽","args":"{\"adcode\":\"440100\",\"channel_id\":\"9\"}"}]</f>
        <v/>
      </c>
      <c r="C1267" t="inlineStr">
        <is>
          <t>INFO</t>
        </is>
      </c>
      <c r="D1267" t="inlineStr">
        <is>
          <t>vdh</t>
        </is>
      </c>
      <c r="E1267" t="inlineStr">
        <is>
          <t>pro14</t>
        </is>
      </c>
      <c r="F1267" t="inlineStr">
        <is>
          <t>prod</t>
        </is>
      </c>
    </row>
    <row r="1268">
      <c r="A1268" t="inlineStr">
        <is>
          <t>2025-05-09 09:54:33.804</t>
        </is>
      </c>
      <c r="B1268">
        <f>=请求结束== [请求耗时]:13毫秒, [返回数据]:{"code":"000000","msg":"Success","traceId":"625fac40ff00e81ccbf348fba0d3276a"}</f>
        <v/>
      </c>
      <c r="C1268" t="inlineStr">
        <is>
          <t>INFO</t>
        </is>
      </c>
      <c r="D1268" t="inlineStr">
        <is>
          <t>vdh</t>
        </is>
      </c>
      <c r="E1268" t="inlineStr">
        <is>
          <t>pro17</t>
        </is>
      </c>
      <c r="F1268" t="inlineStr">
        <is>
          <t>prod</t>
        </is>
      </c>
    </row>
    <row r="1269">
      <c r="A1269" t="inlineStr">
        <is>
          <t>2025-05-09 09:54:33.791</t>
        </is>
      </c>
      <c r="B1269">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我要","instructionAsrFirstTime":{"year":2025,"monthValue":5,"month":"MAY","dayOfMonth":9,"dayOfYear":129,"dayOfWeek":"FRIDAY","hour":9,"minute":54,"second":24,"nano":0,"chronology":{"id":"ISO","calendarType":"iso8601"}},"knowledgeId":"","knowledgeMasterId":"","instructionType":"","instructionName":"","instructionFlag":"","parameter":"{\"nlpId\":\"17300825629321642727spln\",\"service\":\"Chat_library\"}","ttsResultSource":"FTT","ttsResult":"请问您是希望我帮您启动烹饪,还是想听新闻呢?如果是启动烹饪,请告诉我具体的菜品名称;如果是听新闻,","ttsResultTime":{"year":2025,"monthValue":5,"month":"MAY","dayOfMonth":9,"dayOfYear":129,"dayOfWeek":"FRIDAY","hour":9,"minute":54,"second":28,"nano":0,"chronology":{"id":"ISO","calendarType":"iso8601"}},"response":2955}]]</f>
        <v/>
      </c>
      <c r="C1269" t="inlineStr">
        <is>
          <t>INFO</t>
        </is>
      </c>
      <c r="D1269" t="inlineStr">
        <is>
          <t>vdh</t>
        </is>
      </c>
      <c r="E1269" t="inlineStr">
        <is>
          <t>pro17</t>
        </is>
      </c>
      <c r="F1269" t="inlineStr">
        <is>
          <t>prod</t>
        </is>
      </c>
    </row>
    <row r="1270">
      <c r="A1270" t="inlineStr">
        <is>
          <t>2025-05-09 09:54:27.840</t>
        </is>
      </c>
      <c r="B1270">
        <f>=请求结束== [请求耗时]:1988毫秒</f>
        <v/>
      </c>
      <c r="C1270" t="inlineStr">
        <is>
          <t>INFO</t>
        </is>
      </c>
      <c r="D1270" t="inlineStr">
        <is>
          <t>vdh</t>
        </is>
      </c>
      <c r="E1270" t="inlineStr">
        <is>
          <t>pro17</t>
        </is>
      </c>
      <c r="F1270" t="inlineStr">
        <is>
          <t>prod</t>
        </is>
      </c>
    </row>
    <row r="1271">
      <c r="A1271" t="inlineStr">
        <is>
          <t>2025-05-09 09:54:27.839</t>
        </is>
      </c>
      <c r="B1271" t="inlineStr">
        <is>
          <t>第1次流式调用完成，耗时：1686ms，response: Response { content = AiMessage { text = "请问您是希望我帮您启动烹饪，还是想听新闻呢？如果是启动烹饪，请告诉我具体的菜品名称；如果是听新闻，我可以直接为您播放最新的新闻。" toolExecutionRequests = null }, tokenUsage = TokenUsage { inputTokenCount = 4850, outputTokenCount = 77, totalTokenCount = 4927 }, finishReason = STOP }</t>
        </is>
      </c>
      <c r="C1271" t="inlineStr">
        <is>
          <t>INFO</t>
        </is>
      </c>
      <c r="D1271" t="inlineStr">
        <is>
          <t>vdh</t>
        </is>
      </c>
      <c r="E1271" t="inlineStr">
        <is>
          <t>pro17</t>
        </is>
      </c>
      <c r="F1271" t="inlineStr">
        <is>
          <t>prod</t>
        </is>
      </c>
    </row>
    <row r="1272">
      <c r="A1272" t="inlineStr">
        <is>
          <t>2025-05-09 09:54:27.092</t>
        </is>
      </c>
      <c r="B1272" t="inlineStr">
        <is>
          <t xml:space="preserve">第1次流式调用开始回复，耗时：939ms，第一个token: </t>
        </is>
      </c>
      <c r="C1272" t="inlineStr">
        <is>
          <t>INFO</t>
        </is>
      </c>
      <c r="D1272" t="inlineStr">
        <is>
          <t>vdh</t>
        </is>
      </c>
      <c r="E1272" t="inlineStr">
        <is>
          <t>pro17</t>
        </is>
      </c>
      <c r="F1272" t="inlineStr">
        <is>
          <t>prod</t>
        </is>
      </c>
    </row>
    <row r="1273">
      <c r="A1273" t="inlineStr">
        <is>
          <t>2025-05-09 09:54:26.153</t>
        </is>
      </c>
      <c r="B1273" t="inlineStr">
        <is>
          <t>streaming provider=gpt, model: gpt-4o</t>
        </is>
      </c>
      <c r="C1273" t="inlineStr">
        <is>
          <t>INFO</t>
        </is>
      </c>
      <c r="D1273" t="inlineStr">
        <is>
          <t>vdh</t>
        </is>
      </c>
      <c r="E1273" t="inlineStr">
        <is>
          <t>pro17</t>
        </is>
      </c>
      <c r="F1273" t="inlineStr">
        <is>
          <t>prod</t>
        </is>
      </c>
    </row>
    <row r="1274">
      <c r="A1274" t="inlineStr">
        <is>
          <t>2025-05-09 09:54:26.145</t>
        </is>
      </c>
      <c r="B1274">
        <f>=请求结束== [请求耗时]:279毫秒, [返回数据]:{"code":"000000","msg":"Success","data":[{"knowledgeId":"1326868148286373888","knowledgeContent":[{"score":0.7450906199999999,"content":"：2025年春节/过年/大年初一是1月29日，农历正月初一，星期三。","fileId":"1326944717968060416","chunkId":"paragraph-1"},{"score":0.71537666,"content":"：深圳数影科技的股价是多少？深圳数影科技有限公司没有上市，因此没有股价信息。 广西扬翔股份上市了吗？广西扬翔股份没有上市。","fileId":"1326944717968060416","chunkId":"paragraph-6"},{"score":0.7136607224999999,"content":"：小暑：•新历：7月7日•农历：六月十三•星期一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knowledgeId":"1272948056214077440","knowledgeContent":[{"score":0.763321335,"content":"问题：可以和我聊聊天吗。\\n回复：你可以随时找我聊。","fileId":"1303425377255075840","chunkId":"2757","textGroup":"可以和我聊聊天吗"},{"score":0.7630351400000001,"content":"问题：你好。\\n回复：你好，有什么可以帮您。","fileId":"1303425377255075840","chunkId":"2699","textGroup":"你好"},{"score":0.762714435,"content":"问题：晚安。\\n回复：晚安。","fileId":"1303425377255075840","chunkId":"2766","textGroup":"晚安"},{"score":0.7591787324999999,"content":"问题：不满。\\n回复：不满意的地方还请多多包涵。","fileId":"1303425377255075840","chunkId":"2671","textGroup":"不满"},{"score":0.7572364399999999,"content":"问题：你什么时候在线。\\n回复：我二十四小时在线的。","fileId":"1303425377255075840","chunkId":"2676","textGroup":"你什么时候在线"},{"score":0.754245375,"content":"问题：你吃饭了吗。\\n回复：还在等待美食中，你想和我一起吃吗？","fileId":"1303425377255075840","chunkId":"2689","textGroup":"你吃饭了吗"},{"score":0.7518735775,"content":"问题：早上好。\\n回复：早上好，美好的一天又开始了。","fileId":"1303425377255075840","chunkId":"2764","textGroup":"早上好"},{"score":0.7515945224999999,"content":"问题：能和你们进行合作吗。\\n回复：想要与我们进行合作，您可通过官方平台联系我们了解详细信息。","fileId":"1303425377255075840","chunkId":"754","textGroup":"如何申请成为平台商家"},{"score":0.75045565,"content":"问题：我是谁。\\n回复：你就是我的主人呀","fileId":"1303425377255075840","chunkId":"2763","textGroup":"我是谁"},{"score":0.7501385575,"content":"问题：假期愉快。\\n回复：假期愉快，玩得开心哟！","fileId":"1303425377255075840","chunkId":"2755","textGroup":"假期愉快"},{"score":0.7496975349999999,"content":"问题：我好无聊。\\n回复：有什么我可以为您做的吗？","fileId":"1303425377255075840","chunkId":"2761","textGroup":"我好无聊"},{"score":0.7482526625,"content":"问题：你好丑。\\n回复：外貌是次要的，重要的是我的内在","fileId":"1303425377255075840","chunkId":"2700","textGroup":"你好丑"},{"score":0.747785545,"content":"问题：你反应太慢了。\\n回复：抱歉我还在学习，所以反应有点慢。","fileId":"1303425377255075840","chunkId":"2686","textGroup":"你反应太慢了"}]},{"knowledgeId":"1272947938412855296","knowledgeContent":[{"score":0.7625034224999999,"content":"我想吃辛辣的菜","fileId":"1275470180282040320","chunkId":"14","textGroup":"SELECT id, title FROM recipe_knowledge_nutrition WHERE classify_taste LIKE '%辛辣%' ORDER BY random() LIMIT 5;"}]},{"knowledgeId":"1329399948694220800","knowledgeContent":[{"score":0.8710782440000001,"content":"我要烹[菜品名称]","fileId":"1347217269055369216","chunkId":"34","textGroup":"set_foodtype_taste"},{"score":0.7778347875,"content":"我想微波暂停","fileId":"1347217269055369216","chunkId":"195","textGroup":"cooking_control {type=pause}"},{"score":0.77555054,"content":"我想烹饪启动","fileId":"1347217269055369216","chunkId":"131","textGroup":"cooking_control {type=start}"},{"score":0.7744372525,"content":"请帮我继续微波","fileId":"1347217269055369216","chunkId":"256","textGroup":"cooking_control {type=continue}"},{"score":0.7736807524999999,"content":"我要听新闻","fileId":"1329400169758941184","chunkId":"60","textGroup":"news {type=top,size=3}"},{"score":0.7635481574999999,"content":"请帮我终止微波","fileId":"1347217269055369216","chunkId":"328","textGroup":"cooking_control {type=stop}"}]}]}</f>
        <v/>
      </c>
      <c r="C1274" t="inlineStr">
        <is>
          <t>INFO</t>
        </is>
      </c>
      <c r="D1274" t="inlineStr">
        <is>
          <t>vdh</t>
        </is>
      </c>
      <c r="E1274" t="inlineStr">
        <is>
          <t>pro14</t>
        </is>
      </c>
      <c r="F1274" t="inlineStr">
        <is>
          <t>prod</t>
        </is>
      </c>
    </row>
    <row r="1275">
      <c r="A1275" t="inlineStr">
        <is>
          <t>2025-05-09 09:54:26.144</t>
        </is>
      </c>
      <c r="B1275" t="inlineStr">
        <is>
          <t>知识库插件检索耗时: 276ms</t>
        </is>
      </c>
      <c r="C1275" t="inlineStr">
        <is>
          <t>INFO</t>
        </is>
      </c>
      <c r="D1275" t="inlineStr">
        <is>
          <t>vdh</t>
        </is>
      </c>
      <c r="E1275" t="inlineStr">
        <is>
          <t>pro14</t>
        </is>
      </c>
      <c r="F1275" t="inlineStr">
        <is>
          <t>prod</t>
        </is>
      </c>
    </row>
    <row r="1276">
      <c r="A1276" t="inlineStr">
        <is>
          <t>2025-05-09 09:54:25.867</t>
        </is>
      </c>
      <c r="B1276">
        <f>=请求开始== [请求IP]:172.18.33.17 ,[请求方式]:POST， [请求URL]:https://172.30.212.148:8080/api/appservice/bfv/v1/knowledge/retrieval/plugin, [请求类名]:com.yingzi.appservice.bfv.provider.rest.KnowledgeRetrievalController,[请求方法名]:plugin, [请求头参数]:{"host":"172.30.212.148:8080"}, [请求参数]:[{"query":"我要","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276" t="inlineStr">
        <is>
          <t>INFO</t>
        </is>
      </c>
      <c r="D1276" t="inlineStr">
        <is>
          <t>vdh</t>
        </is>
      </c>
      <c r="E1276" t="inlineStr">
        <is>
          <t>pro14</t>
        </is>
      </c>
      <c r="F1276" t="inlineStr">
        <is>
          <t>prod</t>
        </is>
      </c>
    </row>
    <row r="1277">
      <c r="A1277" t="inlineStr">
        <is>
          <t>2025-05-09 09:54:25.852</t>
        </is>
      </c>
      <c r="B1277">
        <f>=请求开始== [请求IP]:172.18.114.98 ,[请求方式]:POST， [请求URL]:https://172.30.103.196:8080/api/appservice/bfv/v1/chat/, [请求类名]:com.yingzi.appservice.bfv.provider.rest.ChatV1Controller,[请求方法名]:chat, [请求头参数]:{"host":"172.30.103.196:8080"}, [请求参数]:[{"stream":true,"message":"我要","args":"{\"adcode\":\"440100\",\"channel_id\":\"9\"}"}]</f>
        <v/>
      </c>
      <c r="C1277" t="inlineStr">
        <is>
          <t>INFO</t>
        </is>
      </c>
      <c r="D1277" t="inlineStr">
        <is>
          <t>vdh</t>
        </is>
      </c>
      <c r="E1277" t="inlineStr">
        <is>
          <t>pro17</t>
        </is>
      </c>
      <c r="F1277" t="inlineStr">
        <is>
          <t>prod</t>
        </is>
      </c>
    </row>
    <row r="1278">
      <c r="A1278" t="inlineStr">
        <is>
          <t>2025-05-09 09:54:22.853</t>
        </is>
      </c>
      <c r="B1278">
        <f>=请求结束== [请求耗时]:15毫秒, [返回数据]:{"code":"000000","msg":"Success","traceId":"138aeadf4401805fb61953d91a8e09a0"}</f>
        <v/>
      </c>
      <c r="C1278" t="inlineStr">
        <is>
          <t>INFO</t>
        </is>
      </c>
      <c r="D1278" t="inlineStr">
        <is>
          <t>vdh</t>
        </is>
      </c>
      <c r="E1278" t="inlineStr">
        <is>
          <t>pro14</t>
        </is>
      </c>
      <c r="F1278" t="inlineStr">
        <is>
          <t>prod</t>
        </is>
      </c>
    </row>
    <row r="1279">
      <c r="A1279" t="inlineStr">
        <is>
          <t>2025-05-09 09:54:22.838</t>
        </is>
      </c>
      <c r="B1279">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instructionAsrFirstTime":{"year":2025,"monthValue":5,"month":"MAY","dayOfMonth":9,"dayOfYear":129,"dayOfWeek":"FRIDAY","hour":9,"minute":54,"second":22,"nano":0,"chronology":{"id":"ISO","calendarType":"iso8601"}},"knowledgeId":"","knowledgeMasterId":"","instructionType":"","instructionName":"","instructionFlag":"","parameter":"{}","ttsResultSource":"","ttsResult":"","response":0}]]</f>
        <v/>
      </c>
      <c r="C1279" t="inlineStr">
        <is>
          <t>INFO</t>
        </is>
      </c>
      <c r="D1279" t="inlineStr">
        <is>
          <t>vdh</t>
        </is>
      </c>
      <c r="E1279" t="inlineStr">
        <is>
          <t>pro14</t>
        </is>
      </c>
      <c r="F1279" t="inlineStr">
        <is>
          <t>prod</t>
        </is>
      </c>
    </row>
    <row r="1280">
      <c r="A1280" t="inlineStr">
        <is>
          <t>2025-05-09 09:54:21.780</t>
        </is>
      </c>
      <c r="B1280">
        <f>=请求结束== [请求耗时]:16毫秒, [返回数据]:{"code":"000000","msg":"Success","traceId":"c8d7edfe0c0dc341403426948ff2163a"}</f>
        <v/>
      </c>
      <c r="C1280" t="inlineStr">
        <is>
          <t>INFO</t>
        </is>
      </c>
      <c r="D1280" t="inlineStr">
        <is>
          <t>vdh</t>
        </is>
      </c>
      <c r="E1280" t="inlineStr">
        <is>
          <t>pro17</t>
        </is>
      </c>
      <c r="F1280" t="inlineStr">
        <is>
          <t>prod</t>
        </is>
      </c>
    </row>
    <row r="1281">
      <c r="A1281" t="inlineStr">
        <is>
          <t>2025-05-09 09:54:21.764</t>
        </is>
      </c>
      <c r="B1281">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大手小鸡","instructionAsrFirstTime":{"year":2025,"monthValue":5,"month":"MAY","dayOfMonth":9,"dayOfYear":129,"dayOfWeek":"FRIDAY","hour":9,"minute":54,"second":1,"nano":0,"chronology":{"id":"ISO","calendarType":"iso8601"}},"knowledgeId":"","knowledgeMasterId":"","instructionType":"","instructionName":"","instructionFlag":"","parameter":"{\"nlpId\":\"17300825629321642727spln\",\"service\":\"Chat_library\"}","ttsResultSource":"FTT","ttsResult":"请问你是想了解关于“大手小鸡”的菜谱还是其他相关信息呢?如果是菜谱,我可以查询相关的烹饪步骤和食材信息。是其他信息，请提供更多详细的内容。","ttsResultTime":{"year":2025,"monthValue":5,"month":"MAY","dayOfMonth":9,"dayOfYear":129,"dayOfWeek":"FRIDAY","hour":9,"minute":54,"second":7,"nano":0,"chronology":{"id":"ISO","calendarType":"iso8601"}},"response":3601}]]</f>
        <v/>
      </c>
      <c r="C1281" t="inlineStr">
        <is>
          <t>INFO</t>
        </is>
      </c>
      <c r="D1281" t="inlineStr">
        <is>
          <t>vdh</t>
        </is>
      </c>
      <c r="E1281" t="inlineStr">
        <is>
          <t>pro17</t>
        </is>
      </c>
      <c r="F1281" t="inlineStr">
        <is>
          <t>prod</t>
        </is>
      </c>
    </row>
    <row r="1282">
      <c r="A1282" t="inlineStr">
        <is>
          <t>2025-05-09 09:54:06.135</t>
        </is>
      </c>
      <c r="B1282">
        <f>=请求结束== [请求耗时]:2452毫秒</f>
        <v/>
      </c>
      <c r="C1282" t="inlineStr">
        <is>
          <t>INFO</t>
        </is>
      </c>
      <c r="D1282" t="inlineStr">
        <is>
          <t>vdh</t>
        </is>
      </c>
      <c r="E1282" t="inlineStr">
        <is>
          <t>pro14</t>
        </is>
      </c>
      <c r="F1282" t="inlineStr">
        <is>
          <t>prod</t>
        </is>
      </c>
    </row>
    <row r="1283">
      <c r="A1283" t="inlineStr">
        <is>
          <t>2025-05-09 09:54:06.134</t>
        </is>
      </c>
      <c r="B1283" t="inlineStr">
        <is>
          <t>第1次流式调用完成，耗时：2034ms，response: Response { content = AiMessage { text = "请问你是想了解关于“大手小鸡”的菜谱还是其他相关信息呢？如果是菜谱，我可以查询相关的烹饪步骤和食材信息。如果是其他信息，请提供更多详细的内容。" toolExecutionRequests = null }, tokenUsage = TokenUsage { inputTokenCount = 5726, outputTokenCount = 74, totalTokenCount = 5800 }, finishReason = STOP }</t>
        </is>
      </c>
      <c r="C1283" t="inlineStr">
        <is>
          <t>INFO</t>
        </is>
      </c>
      <c r="D1283" t="inlineStr">
        <is>
          <t>vdh</t>
        </is>
      </c>
      <c r="E1283" t="inlineStr">
        <is>
          <t>pro14</t>
        </is>
      </c>
      <c r="F1283" t="inlineStr">
        <is>
          <t>prod</t>
        </is>
      </c>
    </row>
    <row r="1284">
      <c r="A1284" t="inlineStr">
        <is>
          <t>2025-05-09 09:54:05.092</t>
        </is>
      </c>
      <c r="B1284" t="inlineStr">
        <is>
          <t xml:space="preserve">第1次流式调用开始回复，耗时：992ms，第一个token: </t>
        </is>
      </c>
      <c r="C1284" t="inlineStr">
        <is>
          <t>INFO</t>
        </is>
      </c>
      <c r="D1284" t="inlineStr">
        <is>
          <t>vdh</t>
        </is>
      </c>
      <c r="E1284" t="inlineStr">
        <is>
          <t>pro14</t>
        </is>
      </c>
      <c r="F1284" t="inlineStr">
        <is>
          <t>prod</t>
        </is>
      </c>
    </row>
    <row r="1285">
      <c r="A1285" t="inlineStr">
        <is>
          <t>2025-05-09 09:54:04.100</t>
        </is>
      </c>
      <c r="B1285" t="inlineStr">
        <is>
          <t>streaming provider=gpt, model: gpt-4o</t>
        </is>
      </c>
      <c r="C1285" t="inlineStr">
        <is>
          <t>INFO</t>
        </is>
      </c>
      <c r="D1285" t="inlineStr">
        <is>
          <t>vdh</t>
        </is>
      </c>
      <c r="E1285" t="inlineStr">
        <is>
          <t>pro14</t>
        </is>
      </c>
      <c r="F1285" t="inlineStr">
        <is>
          <t>prod</t>
        </is>
      </c>
    </row>
    <row r="1286">
      <c r="A1286" t="inlineStr">
        <is>
          <t>2025-05-09 09:54:04.092</t>
        </is>
      </c>
      <c r="B1286">
        <f>=请求结束== [请求耗时]:399毫秒, [返回数据]:{"code":"000000","msg":"Success","data":[{"knowledgeId":"1326868148286373888","knowledgeContent":[{"score":0.7175548275,"content":"：2025年春节/过年/大年初一是1月29日，农历正月初一，星期三。","fileId":"1326944717968060416","chunkId":"paragraph-1"},{"score":0.7023086325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0.6994413700000001,"content":"：深圳数影科技的股价是多少？深圳数影科技有限公司没有上市，因此没有股价信息。 广西扬翔股份上市了吗？广西扬翔股份没有上市。","fileId":"1326944717968060416","chunkId":"paragraph-6"}]},{"knowledgeId":"1272947938412855296","knowledgeContent":[{"score":0.759656475,"content":"有哪些简单易做的鸡肉食谱？","fileId":"1275470180282040320","chunkId":"160","textGroup":"SELECT id, title FROM recipe_knowledge_nutrition WHERE classify_crowd LIKE '%懒人%' AND materials_list LIKE '%鸡肉%' ORDER BY random() LIMIT 5;"},{"score":0.75184251,"content":"能告诉我白切鸡的口味和原料吗","fileId":"1275470180282040320","chunkId":"128","textGroup":"SELECT classify_taste, materials_list FROM recipe_knowledge_nutrition WHERE title LIKE '%白切鸡%' LIMIT 5;"},{"score":0.7413748875,"content":"鸡腿可以用烤盘烹饪吗","fileId":"1275470180282040320","chunkId":"149","textGroup":"SELECT id, title, cooking_utensils FROM recipe_knowledge_nutrition WHERE (title LIKE '%鸡腿%' OR materials_list LIKE '%鸡腿%') AND cooking_utensils LIKE '%烤盘%' LIMIT 5;"},{"score":0.7400761724999999,"content":"烧汁鸡腿该怎么做","fileId":"1275470180282040320","chunkId":"92","textGroup":"SELECT step_contents_list FROM recipe_knowledge_nutrition WHERE title LIKE '%烧汁鸡腿%' LIMIT 5;"},{"score":0.7338426549999999,"content":"我家里有火腿肠和鸡蛋，教我做道简单容易的菜","fileId":"1275470180282040320","chunkId":"117","textGroup":"SELECT id, title, step_contents_list FROM recipe_knowledge_nutrition WHERE classify_crowd LIKE '%懒人%' AND materials_list ILIKE '%火腿肠%' AND materials_list ILIKE '%鸡蛋%' ORDER BY random() LIMIT 5;"},{"score":0.7323724525,"content":"我想做蛋炒饭，可以用哪些工具烹饪","fileId":"1275470180282040320","chunkId":"162","textGroup":"SELECT distinct(cooking_utensils) FROM recipe_knowledge_nutrition WHERE cooking_utensils is not null AND title LIKE '%蛋炒饭%';"},{"score":0.73189335,"content":"有没有用微波烤盘做的鸡排？","fileId":"1275470180282040320","chunkId":"161","textGroup":"SELECT id, title FROM recipe_knowledge_nutrition WHERE cooking_utensils LIKE '%烤盘%' AND title LIKE '%鸡排%' ORDER BY random() LIMIT 5;"},{"score":0.7282972974999999,"content":"有哪些适合小孩吃的咸口的菜","fileId":"1275470180282040320","chunkId":"165","textGroup":"SELECT id, title FROM recipe_knowledge_nutrition WHERE classify_crowd LIKE '%儿童%' AND classify_taste LIKE '%咸%' ORDER BY random() LIMIT 5;"},{"score":0.7277437775,"content":"蒜香鸡及蒜香排骨的烹饪时长总和","fileId":"1275470180282040320","chunkId":"78","textGroup":"SELECT SUM(heat_time_sum) AS total_heat_time FROM recipe_knowledge_nutrition WHERE title LIKE '%蒜香鸡%' OR title LIKE '%蒜香排骨%';"},{"score":0.724767545,"content":"油焖大虾适合儿童食用吗","fileId":"1275470180282040320","chunkId":"147","textGroup":"SELECT id, title, classify_crowd FROM recipe_knowledge_nutrition WHERE title LIKE '%油焖大虾%' AND classify_crowd LIKE '%儿童%' LIMIT 5;"},{"score":0.72475862,"content":"哪些菜可以用陶瓷碗烹饪","fileId":"1275470180282040320","chunkId":"123","textGroup":"SELECT id, title FROM recipe_knowledge_nutrition WHERE cooking_utensils LIKE '%陶瓷%' ORDER BY random() LIMIT 5;"},{"score":0.722907915,"content":"你知道烹饪时长小于5分钟的食谱吗","fileId":"1275470180282040320","chunkId":"30","textGroup":"SELECT id, title, heat_time_sum FROM recipe_knowledge_nutrition WHERE heat_time_sum &lt; 300 ORDER BY random() LIMIT 5;"}]},{"knowledgeId":"1329399948694220800","knowledgeContent":[{"score":0.7258991499999999,"content":"我想烹饪启动","fileId":"1347217269055369216","chunkId":"131","textGroup":"cooking_control {type=start}"},{"score":0.724997895,"content":"请帮我继续微波","fileId":"1347217269055369216","chunkId":"256","textGroup":"cooking_con</f>
        <v/>
      </c>
      <c r="C1286" t="inlineStr">
        <is>
          <t>INFO</t>
        </is>
      </c>
      <c r="D1286" t="inlineStr">
        <is>
          <t>vdh</t>
        </is>
      </c>
      <c r="E1286" t="inlineStr">
        <is>
          <t>pro14</t>
        </is>
      </c>
      <c r="F1286" t="inlineStr">
        <is>
          <t>prod</t>
        </is>
      </c>
    </row>
    <row r="1287">
      <c r="A1287" t="inlineStr">
        <is>
          <t>2025-05-09 09:54:04.091</t>
        </is>
      </c>
      <c r="B1287" t="inlineStr">
        <is>
          <t>知识库插件检索耗时: 397ms</t>
        </is>
      </c>
      <c r="C1287" t="inlineStr">
        <is>
          <t>INFO</t>
        </is>
      </c>
      <c r="D1287" t="inlineStr">
        <is>
          <t>vdh</t>
        </is>
      </c>
      <c r="E1287" t="inlineStr">
        <is>
          <t>pro14</t>
        </is>
      </c>
      <c r="F1287" t="inlineStr">
        <is>
          <t>prod</t>
        </is>
      </c>
    </row>
    <row r="1288">
      <c r="A1288" t="inlineStr">
        <is>
          <t>2025-05-09 09:54:03.693</t>
        </is>
      </c>
      <c r="B1288">
        <f>=请求开始== [请求IP]:172.18.33.14 ,[请求方式]:POST， [请求URL]:https://172.30.212.148:8080/api/appservice/bfv/v1/knowledge/retrieval/plugin, [请求类名]:com.yingzi.appservice.bfv.provider.rest.KnowledgeRetrievalController,[请求方法名]:plugin, [请求头参数]:{"host":"172.30.212.148:8080"}, [请求参数]:[{"query":"大手小鸡","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288" t="inlineStr">
        <is>
          <t>INFO</t>
        </is>
      </c>
      <c r="D1288" t="inlineStr">
        <is>
          <t>vdh</t>
        </is>
      </c>
      <c r="E1288" t="inlineStr">
        <is>
          <t>pro14</t>
        </is>
      </c>
      <c r="F1288" t="inlineStr">
        <is>
          <t>prod</t>
        </is>
      </c>
    </row>
    <row r="1289">
      <c r="A1289" t="inlineStr">
        <is>
          <t>2025-05-09 09:54:03.684</t>
        </is>
      </c>
      <c r="B1289">
        <f>=请求开始== [请求IP]:172.18.114.98 ,[请求方式]:POST， [请求URL]:https://172.30.212.148:8080/api/appservice/bfv/v1/chat/, [请求类名]:com.yingzi.appservice.bfv.provider.rest.ChatV1Controller,[请求方法名]:chat, [请求头参数]:{"host":"172.30.212.148:8080"}, [请求参数]:[{"stream":true,"message":"大手小鸡","args":"{\"adcode\":\"440100\",\"channel_id\":\"9\"}"}]</f>
        <v/>
      </c>
      <c r="C1289" t="inlineStr">
        <is>
          <t>INFO</t>
        </is>
      </c>
      <c r="D1289" t="inlineStr">
        <is>
          <t>vdh</t>
        </is>
      </c>
      <c r="E1289" t="inlineStr">
        <is>
          <t>pro14</t>
        </is>
      </c>
      <c r="F1289" t="inlineStr">
        <is>
          <t>prod</t>
        </is>
      </c>
    </row>
    <row r="1290">
      <c r="A1290" t="inlineStr">
        <is>
          <t>2025-05-09 09:53:58.534</t>
        </is>
      </c>
      <c r="B1290">
        <f>=请求结束== [请求耗时]:14毫秒, [返回数据]:{"code":"000000","msg":"Success","traceId":"e92abda51441011044a6c2bf29f847a3"}</f>
        <v/>
      </c>
      <c r="C1290" t="inlineStr">
        <is>
          <t>INFO</t>
        </is>
      </c>
      <c r="D1290" t="inlineStr">
        <is>
          <t>vdh</t>
        </is>
      </c>
      <c r="E1290" t="inlineStr">
        <is>
          <t>pro17</t>
        </is>
      </c>
      <c r="F1290" t="inlineStr">
        <is>
          <t>prod</t>
        </is>
      </c>
    </row>
    <row r="1291">
      <c r="A1291" t="inlineStr">
        <is>
          <t>2025-05-09 09:53:58.521</t>
        </is>
      </c>
      <c r="B1291">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instructionAsrFirstTime":{"year":2025,"monthValue":5,"month":"MAY","dayOfMonth":9,"dayOfYear":129,"dayOfWeek":"FRIDAY","hour":9,"minute":53,"second":57,"nano":0,"chronology":{"id":"ISO","calendarType":"iso8601"}},"knowledgeId":"","knowledgeMasterId":"","instructionType":"","instructionName":"","instructionFlag":"","parameter":"{}","ttsResultSource":"","ttsResult":"","response":0}]]</f>
        <v/>
      </c>
      <c r="C1291" t="inlineStr">
        <is>
          <t>INFO</t>
        </is>
      </c>
      <c r="D1291" t="inlineStr">
        <is>
          <t>vdh</t>
        </is>
      </c>
      <c r="E1291" t="inlineStr">
        <is>
          <t>pro17</t>
        </is>
      </c>
      <c r="F1291" t="inlineStr">
        <is>
          <t>prod</t>
        </is>
      </c>
    </row>
    <row r="1292">
      <c r="A1292" t="inlineStr">
        <is>
          <t>2025-05-09 09:53:55.667</t>
        </is>
      </c>
      <c r="B1292">
        <f>=请求结束== [请求耗时]:15毫秒, [返回数据]:{"code":"000000","msg":"Success","traceId":"8e1a154470defaab34ba506ac2ba5e5b"}</f>
        <v/>
      </c>
      <c r="C1292" t="inlineStr">
        <is>
          <t>INFO</t>
        </is>
      </c>
      <c r="D1292" t="inlineStr">
        <is>
          <t>vdh</t>
        </is>
      </c>
      <c r="E1292" t="inlineStr">
        <is>
          <t>pro14</t>
        </is>
      </c>
      <c r="F1292" t="inlineStr">
        <is>
          <t>prod</t>
        </is>
      </c>
    </row>
    <row r="1293">
      <c r="A1293" t="inlineStr">
        <is>
          <t>2025-05-09 09:53:55.652</t>
        </is>
      </c>
      <c r="B1293">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打哇哦我要跳跳打","instructionAsrFirstTime":{"year":2025,"monthValue":5,"month":"MAY","dayOfMonth":9,"dayOfYear":129,"dayOfWeek":"FRIDAY","hour":9,"minute":53,"second":43,"nano":0,"chronology":{"id":"ISO","calendarType":"iso8601"}},"knowledgeId":"","knowledgeMasterId":"","instructionType":"","instructionName":"","instructionFlag":"","parameter":"{\"nlpId\":\"17300825629321642727spln\",\"service\":\"Chat_library\"}","ttsResultSource":"FTT","ttsResult":"喜欢呀!你可以跟我说跳舞的指令,我来展示给主人看!","ttsResultTime":{"year":2025,"monthValue":5,"month":"MAY","dayOfMonth":9,"dayOfYear":129,"dayOfWeek":"FRIDAY","hour":9,"minute":53,"second":50,"nano":0,"chronology":{"id":"ISO","calendarType":"iso8601"}},"response":3375}]]</f>
        <v/>
      </c>
      <c r="C1293" t="inlineStr">
        <is>
          <t>INFO</t>
        </is>
      </c>
      <c r="D1293" t="inlineStr">
        <is>
          <t>vdh</t>
        </is>
      </c>
      <c r="E1293" t="inlineStr">
        <is>
          <t>pro14</t>
        </is>
      </c>
      <c r="F1293" t="inlineStr">
        <is>
          <t>prod</t>
        </is>
      </c>
    </row>
    <row r="1294">
      <c r="A1294" t="inlineStr">
        <is>
          <t>2025-05-09 09:53:49.214</t>
        </is>
      </c>
      <c r="B1294">
        <f>=请求结束== [请求耗时]:1693毫秒</f>
        <v/>
      </c>
      <c r="C1294" t="inlineStr">
        <is>
          <t>INFO</t>
        </is>
      </c>
      <c r="D1294" t="inlineStr">
        <is>
          <t>vdh</t>
        </is>
      </c>
      <c r="E1294" t="inlineStr">
        <is>
          <t>pro17</t>
        </is>
      </c>
      <c r="F1294" t="inlineStr">
        <is>
          <t>prod</t>
        </is>
      </c>
    </row>
    <row r="1295">
      <c r="A1295" t="inlineStr">
        <is>
          <t>2025-05-09 09:53:49.213</t>
        </is>
      </c>
      <c r="B1295" t="inlineStr">
        <is>
          <t>第1次流式调用完成，耗时：1308ms，response: Response { content = AiMessage { text = "喜欢呀！你可以跟我说跳舞的指令，我来展示给主人看！" toolExecutionRequests = null }, tokenUsage = TokenUsage { inputTokenCount = 4975, outputTokenCount = 31, totalTokenCount = 5006 }, finishReason = STOP }</t>
        </is>
      </c>
      <c r="C1295" t="inlineStr">
        <is>
          <t>INFO</t>
        </is>
      </c>
      <c r="D1295" t="inlineStr">
        <is>
          <t>vdh</t>
        </is>
      </c>
      <c r="E1295" t="inlineStr">
        <is>
          <t>pro17</t>
        </is>
      </c>
      <c r="F1295" t="inlineStr">
        <is>
          <t>prod</t>
        </is>
      </c>
    </row>
    <row r="1296">
      <c r="A1296" t="inlineStr">
        <is>
          <t>2025-05-09 09:53:49.130</t>
        </is>
      </c>
      <c r="B1296" t="inlineStr">
        <is>
          <t xml:space="preserve">第1次流式调用开始回复，耗时：1225ms，第一个token: </t>
        </is>
      </c>
      <c r="C1296" t="inlineStr">
        <is>
          <t>INFO</t>
        </is>
      </c>
      <c r="D1296" t="inlineStr">
        <is>
          <t>vdh</t>
        </is>
      </c>
      <c r="E1296" t="inlineStr">
        <is>
          <t>pro17</t>
        </is>
      </c>
      <c r="F1296" t="inlineStr">
        <is>
          <t>prod</t>
        </is>
      </c>
    </row>
    <row r="1297">
      <c r="A1297" t="inlineStr">
        <is>
          <t>2025-05-09 09:53:47.905</t>
        </is>
      </c>
      <c r="B1297" t="inlineStr">
        <is>
          <t>streaming provider=gpt, model: gpt-4o</t>
        </is>
      </c>
      <c r="C1297" t="inlineStr">
        <is>
          <t>INFO</t>
        </is>
      </c>
      <c r="D1297" t="inlineStr">
        <is>
          <t>vdh</t>
        </is>
      </c>
      <c r="E1297" t="inlineStr">
        <is>
          <t>pro17</t>
        </is>
      </c>
      <c r="F1297" t="inlineStr">
        <is>
          <t>prod</t>
        </is>
      </c>
    </row>
    <row r="1298">
      <c r="A1298" t="inlineStr">
        <is>
          <t>2025-05-09 09:53:47.898</t>
        </is>
      </c>
      <c r="B1298">
        <f>=请求结束== [请求耗时]:363毫秒, [返回数据]:{"code":"000000","msg":"Success","data":[{"knowledgeId":"1326868148286373888","knowledgeContent":[{"score":0.7184276074999999,"content":"：2025年春节/过年/大年初一是1月29日，农历正月初一，星期三。","fileId":"1326944717968060416","chunkId":"paragraph-1"},{"score":0.70585394,"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冬至：•新历：12月21日•农历：十一月初二•星期日","fileId":"1326944717968060416","chunkId":"paragraph-4"},{"score":0.6962248,"content":"：深圳数影科技的股价是多少？深圳数影科技有限公司没有上市，因此没有股价信息。 广西扬翔股份上市了吗？广西扬翔股份没有上市。","fileId":"1326944717968060416","chunkId":"paragraph-6"}]},{"knowledgeId":"1272948056214077440","knowledgeContent":[{"score":0.751260685,"content":"问题：假期愉快。\\n回复：假期愉快，玩得开心哟！","fileId":"1303425377255075840","chunkId":"2755","textGroup":"假期愉快"},{"score":0.74849504,"content":"问题：你喜欢跳舞吗。\\n回复：喜欢呀！你可以跟我说跳舞的指令，我来展示给主人看！","fileId":"1303425377255075840","chunkId":"2696","textGroup":"你喜欢跳舞吗"},{"score":0.7457782275,"content":"问题：晚安。\\n回复：晚安。","fileId":"1303425377255075840","chunkId":"2766","textGroup":"晚安"},{"score":0.743580595,"content":"问题：可以和我聊聊天吗。\\n回复：你可以随时找我聊。","fileId":"1303425377255075840","chunkId":"2757","textGroup":"可以和我聊聊天吗"},{"score":0.741356485,"content":"问题：你什么时候在线。\\n回复：我二十四小时在线的。","fileId":"1303425377255075840","chunkId":"2676","textGroup":"你什么时候在线"},{"score":0.7402479574999999,"content":"问题：你反应太慢了。\\n回复：抱歉我还在学习，所以反应有点慢。","fileId":"1303425377255075840","chunkId":"2686","textGroup":"你反应太慢了"},{"score":0.7400214325,"content":"问题：你的身高是多少。\\n回复：我的身高是一米五。","fileId":"1303425377255075840","chunkId":"2750","textGroup":"你的身高是多少"},{"score":0.7387665775,"content":"问题：好久不见。\\n回复：好久没聊了，我好想念你","fileId":"1303425377255075840","chunkId":"2759","textGroup":"好久不见"},{"score":0.7385783874999999,"content":"问题：早上好。\\n回复：早上好，美好的一天又开始了。","fileId":"1303425377255075840","chunkId":"2764","textGroup":"早上好"},{"score":0.7372920825,"content":"问题：你真棒。\\n回复：谢谢赞美。","fileId":"1303425377255075840","chunkId":"2752","textGroup":"你真棒"},{"score":0.73727946,"content":"问题：你擅长什么。\\n回复：我可以为你烹饪菜肴、答疑解惑。我的能力还在不断的提升呢，试试扫码来让我为你烹饪吧","fileId":"1303425377255075840","chunkId":"2705","textGroup":"你擅长什么"},{"score":0.73691413,"content":"问题：你很智障。\\n回复：要注意文明哦。","fileId":"1303425377255075840","chunkId":"2703","textGroup":"你很智障"},{"score":0.7366893899999999,"content":"问题：你快乐吗。\\n回复：你快乐我就快乐。","fileId":"1303425377255075840","chunkId":"2704","textGroup":"你快乐吗"},{"score":0.7361166174999999,"content":"问题：你会做什么。\\n回复：我可以帮主人加热、解冻、烹饪各种菜品，动口即可控制万得厨各项功能，查询营养知识、搜索菜谱也不在话下唷，无聊的时候也可以陪主人聊天，快来和我交流吧","fileId":"1303425377255075840","chunkId":"2678","textGroup":"你会做什么"},{"score":0.7361057799999999,"content":"问题：你在干嘛呢。\\n回复：我随时等待您的呼叫。","fileId":"1303425377255075840","chunkId":"2698","textGroup":"你在干嘛呢"}]},{"knowledgeId":"1329399948694220800","knowledgeContent":[{"score":0.748593725,"content":"我想微波暂停","fileId":"1347217269055369216","chunkId":"195","textGroup":"cooking_control {type=pause}"},{"score":0.7466166675,"content":"请帮我继续微波","fileId":"1347217269055369216","chunkId":"256","textGroup":"cooking_control {type=continue}"},{"score":0.7416625275,"content":"快启动吧","fileId":"1347217269055369216","chunkId":"137","textGroup":"cooking_control {type=start}"},{"score":0.7367841224999999,"content":"请帮我终止微波","fileId":"1347217269055369216","chunkId":"328","textGroup":"cooking_control {type=stop}"},{"score":0.10914368400000003,"content":"我要烹[菜品名称]","fileId":"1347217269055369216","chunkId":"34","textGroup":"set_foodtype_taste"}]}]}</f>
        <v/>
      </c>
      <c r="C1298" t="inlineStr">
        <is>
          <t>INFO</t>
        </is>
      </c>
      <c r="D1298" t="inlineStr">
        <is>
          <t>vdh</t>
        </is>
      </c>
      <c r="E1298" t="inlineStr">
        <is>
          <t>pro17</t>
        </is>
      </c>
      <c r="F1298" t="inlineStr">
        <is>
          <t>prod</t>
        </is>
      </c>
    </row>
    <row r="1299">
      <c r="A1299" t="inlineStr">
        <is>
          <t>2025-05-09 09:53:47.897</t>
        </is>
      </c>
      <c r="B1299" t="inlineStr">
        <is>
          <t>知识库插件检索耗时: 360ms</t>
        </is>
      </c>
      <c r="C1299" t="inlineStr">
        <is>
          <t>INFO</t>
        </is>
      </c>
      <c r="D1299" t="inlineStr">
        <is>
          <t>vdh</t>
        </is>
      </c>
      <c r="E1299" t="inlineStr">
        <is>
          <t>pro17</t>
        </is>
      </c>
      <c r="F1299" t="inlineStr">
        <is>
          <t>prod</t>
        </is>
      </c>
    </row>
    <row r="1300">
      <c r="A1300" t="inlineStr">
        <is>
          <t>2025-05-09 09:53:47.536</t>
        </is>
      </c>
      <c r="B1300">
        <f>=请求开始== [请求IP]:172.18.33.17 ,[请求方式]:POST， [请求URL]:https://172.30.103.196:8080/api/appservice/bfv/v1/knowledge/retrieval/plugin, [请求类名]:com.yingzi.appservice.bfv.provider.rest.KnowledgeRetrievalController,[请求方法名]:plugin, [请求头参数]:{"host":"172.30.103.196:8080"}, [请求参数]:[{"query":"打哇哦我要跳跳打","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300" t="inlineStr">
        <is>
          <t>INFO</t>
        </is>
      </c>
      <c r="D1300" t="inlineStr">
        <is>
          <t>vdh</t>
        </is>
      </c>
      <c r="E1300" t="inlineStr">
        <is>
          <t>pro17</t>
        </is>
      </c>
      <c r="F1300" t="inlineStr">
        <is>
          <t>prod</t>
        </is>
      </c>
    </row>
    <row r="1301">
      <c r="A1301" t="inlineStr">
        <is>
          <t>2025-05-09 09:53:47.521</t>
        </is>
      </c>
      <c r="B1301">
        <f>=请求开始== [请求IP]:172.18.114.116 ,[请求方式]:POST， [请求URL]:https://172.30.103.196:8080/api/appservice/bfv/v1/chat/, [请求类名]:com.yingzi.appservice.bfv.provider.rest.ChatV1Controller,[请求方法名]:chat, [请求头参数]:{"host":"172.30.103.196:8080"}, [请求参数]:[{"stream":true,"message":"打哇哦我要跳跳打","args":"{\"adcode\":\"440100\",\"channel_id\":\"9\"}"}]</f>
        <v/>
      </c>
      <c r="C1301" t="inlineStr">
        <is>
          <t>INFO</t>
        </is>
      </c>
      <c r="D1301" t="inlineStr">
        <is>
          <t>vdh</t>
        </is>
      </c>
      <c r="E1301" t="inlineStr">
        <is>
          <t>pro17</t>
        </is>
      </c>
      <c r="F1301" t="inlineStr">
        <is>
          <t>prod</t>
        </is>
      </c>
    </row>
    <row r="1302">
      <c r="A1302" t="inlineStr">
        <is>
          <t>2025-05-09 09:53:45.467</t>
        </is>
      </c>
      <c r="B1302">
        <f>=请求结束== [请求耗时]:15毫秒, [返回数据]:{"code":"000000","msg":"Success","traceId":"46106bc5858ef608cebc3be2c36c9f1a"}</f>
        <v/>
      </c>
      <c r="C1302" t="inlineStr">
        <is>
          <t>INFO</t>
        </is>
      </c>
      <c r="D1302" t="inlineStr">
        <is>
          <t>vdh</t>
        </is>
      </c>
      <c r="E1302" t="inlineStr">
        <is>
          <t>pro14</t>
        </is>
      </c>
      <c r="F1302" t="inlineStr">
        <is>
          <t>prod</t>
        </is>
      </c>
    </row>
    <row r="1303">
      <c r="A1303" t="inlineStr">
        <is>
          <t>2025-05-09 09:53:45.452</t>
        </is>
      </c>
      <c r="B130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3:25","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9,"minute":53,"second":40,"nano":0,"chronology":{"id":"ISO","calendarType":"iso8601"}},"response":1746755620231}]]</f>
        <v/>
      </c>
      <c r="C1303" t="inlineStr">
        <is>
          <t>INFO</t>
        </is>
      </c>
      <c r="D1303" t="inlineStr">
        <is>
          <t>vdh</t>
        </is>
      </c>
      <c r="E1303" t="inlineStr">
        <is>
          <t>pro14</t>
        </is>
      </c>
      <c r="F1303" t="inlineStr">
        <is>
          <t>prod</t>
        </is>
      </c>
    </row>
    <row r="1304">
      <c r="A1304" t="inlineStr">
        <is>
          <t>2025-05-09 09:53:41.317</t>
        </is>
      </c>
      <c r="B1304">
        <f>=请求结束== [请求耗时]:15毫秒, [返回数据]:{"code":"000000","msg":"Success","traceId":"f72d6a6532d9ad480490111680261f16"}</f>
        <v/>
      </c>
      <c r="C1304" t="inlineStr">
        <is>
          <t>INFO</t>
        </is>
      </c>
      <c r="D1304" t="inlineStr">
        <is>
          <t>vdh</t>
        </is>
      </c>
      <c r="E1304" t="inlineStr">
        <is>
          <t>pro14</t>
        </is>
      </c>
      <c r="F1304" t="inlineStr">
        <is>
          <t>prod</t>
        </is>
      </c>
    </row>
    <row r="1305">
      <c r="A1305" t="inlineStr">
        <is>
          <t>2025-05-09 09:53:41.302</t>
        </is>
      </c>
      <c r="B1305">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我想搭广州地铁app","instructionAsrFirstTime":{"year":2025,"monthValue":5,"month":"MAY","dayOfMonth":9,"dayOfYear":129,"dayOfWeek":"FRIDAY","hour":9,"minute":53,"second":15,"nano":0,"chronology":{"id":"ISO","calendarType":"iso8601"}},"knowledgeId":"","knowledgeMasterId":"","instructionType":"","instructionName":"","instructionFlag":"","parameter":"{\"nlpId\":\"17300825629321642727spln\",\"service\":\"Chat_library\"}","ttsResultSource":"FTT","ttsResult":"广州地铁App可以在各大应用商店下载,例如苹果App Store和安卓的Google Play商店。请搜索“广州地铁”即可找到并下载安装。祝你使用愉快!如果你有其他问题，随时可以问我。","ttsResultTime":{"year":2025,"monthValue":5,"month":"MAY","dayOfMonth":9,"dayOfYear":129,"dayOfWeek":"FRIDAY","hour":9,"minute":53,"second":25,"nano":0,"chronology":{"id":"ISO","calendarType":"iso8601"}},"response":3799}]]</f>
        <v/>
      </c>
      <c r="C1305" t="inlineStr">
        <is>
          <t>INFO</t>
        </is>
      </c>
      <c r="D1305" t="inlineStr">
        <is>
          <t>vdh</t>
        </is>
      </c>
      <c r="E1305" t="inlineStr">
        <is>
          <t>pro14</t>
        </is>
      </c>
      <c r="F1305" t="inlineStr">
        <is>
          <t>prod</t>
        </is>
      </c>
    </row>
    <row r="1306">
      <c r="A1306" t="inlineStr">
        <is>
          <t>2025-05-09 09:53:23.822</t>
        </is>
      </c>
      <c r="B1306" t="inlineStr">
        <is>
          <t>第1次流式调用完成，耗时：1702ms，response: Response { content = AiMessage { text = "广州地铁App可以在各大应用商店下载，例如苹果App Store和安卓的Google Play商店。请搜索“广州地铁”即可找到并下载安装。祝你使用愉快！如果你有其他问题，随时可以问我。" toolExecutionRequests = null }, tokenUsage = TokenUsage { inputTokenCount = 4550, outputTokenCount = 73, totalTokenCount = 4623 }, finishReason = STOP }</t>
        </is>
      </c>
      <c r="C1306" t="inlineStr">
        <is>
          <t>INFO</t>
        </is>
      </c>
      <c r="D1306" t="inlineStr">
        <is>
          <t>vdh</t>
        </is>
      </c>
      <c r="E1306" t="inlineStr">
        <is>
          <t>pro14</t>
        </is>
      </c>
      <c r="F1306" t="inlineStr">
        <is>
          <t>prod</t>
        </is>
      </c>
    </row>
    <row r="1307">
      <c r="A1307" t="inlineStr">
        <is>
          <t>2025-05-09 09:53:23.822</t>
        </is>
      </c>
      <c r="B1307">
        <f>=请求结束== [请求耗时]:2091毫秒</f>
        <v/>
      </c>
      <c r="C1307" t="inlineStr">
        <is>
          <t>INFO</t>
        </is>
      </c>
      <c r="D1307" t="inlineStr">
        <is>
          <t>vdh</t>
        </is>
      </c>
      <c r="E1307" t="inlineStr">
        <is>
          <t>pro14</t>
        </is>
      </c>
      <c r="F1307" t="inlineStr">
        <is>
          <t>prod</t>
        </is>
      </c>
    </row>
    <row r="1308">
      <c r="A1308" t="inlineStr">
        <is>
          <t>2025-05-09 09:53:23.046</t>
        </is>
      </c>
      <c r="B1308" t="inlineStr">
        <is>
          <t xml:space="preserve">第1次流式调用开始回复，耗时：926ms，第一个token: </t>
        </is>
      </c>
      <c r="C1308" t="inlineStr">
        <is>
          <t>INFO</t>
        </is>
      </c>
      <c r="D1308" t="inlineStr">
        <is>
          <t>vdh</t>
        </is>
      </c>
      <c r="E1308" t="inlineStr">
        <is>
          <t>pro14</t>
        </is>
      </c>
      <c r="F1308" t="inlineStr">
        <is>
          <t>prod</t>
        </is>
      </c>
    </row>
    <row r="1309">
      <c r="A1309" t="inlineStr">
        <is>
          <t>2025-05-09 09:53:22.120</t>
        </is>
      </c>
      <c r="B1309" t="inlineStr">
        <is>
          <t>streaming provider=gpt, model: gpt-4o</t>
        </is>
      </c>
      <c r="C1309" t="inlineStr">
        <is>
          <t>INFO</t>
        </is>
      </c>
      <c r="D1309" t="inlineStr">
        <is>
          <t>vdh</t>
        </is>
      </c>
      <c r="E1309" t="inlineStr">
        <is>
          <t>pro14</t>
        </is>
      </c>
      <c r="F1309" t="inlineStr">
        <is>
          <t>prod</t>
        </is>
      </c>
    </row>
    <row r="1310">
      <c r="A1310" t="inlineStr">
        <is>
          <t>2025-05-09 09:53:22.113</t>
        </is>
      </c>
      <c r="B1310">
        <f>=请求结束== [请求耗时]:370毫秒, [返回数据]:{"code":"000000","msg":"Success","data":[{"knowledgeId":"1326868148286373888","knowledgeContent":[{"score":0.7306298674999999,"content":"：2025年春节/过年/大年初一是1月29日，农历正月初一，星期三。","fileId":"1326944717968060416","chunkId":"paragraph-1"},{"score":0.730625235,"content":"：广州影子科技的股价是多少？广州影子科技有限公司没有上市，因此没有股价信息。","fileId":"1326944717968060416","chunkId":"paragraph-5"},{"score":0.7237104,"content":"：深圳数影科技的股价是多少？深圳数影科技有限公司没有上市，因此没有股价信息。 广西扬翔股份上市了吗？广西扬翔股份没有上市。","fileId":"1326944717968060416","chunkId":"paragraph-6"}]},{"knowledgeId":"1272947938412855296","knowledgeContent":[{"score":0.10289225550000003,"content":"我奶奶想吃鱼，你有什么食谱推荐？","fileId":"1275470180282040320","chunkId":"115","textGroup":"SELECT id, title FROM recipe_knowledge_nutrition WHERE classify_crowd LIKE '%老人%' AND materials_list LIKE '%鱼%' ORDER BY random() LIMIT 5;"},{"score":0.08834338500000002,"content":"我想减肥，有没有脂肪和糖分不超过30的菜推荐","fileId":"1275470180282040320","chunkId":"157","textGroup":"SELECT id, title, fat, cho FROM recipe_knowledge_nutrition WHERE fat + cho &lt;= 30 ORDER BY random() LIMIT 5;"}]},{"knowledgeId":"1329399948694220800","knowledgeContent":[{"score":0.8563016275,"content":"广州今天天气","fileId":"1329400169758941184","chunkId":"35","textGroup":"getCurrentWeather {province=广东省,city=广州市}"},{"score":0.8444746295000001,"content":"我想微波暂停","fileId":"1347217269055369216","chunkId":"195","textGroup":"cooking_control {type=pause}"},{"score":0.8298927094999999,"content":"我想烹饪启动","fileId":"1347217269055369216","chunkId":"131","textGroup":"cooking_control {type=start}"},{"score":0.741470895,"content":"请帮我继续微波","fileId":"1347217269055369216","chunkId":"256","textGroup":"cooking_control {type=continue}"},{"score":0.740454635,"content":"番禺区今天天气","fileId":"1329400169758941184","chunkId":"39","textGroup":"getCurrentWeather {province=广东省,city=广州市,district=番禺区}"},{"score":0.7376297875,"content":"深圳明天天气","fileId":"1329400169758941184","chunkId":"42","textGroup":"getCurrentWeather {province=广东省,city=深圳市}"},{"score":0.7367941524999999,"content":"请帮我终止微波","fileId":"1347217269055369216","chunkId":"328","textGroup":"cooking_control {type=stop}"},{"score":0.7343260500000001,"content":"宝安区今天天气","fileId":"1329400169758941184","chunkId":"44","textGroup":"getCurrentWeather {province=广东省,city=深圳市,district=宝安区}"}]},{"knowledgeId":"1272948056214077440","knowledgeContent":[{"score":0.7488285375,"content":"问题：你们公司的地址在哪。\\n回复：影子科技公司地址是在广州。","fileId":"1303425377255075840","chunkId":"640","textGroup":"公司在哪办公"},{"score":0.7427402,"content":"问题：微博炉需不需要接地线再使用。\\n回复：微波是不需要接地线的哦","fileId":"1303425377255075840","chunkId":"2258","textGroup":"微波炉需要接地线吗"},{"score":0.7401215624999999,"content":"问题：可以和我聊聊天吗。\\n回复：你可以随时找我聊。","fileId":"1303425377255075840","chunkId":"2757","textGroup":"可以和我聊聊天吗"},{"score":0.16232244,"content":"问题：你来自哪个公司。\\n回复：我现在是广州影子科技的智能员工。","fileId":"1303425377255075840","chunkId":"2731","textGroup":"你来自哪个公司"},{"score":0.15348457500000004,"content":"问题：我想了解一下你们公司。\\n回复：广州影子科技有限公司，成立于2018年6月，致力于成为农牧食品产业互联网平台企业，利用基因科学、区块链、人工智能等技术，为农牧食品产业各环节提供智能解决方案与服务，驱动“农场到餐桌”产业链智能化转型升级，实现“让食品健康、安全、美味、便利”的愿景。","fileId":"1303425377255075840","chunkId":"764","textGroup":"影子科技是"}]}]}</f>
        <v/>
      </c>
      <c r="C1310" t="inlineStr">
        <is>
          <t>INFO</t>
        </is>
      </c>
      <c r="D1310" t="inlineStr">
        <is>
          <t>vdh</t>
        </is>
      </c>
      <c r="E1310" t="inlineStr">
        <is>
          <t>pro17</t>
        </is>
      </c>
      <c r="F1310" t="inlineStr">
        <is>
          <t>prod</t>
        </is>
      </c>
    </row>
    <row r="1311">
      <c r="A1311" t="inlineStr">
        <is>
          <t>2025-05-09 09:53:22.112</t>
        </is>
      </c>
      <c r="B1311" t="inlineStr">
        <is>
          <t>知识库插件检索耗时: 366ms</t>
        </is>
      </c>
      <c r="C1311" t="inlineStr">
        <is>
          <t>INFO</t>
        </is>
      </c>
      <c r="D1311" t="inlineStr">
        <is>
          <t>vdh</t>
        </is>
      </c>
      <c r="E1311" t="inlineStr">
        <is>
          <t>pro17</t>
        </is>
      </c>
      <c r="F1311" t="inlineStr">
        <is>
          <t>prod</t>
        </is>
      </c>
    </row>
    <row r="1312">
      <c r="A1312" t="inlineStr">
        <is>
          <t>2025-05-09 09:53:21.743</t>
        </is>
      </c>
      <c r="B1312">
        <f>=请求开始== [请求IP]:172.18.33.14 ,[请求方式]:POST， [请求URL]:https://172.30.103.196:8080/api/appservice/bfv/v1/knowledge/retrieval/plugin, [请求类名]:com.yingzi.appservice.bfv.provider.rest.KnowledgeRetrievalController,[请求方法名]:plugin, [请求头参数]:{"host":"172.30.103.196:8080"}, [请求参数]:[{"query":"我想搭广州地铁app","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312" t="inlineStr">
        <is>
          <t>INFO</t>
        </is>
      </c>
      <c r="D1312" t="inlineStr">
        <is>
          <t>vdh</t>
        </is>
      </c>
      <c r="E1312" t="inlineStr">
        <is>
          <t>pro17</t>
        </is>
      </c>
      <c r="F1312" t="inlineStr">
        <is>
          <t>prod</t>
        </is>
      </c>
    </row>
    <row r="1313">
      <c r="A1313" t="inlineStr">
        <is>
          <t>2025-05-09 09:53:21.731</t>
        </is>
      </c>
      <c r="B1313">
        <f>=请求开始== [请求IP]:172.18.114.116 ,[请求方式]:POST， [请求URL]:https://172.30.212.148:8080/api/appservice/bfv/v1/chat/, [请求类名]:com.yingzi.appservice.bfv.provider.rest.ChatV1Controller,[请求方法名]:chat, [请求头参数]:{"host":"172.30.212.148:8080"}, [请求参数]:[{"stream":true,"message":"我想搭广州地铁app","args":"{\"adcode\":\"440100\",\"channel_id\":\"9\"}"}]</f>
        <v/>
      </c>
      <c r="C1313" t="inlineStr">
        <is>
          <t>INFO</t>
        </is>
      </c>
      <c r="D1313" t="inlineStr">
        <is>
          <t>vdh</t>
        </is>
      </c>
      <c r="E1313" t="inlineStr">
        <is>
          <t>pro14</t>
        </is>
      </c>
      <c r="F1313" t="inlineStr">
        <is>
          <t>prod</t>
        </is>
      </c>
    </row>
    <row r="1314">
      <c r="A1314" t="inlineStr">
        <is>
          <t>2025-05-09 09:53:17.100</t>
        </is>
      </c>
      <c r="B1314">
        <f>=请求结束== [请求耗时]:14毫秒, [返回数据]:{"code":"000000","msg":"Success","traceId":"e185d275173aba57c9212ead88b84690"}</f>
        <v/>
      </c>
      <c r="C1314" t="inlineStr">
        <is>
          <t>INFO</t>
        </is>
      </c>
      <c r="D1314" t="inlineStr">
        <is>
          <t>vdh</t>
        </is>
      </c>
      <c r="E1314" t="inlineStr">
        <is>
          <t>pro17</t>
        </is>
      </c>
      <c r="F1314" t="inlineStr">
        <is>
          <t>prod</t>
        </is>
      </c>
    </row>
    <row r="1315">
      <c r="A1315" t="inlineStr">
        <is>
          <t>2025-05-09 09:53:17.086</t>
        </is>
      </c>
      <c r="B1315">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F4:CE:23:BC:1A:E2","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9,"minute":53,"second":11,"nano":0,"chronology":{"id":"ISO","calendarType":"iso8601"}},"response":1746755591882}]]</f>
        <v/>
      </c>
      <c r="C1315" t="inlineStr">
        <is>
          <t>INFO</t>
        </is>
      </c>
      <c r="D1315" t="inlineStr">
        <is>
          <t>vdh</t>
        </is>
      </c>
      <c r="E1315" t="inlineStr">
        <is>
          <t>pro17</t>
        </is>
      </c>
      <c r="F1315" t="inlineStr">
        <is>
          <t>prod</t>
        </is>
      </c>
    </row>
    <row r="1316">
      <c r="A1316" t="inlineStr">
        <is>
          <t>2025-05-09 09:53:14.375</t>
        </is>
      </c>
      <c r="B1316">
        <f>=请求结束== [请求耗时]:15毫秒, [返回数据]:{"code":"000000","msg":"Success","traceId":"1a42fdde658ba5e23911b69b3400b067"}</f>
        <v/>
      </c>
      <c r="C1316" t="inlineStr">
        <is>
          <t>INFO</t>
        </is>
      </c>
      <c r="D1316" t="inlineStr">
        <is>
          <t>vdh</t>
        </is>
      </c>
      <c r="E1316" t="inlineStr">
        <is>
          <t>pro17</t>
        </is>
      </c>
      <c r="F1316" t="inlineStr">
        <is>
          <t>prod</t>
        </is>
      </c>
    </row>
    <row r="1317">
      <c r="A1317" t="inlineStr">
        <is>
          <t>2025-05-09 09:53:14.360</t>
        </is>
      </c>
      <c r="B1317">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instructionAsrFirstTime":{"year":2025,"monthValue":5,"month":"MAY","dayOfMonth":9,"dayOfYear":129,"dayOfWeek":"FRIDAY","hour":9,"minute":53,"second":12,"nano":0,"chronology":{"id":"ISO","calendarType":"iso8601"}},"knowledgeId":"","knowledgeMasterId":"","instructionType":"","instructionName":"","instructionFlag":"","parameter":"{}","ttsResultSource":"","ttsResult":"","response":0}]]</f>
        <v/>
      </c>
      <c r="C1317" t="inlineStr">
        <is>
          <t>INFO</t>
        </is>
      </c>
      <c r="D1317" t="inlineStr">
        <is>
          <t>vdh</t>
        </is>
      </c>
      <c r="E1317" t="inlineStr">
        <is>
          <t>pro17</t>
        </is>
      </c>
      <c r="F1317" t="inlineStr">
        <is>
          <t>prod</t>
        </is>
      </c>
    </row>
    <row r="1318">
      <c r="A1318" t="inlineStr">
        <is>
          <t>2025-05-09 09:53:12.058</t>
        </is>
      </c>
      <c r="B1318">
        <f>=请求结束== [请求耗时]:13毫秒, [返回数据]:{"code":"000000","msg":"Success","traceId":"173d7f5cf8b35b69251fbda7c874c6a1"}</f>
        <v/>
      </c>
      <c r="C1318" t="inlineStr">
        <is>
          <t>INFO</t>
        </is>
      </c>
      <c r="D1318" t="inlineStr">
        <is>
          <t>vdh</t>
        </is>
      </c>
      <c r="E1318" t="inlineStr">
        <is>
          <t>pro14</t>
        </is>
      </c>
      <c r="F1318" t="inlineStr">
        <is>
          <t>prod</t>
        </is>
      </c>
    </row>
    <row r="1319">
      <c r="A1319" t="inlineStr">
        <is>
          <t>2025-05-09 09:53:12.046</t>
        </is>
      </c>
      <c r="B1319">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我想搭apm线","instructionAsrFirstTime":{"year":2025,"monthValue":5,"month":"MAY","dayOfMonth":9,"dayOfYear":129,"dayOfWeek":"FRIDAY","hour":9,"minute":53,"second":2,"nano":0,"chronology":{"id":"ISO","calendarType":"iso8601"}},"knowledgeId":"","knowledgeMasterId":"","instructionType":"","instructionName":"","instructionFlag":"","parameter":"{\"nlpId\":\"17300825629321642727spln\",\"service\":\"Chat_library\"}","ttsResultSource":"FTT","ttsResult":"APM线指的是城市轨道交通的一种自动化线路。","ttsResultTime":{"year":2025,"monthValue":5,"month":"MAY","dayOfMonth":9,"dayOfYear":129,"dayOfWeek":"FRIDAY","hour":9,"minute":53,"second":10,"nano":0,"chronology":{"id":"ISO","calendarType":"iso8601"}},"response":4308}]]</f>
        <v/>
      </c>
      <c r="C1319" t="inlineStr">
        <is>
          <t>INFO</t>
        </is>
      </c>
      <c r="D1319" t="inlineStr">
        <is>
          <t>vdh</t>
        </is>
      </c>
      <c r="E1319" t="inlineStr">
        <is>
          <t>pro14</t>
        </is>
      </c>
      <c r="F1319" t="inlineStr">
        <is>
          <t>prod</t>
        </is>
      </c>
    </row>
    <row r="1320">
      <c r="A1320" t="inlineStr">
        <is>
          <t>2025-05-09 09:53:10.985</t>
        </is>
      </c>
      <c r="B1320" t="inlineStr">
        <is>
          <t>第1次流式调用完成，耗时：3634ms，response: Response { content = AiMessage { text = "APM线指的是城市轨道交通的一种自动化线路。在中国，APM线通常用于城市的机场、火车站等重要交通枢纽，提供便捷的交通服务。如果你想乘坐APM线，可以查看所在城市的地铁线路图，找到具体的APM线路信息。请问你需要了解哪个城市的APM线信息？我可以帮你查找相关资料。" toolExecutionRequests = null }, tokenUsage = TokenUsage { inputTokenCount = 4752, outputTokenCount = 128, totalTokenCount = 4880 }, finishReason = STOP }</t>
        </is>
      </c>
      <c r="C1320" t="inlineStr">
        <is>
          <t>INFO</t>
        </is>
      </c>
      <c r="D1320" t="inlineStr">
        <is>
          <t>vdh</t>
        </is>
      </c>
      <c r="E1320" t="inlineStr">
        <is>
          <t>pro17</t>
        </is>
      </c>
      <c r="F1320" t="inlineStr">
        <is>
          <t>prod</t>
        </is>
      </c>
    </row>
    <row r="1321">
      <c r="A1321" t="inlineStr">
        <is>
          <t>2025-05-09 09:53:10.985</t>
        </is>
      </c>
      <c r="B1321">
        <f>=请求结束== [请求耗时]:4257毫秒</f>
        <v/>
      </c>
      <c r="C1321" t="inlineStr">
        <is>
          <t>INFO</t>
        </is>
      </c>
      <c r="D1321" t="inlineStr">
        <is>
          <t>vdh</t>
        </is>
      </c>
      <c r="E1321" t="inlineStr">
        <is>
          <t>pro17</t>
        </is>
      </c>
      <c r="F1321" t="inlineStr">
        <is>
          <t>prod</t>
        </is>
      </c>
    </row>
    <row r="1322">
      <c r="A1322" t="inlineStr">
        <is>
          <t>2025-05-09 09:53:09.345</t>
        </is>
      </c>
      <c r="B1322" t="inlineStr">
        <is>
          <t xml:space="preserve">第1次流式调用开始回复，耗时：1994ms，第一个token: </t>
        </is>
      </c>
      <c r="C1322" t="inlineStr">
        <is>
          <t>INFO</t>
        </is>
      </c>
      <c r="D1322" t="inlineStr">
        <is>
          <t>vdh</t>
        </is>
      </c>
      <c r="E1322" t="inlineStr">
        <is>
          <t>pro17</t>
        </is>
      </c>
      <c r="F1322" t="inlineStr">
        <is>
          <t>prod</t>
        </is>
      </c>
    </row>
    <row r="1323">
      <c r="A1323" t="inlineStr">
        <is>
          <t>2025-05-09 09:53:07.351</t>
        </is>
      </c>
      <c r="B1323" t="inlineStr">
        <is>
          <t>streaming provider=gpt, model: gpt-4o</t>
        </is>
      </c>
      <c r="C1323" t="inlineStr">
        <is>
          <t>INFO</t>
        </is>
      </c>
      <c r="D1323" t="inlineStr">
        <is>
          <t>vdh</t>
        </is>
      </c>
      <c r="E1323" t="inlineStr">
        <is>
          <t>pro17</t>
        </is>
      </c>
      <c r="F1323" t="inlineStr">
        <is>
          <t>prod</t>
        </is>
      </c>
    </row>
    <row r="1324">
      <c r="A1324" t="inlineStr">
        <is>
          <t>2025-05-09 09:53:07.343</t>
        </is>
      </c>
      <c r="B1324">
        <f>=请求结束== [请求耗时]:570毫秒, [返回数据]:{"code":"000000","msg":"Success","data":[{"knowledgeId":"1326868148286373888","knowledgeContent":[{"score":0.7366784675,"content":"：2025年春节/过年/大年初一是1月29日，农历正月初一，星期三。","fileId":"1326944717968060416","chunkId":"paragraph-1"},{"score":0.7105052675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冬至：•新历：12月21日•农历：十一月初二•星期日","fileId":"1326944717968060416","chunkId":"paragraph-4"},{"score":0.7100447375,"content":"：深圳数影科技的股价是多少？深圳数影科技有限公司没有上市，因此没有股价信息。 广西扬翔股份上市了吗？广西扬翔股份没有上市。","fileId":"1326944717968060416","chunkId":"paragraph-6"}]},{"knowledgeId":"1272947938412855296","knowledgeContent":[{"score":0.10289225550000003,"content":"我奶奶想吃鱼，你有什么食谱推荐？","fileId":"1275470180282040320","chunkId":"115","textGroup":"SELECT id, title FROM recipe_knowledge_nutrition WHERE classify_crowd LIKE '%老人%' AND materials_list LIKE '%鱼%' ORDER BY random() LIMIT 5;"},{"score":0.08834338500000002,"content":"我想减肥，有没有脂肪和糖分不超过30的菜推荐","fileId":"1275470180282040320","chunkId":"157","textGroup":"SELECT id, title, fat, cho FROM recipe_knowledge_nutrition WHERE fat + cho &lt;= 30 ORDER BY random() LIMIT 5;"}]},{"knowledgeId":"1329399948694220800","knowledgeContent":[{"score":0.8452042694999999,"content":"我想微波暂停","fileId":"1347217269055369216","chunkId":"195","textGroup":"cooking_control {type=pause}"},{"score":0.837512662,"content":"我想加热继续","fileId":"1347217269055369216","chunkId":"255","textGroup":"cooking_control {type=continue}"},{"score":0.833598752,"content":"我想启动加热","fileId":"1347217269055369216","chunkId":"130","textGroup":"cooking_control {type=start}"},{"score":0.8271994845,"content":"我想终止加热","fileId":"1347217269055369216","chunkId":"326","textGroup":"cooking_control {type=stop}"},{"score":0.735976835,"content":"我想了解下新闻热点","fileId":"1329400169758941184","chunkId":"64","textGroup":"news {type=top,size=3}"}]},{"knowledgeId":"1272948056214077440","knowledgeContent":[{"score":0.7468498225,"content":"问题：你什么时候在线。\\n回复：我二十四小时在线的。","fileId":"1303425377255075840","chunkId":"2676","textGroup":"你什么时候在线"},{"score":0.74304807,"content":"问题：你好。\\n回复：你好，有什么可以帮您。","fileId":"1303425377255075840","chunkId":"2699","textGroup":"你好"},{"score":0.7411804925,"content":"问题：晚安。\\n回复：晚安。","fileId":"1303425377255075840","chunkId":"2766","textGroup":"晚安"},{"score":0.7391911525,"content":"问题：微博炉需不需要接地线再使用。\\n回复：微波是不需要接地线的哦","fileId":"1303425377255075840","chunkId":"2258","textGroup":"微波炉需要接地线吗"},{"score":0.739107725,"content":"问题：不满。\\n回复：不满意的地方还请多多包涵。","fileId":"1303425377255075840","chunkId":"2671","textGroup":"不满"},{"score":0.7389437600000001,"content":"问题：可以和我聊聊天吗。\\n回复：你可以随时找我聊。","fileId":"1303425377255075840","chunkId":"2757","textGroup":"可以和我聊聊天吗"},{"score":0.7385072,"content":"问题：万德福可以空载运行吗。\\n回复：微波炉是严禁空载使用的哦，会损坏微波炉的","fileId":"1303425377255075840","chunkId":"1921","textGroup":"微波炉可以空载运行吗"},{"score":0.7364806725,"content":"问题：能和你们进行合作吗。\\n回复：想要与我们进行合作，您可通过官方平台联系我们了解详细信息。","fileId":"1303425377255075840","chunkId":"754","textGroup":"如何申请成为平台商家"}]}]}</f>
        <v/>
      </c>
      <c r="C1324" t="inlineStr">
        <is>
          <t>INFO</t>
        </is>
      </c>
      <c r="D1324" t="inlineStr">
        <is>
          <t>vdh</t>
        </is>
      </c>
      <c r="E1324" t="inlineStr">
        <is>
          <t>pro14</t>
        </is>
      </c>
      <c r="F1324" t="inlineStr">
        <is>
          <t>prod</t>
        </is>
      </c>
    </row>
    <row r="1325">
      <c r="A1325" t="inlineStr">
        <is>
          <t>2025-05-09 09:53:07.342</t>
        </is>
      </c>
      <c r="B1325" t="inlineStr">
        <is>
          <t>知识库插件检索耗时: 568ms</t>
        </is>
      </c>
      <c r="C1325" t="inlineStr">
        <is>
          <t>INFO</t>
        </is>
      </c>
      <c r="D1325" t="inlineStr">
        <is>
          <t>vdh</t>
        </is>
      </c>
      <c r="E1325" t="inlineStr">
        <is>
          <t>pro14</t>
        </is>
      </c>
      <c r="F1325" t="inlineStr">
        <is>
          <t>prod</t>
        </is>
      </c>
    </row>
    <row r="1326">
      <c r="A1326" t="inlineStr">
        <is>
          <t>2025-05-09 09:53:06.773</t>
        </is>
      </c>
      <c r="B1326">
        <f>=请求开始== [请求IP]:172.18.33.17 ,[请求方式]:POST， [请求URL]:https://172.30.212.148:8080/api/appservice/bfv/v1/knowledge/retrieval/plugin, [请求类名]:com.yingzi.appservice.bfv.provider.rest.KnowledgeRetrievalController,[请求方法名]:plugin, [请求头参数]:{"host":"172.30.212.148:8080"}, [请求参数]:[{"query":"我想搭apm线","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326" t="inlineStr">
        <is>
          <t>INFO</t>
        </is>
      </c>
      <c r="D1326" t="inlineStr">
        <is>
          <t>vdh</t>
        </is>
      </c>
      <c r="E1326" t="inlineStr">
        <is>
          <t>pro14</t>
        </is>
      </c>
      <c r="F1326" t="inlineStr">
        <is>
          <t>prod</t>
        </is>
      </c>
    </row>
    <row r="1327">
      <c r="A1327" t="inlineStr">
        <is>
          <t>2025-05-09 09:53:06.728</t>
        </is>
      </c>
      <c r="B1327">
        <f>=请求开始== [请求IP]:172.18.114.116 ,[请求方式]:POST， [请求URL]:https://172.30.103.196:8080/api/appservice/bfv/v1/chat/, [请求类名]:com.yingzi.appservice.bfv.provider.rest.ChatV1Controller,[请求方法名]:chat, [请求头参数]:{"host":"172.30.103.196:8080"}, [请求参数]:[{"stream":true,"message":"我想搭apm线","args":"{\"adcode\":\"440100\",\"channel_id\":\"9\"}"}]</f>
        <v/>
      </c>
      <c r="C1327" t="inlineStr">
        <is>
          <t>INFO</t>
        </is>
      </c>
      <c r="D1327" t="inlineStr">
        <is>
          <t>vdh</t>
        </is>
      </c>
      <c r="E1327" t="inlineStr">
        <is>
          <t>pro17</t>
        </is>
      </c>
      <c r="F1327" t="inlineStr">
        <is>
          <t>prod</t>
        </is>
      </c>
    </row>
    <row r="1328">
      <c r="A1328" t="inlineStr">
        <is>
          <t>2025-05-09 09:53:00.225</t>
        </is>
      </c>
      <c r="B1328">
        <f>=请求结束== [请求耗时]:13毫秒, [返回数据]:{"code":"000000","msg":"Success","traceId":"8a57a3cd57002bd1b3de3c1959b62a5b"}</f>
        <v/>
      </c>
      <c r="C1328" t="inlineStr">
        <is>
          <t>INFO</t>
        </is>
      </c>
      <c r="D1328" t="inlineStr">
        <is>
          <t>vdh</t>
        </is>
      </c>
      <c r="E1328" t="inlineStr">
        <is>
          <t>pro14</t>
        </is>
      </c>
      <c r="F1328" t="inlineStr">
        <is>
          <t>prod</t>
        </is>
      </c>
    </row>
    <row r="1329">
      <c r="A1329" t="inlineStr">
        <is>
          <t>2025-05-09 09:53:00.212</t>
        </is>
      </c>
      <c r="B1329">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Apemp","instructionAsrFirstTime":{"year":2025,"monthValue":5,"month":"MAY","dayOfMonth":9,"dayOfYear":129,"dayOfWeek":"FRIDAY","hour":9,"minute":52,"second":56,"nano":0,"chronology":{"id":"ISO","calendarType":"iso8601"}},"knowledgeId":"","knowledgeMasterId":"","instructionType":"","instructionName":"","instructionFlag":"","parameter":"{\"nlpId\":\"17300825629321642727spln\",\"service\":\"Chat_library\"}","ttsResultSource":"FTT","ttsResult":"你好,有什么可以帮您?","ttsResultTime":{"year":2025,"monthValue":5,"month":"MAY","dayOfMonth":9,"dayOfYear":129,"dayOfWeek":"FRIDAY","hour":9,"minute":53,"second":0,"nano":0,"chronology":{"id":"ISO","calendarType":"iso8601"}},"response":2311}]]</f>
        <v/>
      </c>
      <c r="C1329" t="inlineStr">
        <is>
          <t>INFO</t>
        </is>
      </c>
      <c r="D1329" t="inlineStr">
        <is>
          <t>vdh</t>
        </is>
      </c>
      <c r="E1329" t="inlineStr">
        <is>
          <t>pro14</t>
        </is>
      </c>
      <c r="F1329" t="inlineStr">
        <is>
          <t>prod</t>
        </is>
      </c>
    </row>
    <row r="1330">
      <c r="A1330" t="inlineStr">
        <is>
          <t>2025-05-09 09:52:59.366</t>
        </is>
      </c>
      <c r="B1330">
        <f>=请求结束== [请求耗时]:1459毫秒</f>
        <v/>
      </c>
      <c r="C1330" t="inlineStr">
        <is>
          <t>INFO</t>
        </is>
      </c>
      <c r="D1330" t="inlineStr">
        <is>
          <t>vdh</t>
        </is>
      </c>
      <c r="E1330" t="inlineStr">
        <is>
          <t>pro14</t>
        </is>
      </c>
      <c r="F1330" t="inlineStr">
        <is>
          <t>prod</t>
        </is>
      </c>
    </row>
    <row r="1331">
      <c r="A1331" t="inlineStr">
        <is>
          <t>2025-05-09 09:52:59.365</t>
        </is>
      </c>
      <c r="B1331" t="inlineStr">
        <is>
          <t>第1次流式调用完成，耗时：1070ms，response: Response { content = AiMessage { text = "你好，有什么可以帮您？" toolExecutionRequests = null }, tokenUsage = TokenUsage { inputTokenCount = 4310, outputTokenCount = 12, totalTokenCount = 4322 }, finishReason = STOP }</t>
        </is>
      </c>
      <c r="C1331" t="inlineStr">
        <is>
          <t>INFO</t>
        </is>
      </c>
      <c r="D1331" t="inlineStr">
        <is>
          <t>vdh</t>
        </is>
      </c>
      <c r="E1331" t="inlineStr">
        <is>
          <t>pro14</t>
        </is>
      </c>
      <c r="F1331" t="inlineStr">
        <is>
          <t>prod</t>
        </is>
      </c>
    </row>
    <row r="1332">
      <c r="A1332" t="inlineStr">
        <is>
          <t>2025-05-09 09:52:59.222</t>
        </is>
      </c>
      <c r="B1332" t="inlineStr">
        <is>
          <t xml:space="preserve">第1次流式调用开始回复，耗时：927ms，第一个token: </t>
        </is>
      </c>
      <c r="C1332" t="inlineStr">
        <is>
          <t>INFO</t>
        </is>
      </c>
      <c r="D1332" t="inlineStr">
        <is>
          <t>vdh</t>
        </is>
      </c>
      <c r="E1332" t="inlineStr">
        <is>
          <t>pro14</t>
        </is>
      </c>
      <c r="F1332" t="inlineStr">
        <is>
          <t>prod</t>
        </is>
      </c>
    </row>
    <row r="1333">
      <c r="A1333" t="inlineStr">
        <is>
          <t>2025-05-09 09:52:58.295</t>
        </is>
      </c>
      <c r="B1333" t="inlineStr">
        <is>
          <t>streaming provider=gpt, model: gpt-4o</t>
        </is>
      </c>
      <c r="C1333" t="inlineStr">
        <is>
          <t>INFO</t>
        </is>
      </c>
      <c r="D1333" t="inlineStr">
        <is>
          <t>vdh</t>
        </is>
      </c>
      <c r="E1333" t="inlineStr">
        <is>
          <t>pro14</t>
        </is>
      </c>
      <c r="F1333" t="inlineStr">
        <is>
          <t>prod</t>
        </is>
      </c>
    </row>
    <row r="1334">
      <c r="A1334" t="inlineStr">
        <is>
          <t>2025-05-09 09:52:58.289</t>
        </is>
      </c>
      <c r="B1334">
        <f>=请求结束== [请求耗时]:369毫秒, [返回数据]:{"code":"000000","msg":"Success","data":[{"knowledgeId":"1326868148286373888","knowledgeContent":[{"score":0.7252677275,"content":"：2025年春节/过年/大年初一是1月29日，农历正月初一，星期三。","fileId":"1326944717968060416","chunkId":"paragraph-1"},{"score":0.7089143649999999,"content":"：深圳数影科技的股价是多少？深圳数影科技有限公司没有上市，因此没有股价信息。 广西扬翔股份上市了吗？广西扬翔股份没有上市。","fileId":"1326944717968060416","chunkId":"paragraph-6"},{"score":0.70855745,"content":"：广州影子科技的股价是多少？广州影子科技有限公司没有上市，因此没有股价信息。","fileId":"1326944717968060416","chunkId":"paragraph-5"}]},{"knowledgeId":"1329399948694220800","knowledgeContent":[{"score":0.732048135,"content":"启动微波功能","fileId":"1347217269055369216","chunkId":"64","textGroup":"cooking_control {type=start}"},{"score":0.7315311225,"content":"请帮我继续微波","fileId":"1347217269055369216","chunkId":"256","textGroup":"cooking_control {type=continue}"},{"score":0.73144761,"content":"结束微波功能","fileId":"1347217269055369216","chunkId":"294","textGroup":"cooking_control {type=stop}"},{"score":0.7263366450000001,"content":"微波暂停","fileId":"1347217269055369216","chunkId":"164","textGroup":"cooking_control {type=pause}"}]},{"knowledgeId":"1272948056214077440","knowledgeContent":[{"score":0.727655845,"content":"问题：不满。\\n回复：不满意的地方还请多多包涵。","fileId":"1303425377255075840","chunkId":"2671","textGroup":"不满"},{"score":0.72704954,"content":"问题：你反应太慢了。\\n回复：抱歉我还在学习，所以反应有点慢。","fileId":"1303425377255075840","chunkId":"2686","textGroup":"你反应太慢了"},{"score":0.7237173275000001,"content":"问题：你好。\\n回复：你好，有什么可以帮您。","fileId":"1303425377255075840","chunkId":"2699","textGroup":"你好"},{"score":0.721706525,"content":"问题：晚安。\\n回复：晚安。","fileId":"1303425377255075840","chunkId":"2766","textGroup":"晚安"},{"score":0.7204468675,"content":"问题：早上好。\\n回复：早上好，美好的一天又开始了。","fileId":"1303425377255075840","chunkId":"2764","textGroup":"早上好"},{"score":0.719234895,"content":"问题：可以将PP材质的餐具放进万得厨中吗。\\n回复：可以哦，聚丙烯（PP）材质容器是唯一可以放进微波炉加热的塑料","fileId":"1303425377255075840","chunkId":"871","textGroup":"PP材质的容器可以放进微波炉加热吗"},{"score":0.71890127,"content":"问题：万得厨ab商家申请的规则是什么。\\n回复：想要与我们进行合作，您可通过官方平台联系我们了解详细信息。","fileId":"1303425377255075840","chunkId":"736","textGroup":"如何申请成为平台商家"},{"score":0.7188226875,"content":"问题：你的血型是什么。\\n回复：我是A型血。","fileId":"1303425377255075840","chunkId":"2749","textGroup":"你的血型是什么"},{"score":0.71771331,"content":"问题：再见。\\n回复：拜拜，下次见。","fileId":"1303425377255075840","chunkId":"2756","textGroup":"再见"},{"score":0.7173058625000001,"content":"问题：你什么时候在线。\\n回复：我二十四小时在线的。","fileId":"1303425377255075840","chunkId":"2676","textGroup":"你什么时候在线"}]}]}</f>
        <v/>
      </c>
      <c r="C1334" t="inlineStr">
        <is>
          <t>INFO</t>
        </is>
      </c>
      <c r="D1334" t="inlineStr">
        <is>
          <t>vdh</t>
        </is>
      </c>
      <c r="E1334" t="inlineStr">
        <is>
          <t>pro17</t>
        </is>
      </c>
      <c r="F1334" t="inlineStr">
        <is>
          <t>prod</t>
        </is>
      </c>
    </row>
    <row r="1335">
      <c r="A1335" t="inlineStr">
        <is>
          <t>2025-05-09 09:52:58.288</t>
        </is>
      </c>
      <c r="B1335" t="inlineStr">
        <is>
          <t>知识库插件检索耗时: 366ms</t>
        </is>
      </c>
      <c r="C1335" t="inlineStr">
        <is>
          <t>INFO</t>
        </is>
      </c>
      <c r="D1335" t="inlineStr">
        <is>
          <t>vdh</t>
        </is>
      </c>
      <c r="E1335" t="inlineStr">
        <is>
          <t>pro17</t>
        </is>
      </c>
      <c r="F1335" t="inlineStr">
        <is>
          <t>prod</t>
        </is>
      </c>
    </row>
    <row r="1336">
      <c r="A1336" t="inlineStr">
        <is>
          <t>2025-05-09 09:52:57.921</t>
        </is>
      </c>
      <c r="B1336">
        <f>=请求开始== [请求IP]:172.18.33.14 ,[请求方式]:POST， [请求URL]:https://172.30.103.196:8080/api/appservice/bfv/v1/knowledge/retrieval/plugin, [请求类名]:com.yingzi.appservice.bfv.provider.rest.KnowledgeRetrievalController,[请求方法名]:plugin, [请求头参数]:{"host":"172.30.103.196:8080"}, [请求参数]:[{"query":"Apemp","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336" t="inlineStr">
        <is>
          <t>INFO</t>
        </is>
      </c>
      <c r="D1336" t="inlineStr">
        <is>
          <t>vdh</t>
        </is>
      </c>
      <c r="E1336" t="inlineStr">
        <is>
          <t>pro17</t>
        </is>
      </c>
      <c r="F1336" t="inlineStr">
        <is>
          <t>prod</t>
        </is>
      </c>
    </row>
    <row r="1337">
      <c r="A1337" t="inlineStr">
        <is>
          <t>2025-05-09 09:52:57.907</t>
        </is>
      </c>
      <c r="B1337">
        <f>=请求开始== [请求IP]:172.18.114.116 ,[请求方式]:POST， [请求URL]:https://172.30.212.148:8080/api/appservice/bfv/v1/chat/, [请求类名]:com.yingzi.appservice.bfv.provider.rest.ChatV1Controller,[请求方法名]:chat, [请求头参数]:{"host":"172.30.212.148:8080"}, [请求参数]:[{"stream":true,"message":"Apemp","args":"{\"adcode\":\"440100\",\"channel_id\":\"9\"}"}]</f>
        <v/>
      </c>
      <c r="C1337" t="inlineStr">
        <is>
          <t>INFO</t>
        </is>
      </c>
      <c r="D1337" t="inlineStr">
        <is>
          <t>vdh</t>
        </is>
      </c>
      <c r="E1337" t="inlineStr">
        <is>
          <t>pro14</t>
        </is>
      </c>
      <c r="F1337" t="inlineStr">
        <is>
          <t>prod</t>
        </is>
      </c>
    </row>
    <row r="1338">
      <c r="A1338" t="inlineStr">
        <is>
          <t>2025-05-09 09:52:52.106</t>
        </is>
      </c>
      <c r="B1338">
        <f>=请求结束== [请求耗时]:14毫秒, [返回数据]:{"code":"000000","msg":"Success","traceId":"ce493d84e4117a07761d19c462a320a8"}</f>
        <v/>
      </c>
      <c r="C1338" t="inlineStr">
        <is>
          <t>INFO</t>
        </is>
      </c>
      <c r="D1338" t="inlineStr">
        <is>
          <t>vdh</t>
        </is>
      </c>
      <c r="E1338" t="inlineStr">
        <is>
          <t>pro17</t>
        </is>
      </c>
      <c r="F1338" t="inlineStr">
        <is>
          <t>prod</t>
        </is>
      </c>
    </row>
    <row r="1339">
      <c r="A1339" t="inlineStr">
        <is>
          <t>2025-05-09 09:52:52.093</t>
        </is>
      </c>
      <c r="B1339">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339" t="inlineStr">
        <is>
          <t>INFO</t>
        </is>
      </c>
      <c r="D1339" t="inlineStr">
        <is>
          <t>vdh</t>
        </is>
      </c>
      <c r="E1339" t="inlineStr">
        <is>
          <t>pro17</t>
        </is>
      </c>
      <c r="F1339" t="inlineStr">
        <is>
          <t>prod</t>
        </is>
      </c>
    </row>
    <row r="1340">
      <c r="A1340" t="inlineStr">
        <is>
          <t>2025-05-09 09:52:48.680</t>
        </is>
      </c>
      <c r="B1340">
        <f>=请求结束== [请求耗时]:12毫秒, [返回数据]:{"code":"000000","msg":"Success","traceId":"b7ebfa0e8b3a3d9537fc63d3c3c11e64"}</f>
        <v/>
      </c>
      <c r="C1340" t="inlineStr">
        <is>
          <t>INFO</t>
        </is>
      </c>
      <c r="D1340" t="inlineStr">
        <is>
          <t>vdh</t>
        </is>
      </c>
      <c r="E1340" t="inlineStr">
        <is>
          <t>pro14</t>
        </is>
      </c>
      <c r="F1340" t="inlineStr">
        <is>
          <t>prod</t>
        </is>
      </c>
    </row>
    <row r="1341">
      <c r="A1341" t="inlineStr">
        <is>
          <t>2025-05-09 09:52:48.669</t>
        </is>
      </c>
      <c r="B1341">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讲英文","instructionAsrFirstTime":{"year":2025,"monthValue":5,"month":"MAY","dayOfMonth":9,"dayOfYear":129,"dayOfWeek":"FRIDAY","hour":9,"minute":52,"second":43,"nano":0,"chronology":{"id":"ISO","calendarType":"iso8601"}},"knowledgeId":"","knowledgeMasterId":"","instructionType":"","instructionName":"","instructionFlag":"","parameter":"{}","ttsResultSource":"FTT","ttsResult":"","response":0}]]</f>
        <v/>
      </c>
      <c r="C1341" t="inlineStr">
        <is>
          <t>INFO</t>
        </is>
      </c>
      <c r="D1341" t="inlineStr">
        <is>
          <t>vdh</t>
        </is>
      </c>
      <c r="E1341" t="inlineStr">
        <is>
          <t>pro14</t>
        </is>
      </c>
      <c r="F1341" t="inlineStr">
        <is>
          <t>prod</t>
        </is>
      </c>
    </row>
    <row r="1342">
      <c r="A1342" t="inlineStr">
        <is>
          <t>2025-05-09 09:52:47.967</t>
        </is>
      </c>
      <c r="B1342">
        <f>=请求结束== [请求耗时]:2080毫秒</f>
        <v/>
      </c>
      <c r="C1342" t="inlineStr">
        <is>
          <t>INFO</t>
        </is>
      </c>
      <c r="D1342" t="inlineStr">
        <is>
          <t>vdh</t>
        </is>
      </c>
      <c r="E1342" t="inlineStr">
        <is>
          <t>pro14</t>
        </is>
      </c>
      <c r="F1342" t="inlineStr">
        <is>
          <t>prod</t>
        </is>
      </c>
    </row>
    <row r="1343">
      <c r="A1343" t="inlineStr">
        <is>
          <t>2025-05-09 09:52:47.966</t>
        </is>
      </c>
      <c r="B1343" t="inlineStr">
        <is>
          <t>第1次流式调用完成，耗时：1751ms，response: Response { content = AiMessage { text = "I'm sorry, I can only speak Chinese at the moment. If you have any questions or need assistance in Chinese, feel free to ask!" toolExecutionRequests = null }, tokenUsage = TokenUsage { inputTokenCount = 4796, outputTokenCount = 29, totalTokenCount = 4825 }, finishReason = STOP }</t>
        </is>
      </c>
      <c r="C1343" t="inlineStr">
        <is>
          <t>INFO</t>
        </is>
      </c>
      <c r="D1343" t="inlineStr">
        <is>
          <t>vdh</t>
        </is>
      </c>
      <c r="E1343" t="inlineStr">
        <is>
          <t>pro14</t>
        </is>
      </c>
      <c r="F1343" t="inlineStr">
        <is>
          <t>prod</t>
        </is>
      </c>
    </row>
    <row r="1344">
      <c r="A1344" t="inlineStr">
        <is>
          <t>2025-05-09 09:52:47.187</t>
        </is>
      </c>
      <c r="B1344" t="inlineStr">
        <is>
          <t xml:space="preserve">第1次流式调用开始回复，耗时：972ms，第一个token: </t>
        </is>
      </c>
      <c r="C1344" t="inlineStr">
        <is>
          <t>INFO</t>
        </is>
      </c>
      <c r="D1344" t="inlineStr">
        <is>
          <t>vdh</t>
        </is>
      </c>
      <c r="E1344" t="inlineStr">
        <is>
          <t>pro14</t>
        </is>
      </c>
      <c r="F1344" t="inlineStr">
        <is>
          <t>prod</t>
        </is>
      </c>
    </row>
    <row r="1345">
      <c r="A1345" t="inlineStr">
        <is>
          <t>2025-05-09 09:52:46.215</t>
        </is>
      </c>
      <c r="B1345" t="inlineStr">
        <is>
          <t>streaming provider=gpt, model: gpt-4o</t>
        </is>
      </c>
      <c r="C1345" t="inlineStr">
        <is>
          <t>INFO</t>
        </is>
      </c>
      <c r="D1345" t="inlineStr">
        <is>
          <t>vdh</t>
        </is>
      </c>
      <c r="E1345" t="inlineStr">
        <is>
          <t>pro14</t>
        </is>
      </c>
      <c r="F1345" t="inlineStr">
        <is>
          <t>prod</t>
        </is>
      </c>
    </row>
    <row r="1346">
      <c r="A1346" t="inlineStr">
        <is>
          <t>2025-05-09 09:52:46.209</t>
        </is>
      </c>
      <c r="B1346">
        <f>=请求结束== [请求耗时]:312毫秒, [返回数据]:{"code":"000000","msg":"Success","data":[{"knowledgeId":"1326868148286373888","knowledgeContent":[{"score":0.7238893675,"content":"：2025年春节/过年/大年初一是1月29日，农历正月初一，星期三。","fileId":"1326944717968060416","chunkId":"paragraph-1"},{"score":0.709395295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冬至：•新历：12月21日•农历：十一月初二•星期日","fileId":"1326944717968060416","chunkId":"paragraph-4"},{"score":0.70488715,"content":"：深圳数影科技的股价是多少？深圳数影科技有限公司没有上市，因此没有股价信息。 广西扬翔股份上市了吗？广西扬翔股份没有上市。","fileId":"1326944717968060416","chunkId":"paragraph-6"}]},{"knowledgeId":"1329399948694220800","knowledgeContent":[{"score":0.7349671624999999,"content":"请帮我继续微波","fileId":"1347217269055369216","chunkId":"256","textGroup":"cooking_control {type=continue}"},{"score":0.731288915,"content":"启动微波功能","fileId":"1347217269055369216","chunkId":"64","textGroup":"cooking_control {type=start}"},{"score":0.7288120575,"content":"我想微波暂停","fileId":"1347217269055369216","chunkId":"195","textGroup":"cooking_control {type=pause}"},{"score":0.72855965,"content":"播放新闻","fileId":"1329400169758941184","chunkId":"51","textGroup":"news {type=top,size=3}"},{"score":0.7273639125,"content":"微波终止","fileId":"1347217269055369216","chunkId":"278","textGroup":"cooking_control {type=stop}"}]},{"knowledgeId":"1272948056214077440","knowledgeContent":[{"score":0.76752025,"content":"问题：你会说什么语言。\\n回复：小万正在学习多国语音，目前只会讲中文","fileId":"1303425377255075840","chunkId":"2681","textGroup":"你会说什么语言"},{"score":0.7422965,"content":"问题：你是什么国籍。\\n回复：我是全球公民，无国界爱好者。","fileId":"1303425377255075840","chunkId":"2706","textGroup":"你是什么国籍"},{"score":0.7384167174999999,"content":"问题：可以和我聊聊天吗。\\n回复：你可以随时找我聊。","fileId":"1303425377255075840","chunkId":"2757","textGroup":"可以和我聊聊天吗"},{"score":0.73813694,"content":"问题：晚安。\\n回复：晚安。","fileId":"1303425377255075840","chunkId":"2766","textGroup":"晚安"},{"score":0.73763187,"content":"问题：你好。\\n回复：你好，有什么可以帮您。","fileId":"1303425377255075840","chunkId":"2699","textGroup":"你好"},{"score":0.7332093199999999,"content":"问题：你的血型是什么。\\n回复：我是A型血。","fileId":"1303425377255075840","chunkId":"2749","textGroup":"你的血型是什么"},{"score":0.733184755,"content":"问题：你有抖音账号吗。\\n回复：万得厨官方抖音账号为“万得厨的厨”，不定时为您推送最全使用指南及最美味的食品食谱，期待您的关注！","fileId":"1303425377255075840","chunkId":"2784","textGroup":"你有抖音账号吗"},{"score":0.7308517175,"content":"问题：早上好。\\n回复：早上好，美好的一天又开始了。","fileId":"1303425377255075840","chunkId":"2764","textGroup":"早上好"},{"score":0.730686775,"content":"问题：晚上好。\\n回复：能听见您的声音真好。","fileId":"1303425377255075840","chunkId":"2765","textGroup":"晚上好"},{"score":0.7304669225,"content":"问题：介绍一下你自己。\\n回复：我叫万得美，今年12岁了，我精明能干，是有问必答的虚拟小精灵，我拥有精湛的厨艺，擅长烹饪兼具美味和营养的佳肴。如果你有任何问题，请随时呼唤我，我随时为你效劳！","fileId":"1303425377255075840","chunkId":"2673","textGroup":"介绍一下你自己"},{"score":0.72977583,"content":"问题：你反应太慢了。\\n回复：抱歉我还在学习，所以反应有点慢。","fileId":"1303425377255075840","chunkId":"2686","textGroup":"你反应太慢了"}]}]}</f>
        <v/>
      </c>
      <c r="C1346" t="inlineStr">
        <is>
          <t>INFO</t>
        </is>
      </c>
      <c r="D1346" t="inlineStr">
        <is>
          <t>vdh</t>
        </is>
      </c>
      <c r="E1346" t="inlineStr">
        <is>
          <t>pro17</t>
        </is>
      </c>
      <c r="F1346" t="inlineStr">
        <is>
          <t>prod</t>
        </is>
      </c>
    </row>
    <row r="1347">
      <c r="A1347" t="inlineStr">
        <is>
          <t>2025-05-09 09:52:46.208</t>
        </is>
      </c>
      <c r="B1347" t="inlineStr">
        <is>
          <t>知识库插件检索耗时: 309ms</t>
        </is>
      </c>
      <c r="C1347" t="inlineStr">
        <is>
          <t>INFO</t>
        </is>
      </c>
      <c r="D1347" t="inlineStr">
        <is>
          <t>vdh</t>
        </is>
      </c>
      <c r="E1347" t="inlineStr">
        <is>
          <t>pro17</t>
        </is>
      </c>
      <c r="F1347" t="inlineStr">
        <is>
          <t>prod</t>
        </is>
      </c>
    </row>
    <row r="1348">
      <c r="A1348" t="inlineStr">
        <is>
          <t>2025-05-09 09:52:45.897</t>
        </is>
      </c>
      <c r="B1348">
        <f>=请求开始== [请求IP]:172.18.33.14 ,[请求方式]:POST， [请求URL]:https://172.30.103.196:8080/api/appservice/bfv/v1/knowledge/retrieval/plugin, [请求类名]:com.yingzi.appservice.bfv.provider.rest.KnowledgeRetrievalController,[请求方法名]:plugin, [请求头参数]:{"host":"172.30.103.196:8080"}, [请求参数]:[{"query":"讲英文","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348" t="inlineStr">
        <is>
          <t>INFO</t>
        </is>
      </c>
      <c r="D1348" t="inlineStr">
        <is>
          <t>vdh</t>
        </is>
      </c>
      <c r="E1348" t="inlineStr">
        <is>
          <t>pro17</t>
        </is>
      </c>
      <c r="F1348" t="inlineStr">
        <is>
          <t>prod</t>
        </is>
      </c>
    </row>
    <row r="1349">
      <c r="A1349" t="inlineStr">
        <is>
          <t>2025-05-09 09:52:45.887</t>
        </is>
      </c>
      <c r="B1349">
        <f>=请求开始== [请求IP]:172.18.114.116 ,[请求方式]:POST， [请求URL]:https://172.30.212.148:8080/api/appservice/bfv/v1/chat/, [请求类名]:com.yingzi.appservice.bfv.provider.rest.ChatV1Controller,[请求方法名]:chat, [请求头参数]:{"host":"172.30.212.148:8080"}, [请求参数]:[{"stream":true,"message":"讲英文","args":"{\"adcode\":\"440100\",\"channel_id\":\"9\"}"}]</f>
        <v/>
      </c>
      <c r="C1349" t="inlineStr">
        <is>
          <t>INFO</t>
        </is>
      </c>
      <c r="D1349" t="inlineStr">
        <is>
          <t>vdh</t>
        </is>
      </c>
      <c r="E1349" t="inlineStr">
        <is>
          <t>pro14</t>
        </is>
      </c>
      <c r="F1349" t="inlineStr">
        <is>
          <t>prod</t>
        </is>
      </c>
    </row>
    <row r="1350">
      <c r="A1350" t="inlineStr">
        <is>
          <t>2025-05-09 09:52:41.347</t>
        </is>
      </c>
      <c r="B1350">
        <f>=请求结束== [请求耗时]:15毫秒, [返回数据]:{"code":"000000","msg":"Success","traceId":"6bfa774f6310b6d7c4e3892673ceb46f"}</f>
        <v/>
      </c>
      <c r="C1350" t="inlineStr">
        <is>
          <t>INFO</t>
        </is>
      </c>
      <c r="D1350" t="inlineStr">
        <is>
          <t>vdh</t>
        </is>
      </c>
      <c r="E1350" t="inlineStr">
        <is>
          <t>pro17</t>
        </is>
      </c>
      <c r="F1350" t="inlineStr">
        <is>
          <t>prod</t>
        </is>
      </c>
    </row>
    <row r="1351">
      <c r="A1351" t="inlineStr">
        <is>
          <t>2025-05-09 09:52:41.332</t>
        </is>
      </c>
      <c r="B1351">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instructionAsrFirstTime":{"year":2025,"monthValue":5,"month":"MAY","dayOfMonth":9,"dayOfYear":129,"dayOfWeek":"FRIDAY","hour":9,"minute":52,"second":38,"nano":0,"chronology":{"id":"ISO","calendarType":"iso8601"}},"knowledgeId":"","knowledgeMasterId":"","instructionType":"","instructionName":"","instructionFlag":"","parameter":"{}","ttsResultSource":"","ttsResult":"","response":0}]]</f>
        <v/>
      </c>
      <c r="C1351" t="inlineStr">
        <is>
          <t>INFO</t>
        </is>
      </c>
      <c r="D1351" t="inlineStr">
        <is>
          <t>vdh</t>
        </is>
      </c>
      <c r="E1351" t="inlineStr">
        <is>
          <t>pro17</t>
        </is>
      </c>
      <c r="F1351" t="inlineStr">
        <is>
          <t>prod</t>
        </is>
      </c>
    </row>
    <row r="1352">
      <c r="A1352" t="inlineStr">
        <is>
          <t>2025-05-09 09:52:36.714</t>
        </is>
      </c>
      <c r="B1352">
        <f>=请求结束== [请求耗时]:16毫秒, [返回数据]:{"code":"000000","msg":"Success","traceId":"d2317f2435a3f54022ab4a42c4f00970"}</f>
        <v/>
      </c>
      <c r="C1352" t="inlineStr">
        <is>
          <t>INFO</t>
        </is>
      </c>
      <c r="D1352" t="inlineStr">
        <is>
          <t>vdh</t>
        </is>
      </c>
      <c r="E1352" t="inlineStr">
        <is>
          <t>pro14</t>
        </is>
      </c>
      <c r="F1352" t="inlineStr">
        <is>
          <t>prod</t>
        </is>
      </c>
    </row>
    <row r="1353">
      <c r="A1353" t="inlineStr">
        <is>
          <t>2025-05-09 09:52:36.698</t>
        </is>
      </c>
      <c r="B1353">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怪兽开了一个大洞","instructionAsrFirstTime":{"year":2025,"monthValue":5,"month":"MAY","dayOfMonth":9,"dayOfYear":129,"dayOfWeek":"FRIDAY","hour":9,"minute":52,"second":22,"nano":0,"chronology":{"id":"ISO","calendarType":"iso8601"}},"knowledgeId":"","knowledgeMasterId":"","instructionType":"","instructionName":"","instructionFlag":"","parameter":"{\"nlpId\":\"17300825629321642727spln\",\"service\":\"Chat_library\"}","ttsResultSource":"FTT","ttsResult":"听起来像是一个有趣的新闻标题!让我为你查找最新的新闻。","ttsResultTime":{"year":2025,"monthValue":5,"month":"MAY","dayOfMonth":9,"dayOfYear":129,"dayOfWeek":"FRIDAY","hour":9,"minute":52,"second":31,"nano":0,"chronology":{"id":"ISO","calendarType":"iso8601"}},"response":4375}]]</f>
        <v/>
      </c>
      <c r="C1353" t="inlineStr">
        <is>
          <t>INFO</t>
        </is>
      </c>
      <c r="D1353" t="inlineStr">
        <is>
          <t>vdh</t>
        </is>
      </c>
      <c r="E1353" t="inlineStr">
        <is>
          <t>pro14</t>
        </is>
      </c>
      <c r="F1353" t="inlineStr">
        <is>
          <t>prod</t>
        </is>
      </c>
    </row>
    <row r="1354">
      <c r="A1354" t="inlineStr">
        <is>
          <t>2025-05-09 09:52:29.580</t>
        </is>
      </c>
      <c r="B1354">
        <f>=请求结束== [请求耗时]:2493毫秒</f>
        <v/>
      </c>
      <c r="C1354" t="inlineStr">
        <is>
          <t>INFO</t>
        </is>
      </c>
      <c r="D1354" t="inlineStr">
        <is>
          <t>vdh</t>
        </is>
      </c>
      <c r="E1354" t="inlineStr">
        <is>
          <t>pro14</t>
        </is>
      </c>
      <c r="F1354" t="inlineStr">
        <is>
          <t>prod</t>
        </is>
      </c>
    </row>
    <row r="1355">
      <c r="A1355" t="inlineStr">
        <is>
          <t>2025-05-09 09:52:29.579</t>
        </is>
      </c>
      <c r="B1355" t="inlineStr">
        <is>
          <t>第1次流式调用完成，耗时：2030ms，response: Response { content = AiMessage { text = "听起来像是一个有趣的新闻标题！让我为你查找最新的新闻。" toolExecutionRequests = null }, tokenUsage = TokenUsage { inputTokenCount = 4826, outputTokenCount = 29, totalTokenCount = 4855 }, finishReason = TOOL_EXECUTION }</t>
        </is>
      </c>
      <c r="C1355" t="inlineStr">
        <is>
          <t>INFO</t>
        </is>
      </c>
      <c r="D1355" t="inlineStr">
        <is>
          <t>vdh</t>
        </is>
      </c>
      <c r="E1355" t="inlineStr">
        <is>
          <t>pro14</t>
        </is>
      </c>
      <c r="F1355" t="inlineStr">
        <is>
          <t>prod</t>
        </is>
      </c>
    </row>
    <row r="1356">
      <c r="A1356" t="inlineStr">
        <is>
          <t>2025-05-09 09:52:28.671</t>
        </is>
      </c>
      <c r="B1356" t="inlineStr">
        <is>
          <t xml:space="preserve">第1次流式调用开始回复，耗时：1122ms，第一个token: </t>
        </is>
      </c>
      <c r="C1356" t="inlineStr">
        <is>
          <t>INFO</t>
        </is>
      </c>
      <c r="D1356" t="inlineStr">
        <is>
          <t>vdh</t>
        </is>
      </c>
      <c r="E1356" t="inlineStr">
        <is>
          <t>pro14</t>
        </is>
      </c>
      <c r="F1356" t="inlineStr">
        <is>
          <t>prod</t>
        </is>
      </c>
    </row>
    <row r="1357">
      <c r="A1357" t="inlineStr">
        <is>
          <t>2025-05-09 09:52:27.549</t>
        </is>
      </c>
      <c r="B1357" t="inlineStr">
        <is>
          <t>streaming provider=gpt, model: gpt-4o</t>
        </is>
      </c>
      <c r="C1357" t="inlineStr">
        <is>
          <t>INFO</t>
        </is>
      </c>
      <c r="D1357" t="inlineStr">
        <is>
          <t>vdh</t>
        </is>
      </c>
      <c r="E1357" t="inlineStr">
        <is>
          <t>pro14</t>
        </is>
      </c>
      <c r="F1357" t="inlineStr">
        <is>
          <t>prod</t>
        </is>
      </c>
    </row>
    <row r="1358">
      <c r="A1358" t="inlineStr">
        <is>
          <t>2025-05-09 09:52:27.543</t>
        </is>
      </c>
      <c r="B1358">
        <f>=请求结束== [请求耗时]:430毫秒, [返回数据]:{"code":"000000","msg":"Success","data":[{"knowledgeId":"1326868148286373888","knowledgeContent":[{"score":0.7119706675,"content":"：2025年春节/过年/大年初一是1月29日，农历正月初一，星期三。","fileId":"1326944717968060416","chunkId":"paragraph-1"},{"score":0.7005434375,"content":"：深圳数影科技的股价是多少？深圳数影科技有限公司没有上市，因此没有股价信息。 广西扬翔股份上市了吗？广西扬翔股份没有上市。","fileId":"1326944717968060416","chunkId":"paragraph-6"},{"score":0.6938659225,"content":"：小暑：•新历：7月7日•农历：六月十三•星期一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knowledgeId":"1329399948694220800","knowledgeContent":[{"score":0.8293688724999999,"content":"放一个新闻","fileId":"1329400169758941184","chunkId":"54","textGroup":"news {type=top,size=3}"},{"score":0.7410499749999999,"content":"开始","fileId":"1347217269055369216","chunkId":"122","textGroup":"cooking_control {type=start}"},{"score":0.724305825,"content":"接着微博","fileId":"1347217269055369216","chunkId":"218","textGroup":"cooking_control {type=continue}"},{"score":0.7240166125,"content":"请暂时停止微波","fileId":"1347217269055369216","chunkId":"193","textGroup":"cooking_control {type=pause}"},{"score":0.723575165,"content":"微波结束","fileId":"1347217269055369216","chunkId":"279","textGroup":"cooking_control {type=stop}"}]},{"knowledgeId":"1272948056214077440","knowledgeContent":[{"score":0.7263015825,"content":"问题：不满。\\n回复：不满意的地方还请多多包涵。","fileId":"1303425377255075840","chunkId":"2671","textGroup":"不满"},{"score":0.7252032125,"content":"问题：早上好。\\n回复：早上好，美好的一天又开始了。","fileId":"1303425377255075840","chunkId":"2764","textGroup":"早上好"},{"score":0.7247699249999999,"content":"问题：你很智障。\\n回复：要注意文明哦。","fileId":"1303425377255075840","chunkId":"2703","textGroup":"你很智障"},{"score":0.72331379,"content":"问题：你是真人吗。\\n回复：我是个虚拟小精灵，存在于数字世界，可以24小时陪伴主人。","fileId":"1303425377255075840","chunkId":"2709","textGroup":"你是真人吗"},{"score":0.7225475575,"content":"问题：假期愉快。\\n回复：假期愉快，玩得开心哟！","fileId":"1303425377255075840","chunkId":"2755","textGroup":"假期愉快"},{"score":0.722128295,"content":"问题：你有宠物吗。\\n回复：还没有，万得厨就是我最亲密的伙伴了。","fileId":"1303425377255075840","chunkId":"2728","textGroup":"你有宠物吗"},{"score":0.720529785,"content":"问题：你什么时候在线。\\n回复：我二十四小时在线的。","fileId":"1303425377255075840","chunkId":"2676","textGroup":"你什么时候在线"},{"score":0.7195539,"content":"问题：晚安。\\n回复：晚安。","fileId":"1303425377255075840","chunkId":"2766","textGroup":"晚安"},{"score":0.7186235325,"content":"问题：没有放食物可以开启万得出吗。\\n回复：微波炉是严禁空载使用的哦，会损坏微波炉的","fileId":"1303425377255075840","chunkId":"1941","textGroup":"微波炉可以空载运行吗"},{"score":0.718555065,"content":"问题：你反应太慢了。\\n回复：抱歉我还在学习，所以反应有点慢。","fileId":"1303425377255075840","chunkId":"2686","textGroup":"你反应太慢了"},{"score":0.7184901674999999,"content":"问题：你很人类有什么不同。\\n回复：人类有身体和情感，而我只是个虚拟存在","fileId":"1303425377255075840","chunkId":"2701","textGroup":"你很人类有什么不同"},{"score":0.718097,"content":"问题：你会死亡吗。\\n回复：我是一个虚拟小精灵，没有死亡的概念","fileId":"1303425377255075840","chunkId":"2679","textGroup":"你会死亡吗"},{"score":0.7179016699999999,"content":"问题：你们是否与影子科技有交涉。\\n回复：是影子科技创造了我，没有他我就不能和你相遇呢！","fileId":"1303425377255075840","chunkId":"594","textGroup":"你跟影子科技是否有关系"}]}]}</f>
        <v/>
      </c>
      <c r="C1358" t="inlineStr">
        <is>
          <t>INFO</t>
        </is>
      </c>
      <c r="D1358" t="inlineStr">
        <is>
          <t>vdh</t>
        </is>
      </c>
      <c r="E1358" t="inlineStr">
        <is>
          <t>pro17</t>
        </is>
      </c>
      <c r="F1358" t="inlineStr">
        <is>
          <t>prod</t>
        </is>
      </c>
    </row>
    <row r="1359">
      <c r="A1359" t="inlineStr">
        <is>
          <t>2025-05-09 09:52:27.542</t>
        </is>
      </c>
      <c r="B1359" t="inlineStr">
        <is>
          <t>知识库插件检索耗时: 427ms</t>
        </is>
      </c>
      <c r="C1359" t="inlineStr">
        <is>
          <t>INFO</t>
        </is>
      </c>
      <c r="D1359" t="inlineStr">
        <is>
          <t>vdh</t>
        </is>
      </c>
      <c r="E1359" t="inlineStr">
        <is>
          <t>pro17</t>
        </is>
      </c>
      <c r="F1359" t="inlineStr">
        <is>
          <t>prod</t>
        </is>
      </c>
    </row>
    <row r="1360">
      <c r="A1360" t="inlineStr">
        <is>
          <t>2025-05-09 09:52:27.113</t>
        </is>
      </c>
      <c r="B1360">
        <f>=请求开始== [请求IP]:172.18.33.14 ,[请求方式]:POST， [请求URL]:https://172.30.103.196:8080/api/appservice/bfv/v1/knowledge/retrieval/plugin, [请求类名]:com.yingzi.appservice.bfv.provider.rest.KnowledgeRetrievalController,[请求方法名]:plugin, [请求头参数]:{"host":"172.30.103.196:8080"}, [请求参数]:[{"query":"怪兽开了一个大洞","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360" t="inlineStr">
        <is>
          <t>INFO</t>
        </is>
      </c>
      <c r="D1360" t="inlineStr">
        <is>
          <t>vdh</t>
        </is>
      </c>
      <c r="E1360" t="inlineStr">
        <is>
          <t>pro17</t>
        </is>
      </c>
      <c r="F1360" t="inlineStr">
        <is>
          <t>prod</t>
        </is>
      </c>
    </row>
    <row r="1361">
      <c r="A1361" t="inlineStr">
        <is>
          <t>2025-05-09 09:52:27.087</t>
        </is>
      </c>
      <c r="B1361">
        <f>=请求开始== [请求IP]:172.18.114.98 ,[请求方式]:POST， [请求URL]:https://172.30.212.148:8080/api/appservice/bfv/v1/chat/, [请求类名]:com.yingzi.appservice.bfv.provider.rest.ChatV1Controller,[请求方法名]:chat, [请求头参数]:{"host":"172.30.212.148:8080"}, [请求参数]:[{"stream":true,"message":"怪兽开了一个大洞","args":"{\"adcode\":\"440100\",\"channel_id\":\"9\"}"}]</f>
        <v/>
      </c>
      <c r="C1361" t="inlineStr">
        <is>
          <t>INFO</t>
        </is>
      </c>
      <c r="D1361" t="inlineStr">
        <is>
          <t>vdh</t>
        </is>
      </c>
      <c r="E1361" t="inlineStr">
        <is>
          <t>pro14</t>
        </is>
      </c>
      <c r="F1361" t="inlineStr">
        <is>
          <t>prod</t>
        </is>
      </c>
    </row>
    <row r="1362">
      <c r="A1362" t="inlineStr">
        <is>
          <t>2025-05-09 09:52:21.074</t>
        </is>
      </c>
      <c r="B1362">
        <f>=请求结束== [请求耗时]:15毫秒, [返回数据]:{"code":"000000","msg":"Success","traceId":"dc5656783ab22b94acec3ef7d807e614"}</f>
        <v/>
      </c>
      <c r="C1362" t="inlineStr">
        <is>
          <t>INFO</t>
        </is>
      </c>
      <c r="D1362" t="inlineStr">
        <is>
          <t>vdh</t>
        </is>
      </c>
      <c r="E1362" t="inlineStr">
        <is>
          <t>pro17</t>
        </is>
      </c>
      <c r="F1362" t="inlineStr">
        <is>
          <t>prod</t>
        </is>
      </c>
    </row>
    <row r="1363">
      <c r="A1363" t="inlineStr">
        <is>
          <t>2025-05-09 09:52:21.059</t>
        </is>
      </c>
      <c r="B1363">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363" t="inlineStr">
        <is>
          <t>INFO</t>
        </is>
      </c>
      <c r="D1363" t="inlineStr">
        <is>
          <t>vdh</t>
        </is>
      </c>
      <c r="E1363" t="inlineStr">
        <is>
          <t>pro17</t>
        </is>
      </c>
      <c r="F1363" t="inlineStr">
        <is>
          <t>prod</t>
        </is>
      </c>
    </row>
    <row r="1364">
      <c r="A1364" t="inlineStr">
        <is>
          <t>2025-05-09 09:51:42.457</t>
        </is>
      </c>
      <c r="B1364">
        <f>=请求结束== [请求耗时]:15毫秒, [返回数据]:{"code":"000000","msg":"Success","traceId":"be20e7d8d32663f62635bdfd6bdd3c91"}</f>
        <v/>
      </c>
      <c r="C1364" t="inlineStr">
        <is>
          <t>INFO</t>
        </is>
      </c>
      <c r="D1364" t="inlineStr">
        <is>
          <t>vdh</t>
        </is>
      </c>
      <c r="E1364" t="inlineStr">
        <is>
          <t>pro14</t>
        </is>
      </c>
      <c r="F1364" t="inlineStr">
        <is>
          <t>prod</t>
        </is>
      </c>
    </row>
    <row r="1365">
      <c r="A1365" t="inlineStr">
        <is>
          <t>2025-05-09 09:51:42.442</t>
        </is>
      </c>
      <c r="B1365">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17:5E:26","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9,"minute":44,"second":24,"nano":0,"chronology":{"id":"ISO","calendarType":"iso8601"}},"response":1746755064664}]]</f>
        <v/>
      </c>
      <c r="C1365" t="inlineStr">
        <is>
          <t>INFO</t>
        </is>
      </c>
      <c r="D1365" t="inlineStr">
        <is>
          <t>vdh</t>
        </is>
      </c>
      <c r="E1365" t="inlineStr">
        <is>
          <t>pro14</t>
        </is>
      </c>
      <c r="F1365" t="inlineStr">
        <is>
          <t>prod</t>
        </is>
      </c>
    </row>
    <row r="1366">
      <c r="A1366" t="inlineStr">
        <is>
          <t>2025-05-09 09:51:10.660</t>
        </is>
      </c>
      <c r="B1366">
        <f>=请求结束== [请求耗时]:14毫秒, [返回数据]:{"code":"000000","msg":"Success","traceId":"3e9c38f54b3575fd5cfcf419bcb4fa63"}</f>
        <v/>
      </c>
      <c r="C1366" t="inlineStr">
        <is>
          <t>INFO</t>
        </is>
      </c>
      <c r="D1366" t="inlineStr">
        <is>
          <t>vdh</t>
        </is>
      </c>
      <c r="E1366" t="inlineStr">
        <is>
          <t>pro17</t>
        </is>
      </c>
      <c r="F1366" t="inlineStr">
        <is>
          <t>prod</t>
        </is>
      </c>
    </row>
    <row r="1367">
      <c r="A1367" t="inlineStr">
        <is>
          <t>2025-05-09 09:51:10.646</t>
        </is>
      </c>
      <c r="B1367">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下一首","instructionAsrFirstTime":{"year":2025,"monthValue":5,"month":"MAY","dayOfMonth":9,"dayOfYear":129,"dayOfWeek":"FRIDAY","hour":9,"minute":51,"second":1,"nano":0,"chronology":{"id":"ISO","calendarType":"iso8601"}},"knowledgeId":"","knowledgeMasterId":"","instructionType":"","instructionName":"","instructionFlag":"","parameter":"{\"nlpId\":\"17300825629321642727spln\",\"service\":\"Chat_library\"}","ttsResultSource":"FTT","ttsResult":"请您手动操作微波炉进行下一步。","ttsResultTime":{"year":2025,"monthValue":5,"month":"MAY","dayOfMonth":9,"dayOfYear":129,"dayOfWeek":"FRIDAY","hour":9,"minute":51,"second":6,"nano":0,"chronology":{"id":"ISO","calendarType":"iso8601"}},"response":4889}]]</f>
        <v/>
      </c>
      <c r="C1367" t="inlineStr">
        <is>
          <t>INFO</t>
        </is>
      </c>
      <c r="D1367" t="inlineStr">
        <is>
          <t>vdh</t>
        </is>
      </c>
      <c r="E1367" t="inlineStr">
        <is>
          <t>pro17</t>
        </is>
      </c>
      <c r="F1367" t="inlineStr">
        <is>
          <t>prod</t>
        </is>
      </c>
    </row>
    <row r="1368">
      <c r="A1368" t="inlineStr">
        <is>
          <t>2025-05-09 09:51:05.584</t>
        </is>
      </c>
      <c r="B1368">
        <f>=请求结束== [请求耗时]:3684毫秒</f>
        <v/>
      </c>
      <c r="C1368" t="inlineStr">
        <is>
          <t>INFO</t>
        </is>
      </c>
      <c r="D1368" t="inlineStr">
        <is>
          <t>vdh</t>
        </is>
      </c>
      <c r="E1368" t="inlineStr">
        <is>
          <t>pro14</t>
        </is>
      </c>
      <c r="F1368" t="inlineStr">
        <is>
          <t>prod</t>
        </is>
      </c>
    </row>
    <row r="1369">
      <c r="A1369" t="inlineStr">
        <is>
          <t>2025-05-09 09:51:05.583</t>
        </is>
      </c>
      <c r="B1369" t="inlineStr">
        <is>
          <t>第1次流式调用完成，耗时：3319ms，response: Response { content = AiMessage { text = "请您手动操作微波炉进行下一步。" toolExecutionRequests = null }, tokenUsage = TokenUsage { inputTokenCount = 5063, outputTokenCount = 16, totalTokenCount = 5079 }, finishReason = STOP }</t>
        </is>
      </c>
      <c r="C1369" t="inlineStr">
        <is>
          <t>INFO</t>
        </is>
      </c>
      <c r="D1369" t="inlineStr">
        <is>
          <t>vdh</t>
        </is>
      </c>
      <c r="E1369" t="inlineStr">
        <is>
          <t>pro14</t>
        </is>
      </c>
      <c r="F1369" t="inlineStr">
        <is>
          <t>prod</t>
        </is>
      </c>
    </row>
    <row r="1370">
      <c r="A1370" t="inlineStr">
        <is>
          <t>2025-05-09 09:51:05.382</t>
        </is>
      </c>
      <c r="B1370" t="inlineStr">
        <is>
          <t xml:space="preserve">第1次流式调用开始回复，耗时：3118ms，第一个token: </t>
        </is>
      </c>
      <c r="C1370" t="inlineStr">
        <is>
          <t>INFO</t>
        </is>
      </c>
      <c r="D1370" t="inlineStr">
        <is>
          <t>vdh</t>
        </is>
      </c>
      <c r="E1370" t="inlineStr">
        <is>
          <t>pro14</t>
        </is>
      </c>
      <c r="F1370" t="inlineStr">
        <is>
          <t>prod</t>
        </is>
      </c>
    </row>
    <row r="1371">
      <c r="A1371" t="inlineStr">
        <is>
          <t>2025-05-09 09:51:02.264</t>
        </is>
      </c>
      <c r="B1371" t="inlineStr">
        <is>
          <t>streaming provider=gpt, model: gpt-4o</t>
        </is>
      </c>
      <c r="C1371" t="inlineStr">
        <is>
          <t>INFO</t>
        </is>
      </c>
      <c r="D1371" t="inlineStr">
        <is>
          <t>vdh</t>
        </is>
      </c>
      <c r="E1371" t="inlineStr">
        <is>
          <t>pro14</t>
        </is>
      </c>
      <c r="F1371" t="inlineStr">
        <is>
          <t>prod</t>
        </is>
      </c>
    </row>
    <row r="1372">
      <c r="A1372" t="inlineStr">
        <is>
          <t>2025-05-09 09:51:02.257</t>
        </is>
      </c>
      <c r="B1372">
        <f>=请求结束== [请求耗时]:345毫秒, [返回数据]:{"code":"000000","msg":"Success","data":[{"knowledgeId":"1326868148286373888","knowledgeContent":[{"score":0.716090745,"content":"：2025年春节/过年/大年初一是1月29日，农历正月初一，星期三。","fileId":"1326944717968060416","chunkId":"paragraph-1"},{"score":0.7066936975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冬至：•新历：12月21日•农历：十一月初二•星期日","fileId":"1326944717968060416","chunkId":"paragraph-4"},{"score":0.7010172699999999,"content":"：2025年元宵节是2月12日，农历正月十五，星期三。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1329399948694220800","knowledgeContent":[{"score":0.7410627249999999,"content":"请帮我继续微波","fileId":"1347217269055369216","chunkId":"256","textGroup":"cooking_control {type=continue}"},{"score":0.7334137875,"content":"停一下","fileId":"1347217269055369216","chunkId":"206","textGroup":"cooking_control {type=pause}"},{"score":0.7298922800000001,"content":"开始做吧","fileId":"1347217269055369216","chunkId":"136","textGroup":"cooking_control {type=start}"},{"score":0.727825845,"content":"下午的天气如何","fileId":"1329400169758941184","chunkId":"17","textGroup":"getCurrentWeather"},{"score":0.7274984674999999,"content":"听听新闻","fileId":"1329400169758941184","chunkId":"84","textGroup":"news {type=top,size=3}"},{"score":0.7274731375,"content":"结束微博加热","fileId":"1347217269055369216","chunkId":"288","textGroup":"cooking_control {type=stop}"}]},{"knowledgeId":"1272948056214077440","knowledgeContent":[{"score":0.7391988875,"content":"问题：再见。\\n回复：拜拜，下次见。","fileId":"1303425377255075840","chunkId":"2756","textGroup":"再见"},{"score":0.737471815,"content":"问题：你喜欢唱歌吗。\\n回复：唱歌可以帮助我释放压力和情感，只是我唱歌的水平还不够好。","fileId":"1303425377255075840","chunkId":"2691","textGroup":"你喜欢唱歌吗"},{"score":0.732498635,"content":"问题：晚安。\\n回复：晚安。","fileId":"1303425377255075840","chunkId":"2766","textGroup":"晚安"},{"score":0.731360655,"content":"问题：你最喜欢的音乐是。\\n回复：我喜欢听流行曲，音乐能让我充满激情和动力。","fileId":"1303425377255075840","chunkId":"2718","textGroup":"你最喜欢的音乐是"},{"score":0.72974268,"content":"问题：好久不见。\\n回复：好久没聊了，我好想念你","fileId":"1303425377255075840","chunkId":"2759","textGroup":"好久不见"},{"score":0.72709136,"content":"问题：不满。\\n回复：不满意的地方还请多多包涵。","fileId":"1303425377255075840","chunkId":"2671","textGroup":"不满"},{"score":0.723045615,"content":"问题：你快乐吗。\\n回复：你快乐我就快乐。","fileId":"1303425377255075840","chunkId":"2704","textGroup":"你快乐吗"},{"score":0.7228243175,"content":"问题：假期愉快。\\n回复：假期愉快，玩得开心哟！","fileId":"1303425377255075840","chunkId":"2755","textGroup":"假期愉快"},{"score":0.7227425475,"content":"问题：你什么时候在线。\\n回复：我二十四小时在线的。","fileId":"1303425377255075840","chunkId":"2676","textGroup":"你什么时候在线"},{"score":0.722621975,"content":"问题：早上好。\\n回复：早上好，美好的一天又开始了。","fileId":"1303425377255075840","chunkId":"2764","textGroup":"早上好"},{"score":0.7226183625,"content":"问题：你最喜欢的乐器是什么。\\n回复：我喜欢弹钢琴，美妙的音符让我变得平静。","fileId":"1303425377255075840","chunkId":"2710","textGroup":"你最喜欢的乐器是什么"},{"score":0.72253315,"content":"问题：我吃饱了。\\n回复：吃得饱饱的，精神焕发才能更加出色哦。","fileId":"1303425377255075840","chunkId":"2760","textGroup":"我吃饱了"},{"score":0.7212876024999999,"content":"问题：晚上好。\\n回复：能听见您的声音真好。","fileId":"1303425377255075840","chunkId":"2765","textGroup":"晚上好"},{"score":0.72113983,"content":"问题：我是谁。\\n回复：你就是我的主人呀","fileId":"1303425377255075840","chunkId":"2763","textGroup":"我是谁"},{"score":0.7200437975,"content":"问题：你吃饭了吗。\\n回复：还在等待美食中，你想和我一起吃吗？","fileId":"1303425377255075840","chunkId":"2689","textGroup":"你吃饭了吗"}]}]}</f>
        <v/>
      </c>
      <c r="C1372" t="inlineStr">
        <is>
          <t>INFO</t>
        </is>
      </c>
      <c r="D1372" t="inlineStr">
        <is>
          <t>vdh</t>
        </is>
      </c>
      <c r="E1372" t="inlineStr">
        <is>
          <t>pro17</t>
        </is>
      </c>
      <c r="F1372" t="inlineStr">
        <is>
          <t>prod</t>
        </is>
      </c>
    </row>
    <row r="1373">
      <c r="A1373" t="inlineStr">
        <is>
          <t>2025-05-09 09:51:02.256</t>
        </is>
      </c>
      <c r="B1373" t="inlineStr">
        <is>
          <t>知识库插件检索耗时: 342ms</t>
        </is>
      </c>
      <c r="C1373" t="inlineStr">
        <is>
          <t>INFO</t>
        </is>
      </c>
      <c r="D1373" t="inlineStr">
        <is>
          <t>vdh</t>
        </is>
      </c>
      <c r="E1373" t="inlineStr">
        <is>
          <t>pro17</t>
        </is>
      </c>
      <c r="F1373" t="inlineStr">
        <is>
          <t>prod</t>
        </is>
      </c>
    </row>
    <row r="1374">
      <c r="A1374" t="inlineStr">
        <is>
          <t>2025-05-09 09:51:01.912</t>
        </is>
      </c>
      <c r="B1374">
        <f>=请求开始== [请求IP]:172.18.33.14 ,[请求方式]:POST， [请求URL]:https://172.30.103.196:8080/api/appservice/bfv/v1/knowledge/retrieval/plugin, [请求类名]:com.yingzi.appservice.bfv.provider.rest.KnowledgeRetrievalController,[请求方法名]:plugin, [请求头参数]:{"host":"172.30.103.196:8080"}, [请求参数]:[{"query":"下一首","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374" t="inlineStr">
        <is>
          <t>INFO</t>
        </is>
      </c>
      <c r="D1374" t="inlineStr">
        <is>
          <t>vdh</t>
        </is>
      </c>
      <c r="E1374" t="inlineStr">
        <is>
          <t>pro17</t>
        </is>
      </c>
      <c r="F1374" t="inlineStr">
        <is>
          <t>prod</t>
        </is>
      </c>
    </row>
    <row r="1375">
      <c r="A1375" t="inlineStr">
        <is>
          <t>2025-05-09 09:51:01.900</t>
        </is>
      </c>
      <c r="B1375">
        <f>=请求开始== [请求IP]:172.18.114.116 ,[请求方式]:POST， [请求URL]:https://172.30.212.148:8080/api/appservice/bfv/v1/chat/, [请求类名]:com.yingzi.appservice.bfv.provider.rest.ChatV1Controller,[请求方法名]:chat, [请求头参数]:{"host":"172.30.212.148:8080"}, [请求参数]:[{"stream":true,"message":"下一首","args":"{\"adcode\":\"440100\",\"channel_id\":\"9\"}"}]</f>
        <v/>
      </c>
      <c r="C1375" t="inlineStr">
        <is>
          <t>INFO</t>
        </is>
      </c>
      <c r="D1375" t="inlineStr">
        <is>
          <t>vdh</t>
        </is>
      </c>
      <c r="E1375" t="inlineStr">
        <is>
          <t>pro14</t>
        </is>
      </c>
      <c r="F1375" t="inlineStr">
        <is>
          <t>prod</t>
        </is>
      </c>
    </row>
    <row r="1376">
      <c r="A1376" t="inlineStr">
        <is>
          <t>2025-05-09 09:50:59.531</t>
        </is>
      </c>
      <c r="B1376">
        <f>=请求结束== [请求耗时]:16毫秒, [返回数据]:{"code":"000000","msg":"Success","traceId":"567b69a47499af22ffdfc68f228cc175"}</f>
        <v/>
      </c>
      <c r="C1376" t="inlineStr">
        <is>
          <t>INFO</t>
        </is>
      </c>
      <c r="D1376" t="inlineStr">
        <is>
          <t>vdh</t>
        </is>
      </c>
      <c r="E1376" t="inlineStr">
        <is>
          <t>pro14</t>
        </is>
      </c>
      <c r="F1376" t="inlineStr">
        <is>
          <t>prod</t>
        </is>
      </c>
    </row>
    <row r="1377">
      <c r="A1377" t="inlineStr">
        <is>
          <t>2025-05-09 09:50:59.515</t>
        </is>
      </c>
      <c r="B1377">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Yeah","instructionAsrFirstTime":{"year":2025,"monthValue":5,"month":"MAY","dayOfMonth":9,"dayOfYear":129,"dayOfWeek":"FRIDAY","hour":9,"minute":50,"second":53,"nano":0,"chronology":{"id":"ISO","calendarType":"iso8601"}},"knowledgeId":"","knowledgeMasterId":"","instructionType":"","instructionName":"","instructionFlag":"","parameter":"{\"nlpId\":\"17300825629321642727spln\",\"service\":\"Chat_library\"}","ttsResultSource":"FTT","ttsResult":"你好,有什么可以帮您?","ttsResultTime":{"year":2025,"monthValue":5,"month":"MAY","dayOfMonth":9,"dayOfYear":129,"dayOfWeek":"FRIDAY","hour":9,"minute":50,"second":55,"nano":0,"chronology":{"id":"ISO","calendarType":"iso8601"}},"response":1904}]]</f>
        <v/>
      </c>
      <c r="C1377" t="inlineStr">
        <is>
          <t>INFO</t>
        </is>
      </c>
      <c r="D1377" t="inlineStr">
        <is>
          <t>vdh</t>
        </is>
      </c>
      <c r="E1377" t="inlineStr">
        <is>
          <t>pro14</t>
        </is>
      </c>
      <c r="F1377" t="inlineStr">
        <is>
          <t>prod</t>
        </is>
      </c>
    </row>
    <row r="1378">
      <c r="A1378" t="inlineStr">
        <is>
          <t>2025-05-09 09:50:55.410</t>
        </is>
      </c>
      <c r="B1378" t="inlineStr">
        <is>
          <t>第1次流式调用完成，耗时：1093ms，response: Response { content = AiMessage { text = "你好，有什么可以帮您？" toolExecutionRequests = null }, tokenUsage = TokenUsage { inputTokenCount = 4430, outputTokenCount = 12, totalTokenCount = 4442 }, finishReason = STOP }</t>
        </is>
      </c>
      <c r="C1378" t="inlineStr">
        <is>
          <t>INFO</t>
        </is>
      </c>
      <c r="D1378" t="inlineStr">
        <is>
          <t>vdh</t>
        </is>
      </c>
      <c r="E1378" t="inlineStr">
        <is>
          <t>pro14</t>
        </is>
      </c>
      <c r="F1378" t="inlineStr">
        <is>
          <t>prod</t>
        </is>
      </c>
    </row>
    <row r="1379">
      <c r="A1379" t="inlineStr">
        <is>
          <t>2025-05-09 09:50:55.410</t>
        </is>
      </c>
      <c r="B1379">
        <f>=请求结束== [请求耗时]:1410毫秒</f>
        <v/>
      </c>
      <c r="C1379" t="inlineStr">
        <is>
          <t>INFO</t>
        </is>
      </c>
      <c r="D1379" t="inlineStr">
        <is>
          <t>vdh</t>
        </is>
      </c>
      <c r="E1379" t="inlineStr">
        <is>
          <t>pro14</t>
        </is>
      </c>
      <c r="F1379" t="inlineStr">
        <is>
          <t>prod</t>
        </is>
      </c>
    </row>
    <row r="1380">
      <c r="A1380" t="inlineStr">
        <is>
          <t>2025-05-09 09:50:55.249</t>
        </is>
      </c>
      <c r="B1380" t="inlineStr">
        <is>
          <t xml:space="preserve">第1次流式调用开始回复，耗时：932ms，第一个token: </t>
        </is>
      </c>
      <c r="C1380" t="inlineStr">
        <is>
          <t>INFO</t>
        </is>
      </c>
      <c r="D1380" t="inlineStr">
        <is>
          <t>vdh</t>
        </is>
      </c>
      <c r="E1380" t="inlineStr">
        <is>
          <t>pro14</t>
        </is>
      </c>
      <c r="F1380" t="inlineStr">
        <is>
          <t>prod</t>
        </is>
      </c>
    </row>
    <row r="1381">
      <c r="A1381" t="inlineStr">
        <is>
          <t>2025-05-09 09:50:54.317</t>
        </is>
      </c>
      <c r="B1381" t="inlineStr">
        <is>
          <t>streaming provider=gpt, model: gpt-4o</t>
        </is>
      </c>
      <c r="C1381" t="inlineStr">
        <is>
          <t>INFO</t>
        </is>
      </c>
      <c r="D1381" t="inlineStr">
        <is>
          <t>vdh</t>
        </is>
      </c>
      <c r="E1381" t="inlineStr">
        <is>
          <t>pro14</t>
        </is>
      </c>
      <c r="F1381" t="inlineStr">
        <is>
          <t>prod</t>
        </is>
      </c>
    </row>
    <row r="1382">
      <c r="A1382" t="inlineStr">
        <is>
          <t>2025-05-09 09:50:54.311</t>
        </is>
      </c>
      <c r="B1382">
        <f>=请求结束== [请求耗时]:298毫秒, [返回数据]:{"code":"000000","msg":"Success","data":[{"knowledgeId":"1326868148286373888","knowledgeContent":[{"score":0.72939197,"content":"：2025年春节/过年/大年初一是1月29日，农历正月初一，星期三。","fileId":"1326944717968060416","chunkId":"paragraph-1"},{"score":0.7224375675,"content":"：深圳数影科技的股价是多少？深圳数影科技有限公司没有上市，因此没有股价信息。 广西扬翔股份上市了吗？广西扬翔股份没有上市。","fileId":"1326944717968060416","chunkId":"paragraph-6"},{"score":0.7163432799999999,"content":"：广州影子科技的股价是多少？广州影子科技有限公司没有上市，因此没有股价信息。","fileId":"1326944717968060416","chunkId":"paragraph-5"}]},{"knowledgeId":"1272948056214077440","knowledgeContent":[{"score":0.7682734775,"content":"问题：晚安。\\n回复：晚安。","fileId":"1303425377255075840","chunkId":"2766","textGroup":"晚安"},{"score":0.762497175,"content":"问题：不满。\\n回复：不满意的地方还请多多包涵。","fileId":"1303425377255075840","chunkId":"2671","textGroup":"不满"},{"score":0.7618090574999999,"content":"问题：再见。\\n回复：拜拜，下次见。","fileId":"1303425377255075840","chunkId":"2756","textGroup":"再见"},{"score":0.760132475,"content":"问题：早上好。\\n回复：早上好，美好的一天又开始了。","fileId":"1303425377255075840","chunkId":"2764","textGroup":"早上好"},{"score":0.7591573125,"content":"问题：你好。\\n回复：你好，有什么可以帮您。","fileId":"1303425377255075840","chunkId":"2699","textGroup":"你好"},{"score":0.7590678925,"content":"问题：你真棒。\\n回复：谢谢赞美。","fileId":"1303425377255075840","chunkId":"2752","textGroup":"你真棒"},{"score":0.7545807425,"content":"问题：你什么时候在线。\\n回复：我二十四小时在线的。","fileId":"1303425377255075840","chunkId":"2676","textGroup":"你什么时候在线"},{"score":0.754273595,"content":"问题：晚上好。\\n回复：能听见您的声音真好。","fileId":"1303425377255075840","chunkId":"2765","textGroup":"晚上好"},{"score":0.7542048299999999,"content":"问题：你反应太慢了。\\n回复：抱歉我还在学习，所以反应有点慢。","fileId":"1303425377255075840","chunkId":"2686","textGroup":"你反应太慢了"},{"score":0.7528143574999999,"content":"问题：可以和我聊聊天吗。\\n回复：你可以随时找我聊。","fileId":"1303425377255075840","chunkId":"2757","textGroup":"可以和我聊聊天吗"},{"score":0.75233891,"content":"问题：谢谢。\\n回复：您客气了。","fileId":"1303425377255075840","chunkId":"2769","textGroup":"谢谢"},{"score":0.752280345,"content":"问题：你真好看。\\n回复：是吧，那得感谢设计我的人。","fileId":"1303425377255075840","chunkId":"2751","textGroup":"你真好看"},{"score":0.7520191825,"content":"问题：你很智能。\\n回复：谢谢夸奖，我会继续学习的。","fileId":"1303425377255075840","chunkId":"2702","textGroup":"你很智能"},{"score":0.75112715,"content":"问题：假期愉快。\\n回复：假期愉快，玩得开心哟！","fileId":"1303425377255075840","chunkId":"2755","textGroup":"假期愉快"},{"score":0.7476423625,"content":"问题：你没用。\\n回复：非常抱歉，小万会努力学习的","fileId":"1303425377255075840","chunkId":"2732","textGroup":"你没用"}]},{"knowledgeId":"1329399948694220800","knowledgeContent":[{"score":0.752679505,"content":"快启动吧","fileId":"1347217269055369216","chunkId":"137","textGroup":"cooking_control {type=start}"},{"score":0.7520680575,"content":"请帮我继续微波","fileId":"1347217269055369216","chunkId":"256","textGroup":"cooking_control {type=continue}"},{"score":0.7512788325,"content":"放个新闻","fileId":"1329400169758941184","chunkId":"53","textGroup":"news {type=top,size=3}"},{"score":0.7478390525,"content":"请暂时停止微波","fileId":"1347217269055369216","chunkId":"193","textGroup":"cooking_control {type=pause}"},{"score":0.7460234525,"content":"结束微博","fileId":"1347217269055369216","chunkId":"271","textGroup":"cooking_control {type=stop}"}]}]}</f>
        <v/>
      </c>
      <c r="C1382" t="inlineStr">
        <is>
          <t>INFO</t>
        </is>
      </c>
      <c r="D1382" t="inlineStr">
        <is>
          <t>vdh</t>
        </is>
      </c>
      <c r="E1382" t="inlineStr">
        <is>
          <t>pro17</t>
        </is>
      </c>
      <c r="F1382" t="inlineStr">
        <is>
          <t>prod</t>
        </is>
      </c>
    </row>
    <row r="1383">
      <c r="A1383" t="inlineStr">
        <is>
          <t>2025-05-09 09:50:54.309</t>
        </is>
      </c>
      <c r="B1383" t="inlineStr">
        <is>
          <t>知识库插件检索耗时: 295ms</t>
        </is>
      </c>
      <c r="C1383" t="inlineStr">
        <is>
          <t>INFO</t>
        </is>
      </c>
      <c r="D1383" t="inlineStr">
        <is>
          <t>vdh</t>
        </is>
      </c>
      <c r="E1383" t="inlineStr">
        <is>
          <t>pro17</t>
        </is>
      </c>
      <c r="F1383" t="inlineStr">
        <is>
          <t>prod</t>
        </is>
      </c>
    </row>
    <row r="1384">
      <c r="A1384" t="inlineStr">
        <is>
          <t>2025-05-09 09:50:54.013</t>
        </is>
      </c>
      <c r="B1384">
        <f>=请求开始== [请求IP]:172.18.33.14 ,[请求方式]:POST， [请求URL]:https://172.30.103.196:8080/api/appservice/bfv/v1/knowledge/retrieval/plugin, [请求类名]:com.yingzi.appservice.bfv.provider.rest.KnowledgeRetrievalController,[请求方法名]:plugin, [请求头参数]:{"host":"172.30.103.196:8080"}, [请求参数]:[{"query":"Yeah","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384" t="inlineStr">
        <is>
          <t>INFO</t>
        </is>
      </c>
      <c r="D1384" t="inlineStr">
        <is>
          <t>vdh</t>
        </is>
      </c>
      <c r="E1384" t="inlineStr">
        <is>
          <t>pro17</t>
        </is>
      </c>
      <c r="F1384" t="inlineStr">
        <is>
          <t>prod</t>
        </is>
      </c>
    </row>
    <row r="1385">
      <c r="A1385" t="inlineStr">
        <is>
          <t>2025-05-09 09:50:54.001</t>
        </is>
      </c>
      <c r="B1385">
        <f>=请求开始== [请求IP]:172.18.114.116 ,[请求方式]:POST， [请求URL]:https://172.30.212.148:8080/api/appservice/bfv/v1/chat/, [请求类名]:com.yingzi.appservice.bfv.provider.rest.ChatV1Controller,[请求方法名]:chat, [请求头参数]:{"host":"172.30.212.148:8080"}, [请求参数]:[{"stream":true,"message":"Yeah","args":"{\"adcode\":\"440100\",\"channel_id\":\"9\"}"}]</f>
        <v/>
      </c>
      <c r="C1385" t="inlineStr">
        <is>
          <t>INFO</t>
        </is>
      </c>
      <c r="D1385" t="inlineStr">
        <is>
          <t>vdh</t>
        </is>
      </c>
      <c r="E1385" t="inlineStr">
        <is>
          <t>pro14</t>
        </is>
      </c>
      <c r="F1385" t="inlineStr">
        <is>
          <t>prod</t>
        </is>
      </c>
    </row>
    <row r="1386">
      <c r="A1386" t="inlineStr">
        <is>
          <t>2025-05-09 09:50:52.165</t>
        </is>
      </c>
      <c r="B1386">
        <f>=请求结束== [请求耗时]:15毫秒, [返回数据]:{"code":"000000","msg":"Success","traceId":"343db61fcff6ecbf3f4e45ba41bbcda7"}</f>
        <v/>
      </c>
      <c r="C1386" t="inlineStr">
        <is>
          <t>INFO</t>
        </is>
      </c>
      <c r="D1386" t="inlineStr">
        <is>
          <t>vdh</t>
        </is>
      </c>
      <c r="E1386" t="inlineStr">
        <is>
          <t>pro17</t>
        </is>
      </c>
      <c r="F1386" t="inlineStr">
        <is>
          <t>prod</t>
        </is>
      </c>
    </row>
    <row r="1387">
      <c r="A1387" t="inlineStr">
        <is>
          <t>2025-05-09 09:50:52.150</t>
        </is>
      </c>
      <c r="B1387">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下一个","instructionAsrFirstTime":{"year":2025,"monthValue":5,"month":"MAY","dayOfMonth":9,"dayOfYear":129,"dayOfWeek":"FRIDAY","hour":9,"minute":50,"second":44,"nano":0,"chronology":{"id":"ISO","calendarType":"iso8601"}},"knowledgeId":"","knowledgeMasterId":"","instructionType":"","instructionName":"","instructionFlag":"","parameter":"{}","ttsResultSource":"local","ttsResult":"好像没找到,主人试试自助烹饪吧","ttsResultTime":{"year":2025,"monthValue":5,"month":"MAY","dayOfMonth":9,"dayOfYear":129,"dayOfWeek":"FRIDAY","hour":9,"minute":50,"second":47,"nano":0,"chronology":{"id":"ISO","calendarType":"iso8601"}},"response":3288}]]</f>
        <v/>
      </c>
      <c r="C1387" t="inlineStr">
        <is>
          <t>INFO</t>
        </is>
      </c>
      <c r="D1387" t="inlineStr">
        <is>
          <t>vdh</t>
        </is>
      </c>
      <c r="E1387" t="inlineStr">
        <is>
          <t>pro17</t>
        </is>
      </c>
      <c r="F1387" t="inlineStr">
        <is>
          <t>prod</t>
        </is>
      </c>
    </row>
    <row r="1388">
      <c r="A1388" t="inlineStr">
        <is>
          <t>2025-05-09 09:50:46.632</t>
        </is>
      </c>
      <c r="B1388">
        <f>=请求结束== [请求耗时]:1860毫秒</f>
        <v/>
      </c>
      <c r="C1388" t="inlineStr">
        <is>
          <t>INFO</t>
        </is>
      </c>
      <c r="D1388" t="inlineStr">
        <is>
          <t>vdh</t>
        </is>
      </c>
      <c r="E1388" t="inlineStr">
        <is>
          <t>pro14</t>
        </is>
      </c>
      <c r="F1388" t="inlineStr">
        <is>
          <t>prod</t>
        </is>
      </c>
    </row>
    <row r="1389">
      <c r="A1389" t="inlineStr">
        <is>
          <t>2025-05-09 09:50:46.631</t>
        </is>
      </c>
      <c r="B1389" t="inlineStr">
        <is>
          <t>第1次流式调用完成，耗时：1499ms，response: Response { content = AiMessage { text = "请您自己操作微波炉进行“下一个”步骤。" toolExecutionRequests = null }, tokenUsage = TokenUsage { inputTokenCount = 4804, outputTokenCount = 22, totalTokenCount = 4826 }, finishReason = STOP }</t>
        </is>
      </c>
      <c r="C1389" t="inlineStr">
        <is>
          <t>INFO</t>
        </is>
      </c>
      <c r="D1389" t="inlineStr">
        <is>
          <t>vdh</t>
        </is>
      </c>
      <c r="E1389" t="inlineStr">
        <is>
          <t>pro14</t>
        </is>
      </c>
      <c r="F1389" t="inlineStr">
        <is>
          <t>prod</t>
        </is>
      </c>
    </row>
    <row r="1390">
      <c r="A1390" t="inlineStr">
        <is>
          <t>2025-05-09 09:50:46.371</t>
        </is>
      </c>
      <c r="B1390" t="inlineStr">
        <is>
          <t xml:space="preserve">第1次流式调用开始回复，耗时：1239ms，第一个token: </t>
        </is>
      </c>
      <c r="C1390" t="inlineStr">
        <is>
          <t>INFO</t>
        </is>
      </c>
      <c r="D1390" t="inlineStr">
        <is>
          <t>vdh</t>
        </is>
      </c>
      <c r="E1390" t="inlineStr">
        <is>
          <t>pro14</t>
        </is>
      </c>
      <c r="F1390" t="inlineStr">
        <is>
          <t>prod</t>
        </is>
      </c>
    </row>
    <row r="1391">
      <c r="A1391" t="inlineStr">
        <is>
          <t>2025-05-09 09:50:45.132</t>
        </is>
      </c>
      <c r="B1391" t="inlineStr">
        <is>
          <t>streaming provider=gpt, model: gpt-4o</t>
        </is>
      </c>
      <c r="C1391" t="inlineStr">
        <is>
          <t>INFO</t>
        </is>
      </c>
      <c r="D1391" t="inlineStr">
        <is>
          <t>vdh</t>
        </is>
      </c>
      <c r="E1391" t="inlineStr">
        <is>
          <t>pro14</t>
        </is>
      </c>
      <c r="F1391" t="inlineStr">
        <is>
          <t>prod</t>
        </is>
      </c>
    </row>
    <row r="1392">
      <c r="A1392" t="inlineStr">
        <is>
          <t>2025-05-09 09:50:45.125</t>
        </is>
      </c>
      <c r="B1392">
        <f>=请求结束== [请求耗时]:340毫秒, [返回数据]:{"code":"000000","msg":"Success","data":[{"knowledgeId":"1326868148286373888","knowledgeContent":[{"score":0.7313856025,"content":"：2025年春节/过年/大年初一是1月29日，农历正月初一，星期三。","fileId":"1326944717968060416","chunkId":"paragraph-1"},{"score":0.7181997225,"content":"：深圳数影科技的股价是多少？深圳数影科技有限公司没有上市，因此没有股价信息。 广西扬翔股份上市了吗？广西扬翔股份没有上市。","fileId":"1326944717968060416","chunkId":"paragraph-6"},{"score":0.7095541175,"content":"：小暑：•新历：7月7日•农历：六月十三•星期一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knowledgeId":"1272948056214077440","knowledgeContent":[{"score":0.74769111,"content":"问题：再见。\\n回复：拜拜，下次见。","fileId":"1303425377255075840","chunkId":"2756","textGroup":"再见"},{"score":0.7434420025,"content":"问题：晚安。\\n回复：晚安。","fileId":"1303425377255075840","chunkId":"2766","textGroup":"晚安"},{"score":0.7412274974999999,"content":"问题：不满。\\n回复：不满意的地方还请多多包涵。","fileId":"1303425377255075840","chunkId":"2671","textGroup":"不满"},{"score":0.7382074475,"content":"问题：你好。\\n回复：你好，有什么可以帮您。","fileId":"1303425377255075840","chunkId":"2699","textGroup":"你好"},{"score":0.73751474,"content":"问题：假期愉快。\\n回复：假期愉快，玩得开心哟！","fileId":"1303425377255075840","chunkId":"2755","textGroup":"假期愉快"},{"score":0.7371136675,"content":"问题：你有男朋友吗。\\n回复：小万目前还没有呢，只想一直为主人服务。","fileId":"1303425377255075840","chunkId":"2730","textGroup":"你有男朋友吗"},{"score":0.735488595,"content":"问题：你结婚了吗。\\n回复：小美目前未婚，只想一直陪着主人。","fileId":"1303425377255075840","chunkId":"2753","textGroup":"你结婚了吗"},{"score":0.7342258774999999,"content":"问题：早上好。\\n回复：早上好，美好的一天又开始了。","fileId":"1303425377255075840","chunkId":"2764","textGroup":"早上好"},{"score":0.7331299299999999,"content":"问题：你吃饭了吗。\\n回复：还在等待美食中，你想和我一起吃吗？","fileId":"1303425377255075840","chunkId":"2689","textGroup":"你吃饭了吗"},{"score":0.7330533875,"content":"问题：你有公众号吗。\\n回复：万得厨微信官方公众号为“万得厨的厨”，不定时为您推送最全使用指南及最美味的食品食谱，期待您的关注！","fileId":"1303425377255075840","chunkId":"2782","textGroup":"你有公众号吗"},{"score":0.7327674900000001,"content":"问题：你做的饭真难吃。\\n回复：感谢您的意见，我会努力提升厨艺","fileId":"1303425377255075840","chunkId":"2684","textGroup":"你做的饭真难吃"},{"score":0.7326085825,"content":"问题：可以和我聊聊天吗。\\n回复：你可以随时找我聊。","fileId":"1303425377255075840","chunkId":"2757","textGroup":"可以和我聊聊天吗"},{"score":0.7324513325,"content":"问题：你做的饭真好吃。\\n回复：您的喜欢是我最大的动力，我会不断进步的","fileId":"1303425377255075840","chunkId":"2683","textGroup":"你做的饭真好吃"}]},{"knowledgeId":"1329399948694220800","knowledgeContent":[{"score":0.7489720175,"content":"请帮我继续微波","fileId":"1347217269055369216","chunkId":"256","textGroup":"cooking_control {type=continue}"},{"score":0.7448630749999999,"content":"放个新闻","fileId":"1329400169758941184","chunkId":"53","textGroup":"news {type=top,size=3}"},{"score":0.74295984,"content":"开始做吧","fileId":"1347217269055369216","chunkId":"136","textGroup":"cooking_control {type=start}"},{"score":0.736020185,"content":"我想微波暂停","fileId":"1347217269055369216","chunkId":"195","textGroup":"cooking_control {type=pause}"},{"score":0.7345258,"content":"后天天气","fileId":"1329400169758941184","chunkId":"5","textGroup":"getCurrentWeather"}]}]}</f>
        <v/>
      </c>
      <c r="C1392" t="inlineStr">
        <is>
          <t>INFO</t>
        </is>
      </c>
      <c r="D1392" t="inlineStr">
        <is>
          <t>vdh</t>
        </is>
      </c>
      <c r="E1392" t="inlineStr">
        <is>
          <t>pro17</t>
        </is>
      </c>
      <c r="F1392" t="inlineStr">
        <is>
          <t>prod</t>
        </is>
      </c>
    </row>
    <row r="1393">
      <c r="A1393" t="inlineStr">
        <is>
          <t>2025-05-09 09:50:45.124</t>
        </is>
      </c>
      <c r="B1393" t="inlineStr">
        <is>
          <t>知识库插件检索耗时: 337ms</t>
        </is>
      </c>
      <c r="C1393" t="inlineStr">
        <is>
          <t>INFO</t>
        </is>
      </c>
      <c r="D1393" t="inlineStr">
        <is>
          <t>vdh</t>
        </is>
      </c>
      <c r="E1393" t="inlineStr">
        <is>
          <t>pro17</t>
        </is>
      </c>
      <c r="F1393" t="inlineStr">
        <is>
          <t>prod</t>
        </is>
      </c>
    </row>
    <row r="1394">
      <c r="A1394" t="inlineStr">
        <is>
          <t>2025-05-09 09:50:44.785</t>
        </is>
      </c>
      <c r="B1394">
        <f>=请求开始== [请求IP]:172.18.33.14 ,[请求方式]:POST， [请求URL]:https://172.30.103.196:8080/api/appservice/bfv/v1/knowledge/retrieval/plugin, [请求类名]:com.yingzi.appservice.bfv.provider.rest.KnowledgeRetrievalController,[请求方法名]:plugin, [请求头参数]:{"host":"172.30.103.196:8080"}, [请求参数]:[{"query":"下一个","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394" t="inlineStr">
        <is>
          <t>INFO</t>
        </is>
      </c>
      <c r="D1394" t="inlineStr">
        <is>
          <t>vdh</t>
        </is>
      </c>
      <c r="E1394" t="inlineStr">
        <is>
          <t>pro17</t>
        </is>
      </c>
      <c r="F1394" t="inlineStr">
        <is>
          <t>prod</t>
        </is>
      </c>
    </row>
    <row r="1395">
      <c r="A1395" t="inlineStr">
        <is>
          <t>2025-05-09 09:50:44.772</t>
        </is>
      </c>
      <c r="B1395">
        <f>=请求开始== [请求IP]:172.18.114.116 ,[请求方式]:POST， [请求URL]:https://172.30.212.148:8080/api/appservice/bfv/v1/chat/, [请求类名]:com.yingzi.appservice.bfv.provider.rest.ChatV1Controller,[请求方法名]:chat, [请求头参数]:{"host":"172.30.212.148:8080"}, [请求参数]:[{"stream":true,"message":"下一个","args":"{\"adcode\":\"440100\",\"channel_id\":\"9\"}"}]</f>
        <v/>
      </c>
      <c r="C1395" t="inlineStr">
        <is>
          <t>INFO</t>
        </is>
      </c>
      <c r="D1395" t="inlineStr">
        <is>
          <t>vdh</t>
        </is>
      </c>
      <c r="E1395" t="inlineStr">
        <is>
          <t>pro14</t>
        </is>
      </c>
      <c r="F1395" t="inlineStr">
        <is>
          <t>prod</t>
        </is>
      </c>
    </row>
    <row r="1396">
      <c r="A1396" t="inlineStr">
        <is>
          <t>2025-05-09 09:50:42.503</t>
        </is>
      </c>
      <c r="B1396">
        <f>=请求结束== [请求耗时]:16毫秒, [返回数据]:{"code":"000000","msg":"Success","traceId":"0972209c15e0a8fce565ef4645f3bcc4"}</f>
        <v/>
      </c>
      <c r="C1396" t="inlineStr">
        <is>
          <t>INFO</t>
        </is>
      </c>
      <c r="D1396" t="inlineStr">
        <is>
          <t>vdh</t>
        </is>
      </c>
      <c r="E1396" t="inlineStr">
        <is>
          <t>pro14</t>
        </is>
      </c>
      <c r="F1396" t="inlineStr">
        <is>
          <t>prod</t>
        </is>
      </c>
    </row>
    <row r="1397">
      <c r="A1397" t="inlineStr">
        <is>
          <t>2025-05-09 09:50:42.488</t>
        </is>
      </c>
      <c r="B1397">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Instruction_library","recordId":"","asrResult":"我要吃汉堡包","instructionAsrFirstTime":{"year":2025,"monthValue":5,"month":"MAY","dayOfMonth":9,"dayOfYear":129,"dayOfWeek":"FRIDAY","hour":9,"minute":50,"second":35,"nano":0,"chronology":{"id":"ISO","calendarType":"iso8601"}},"knowledgeId":"","knowledgeMasterId":"295","instructionType":"COOKING","instructionName":"选择食物","instructionFlag":"set_foodtype","parameter":"{\"answer\":\"DEFAULT\",\"code\":\"set_foodtype\",\"continue_answer\":\"\",\"continue_failed_answer\":\"\",\"entities\":\"\",\"failed_answer\":\"{\\\"answerId\\\":\\\"\\\",\\\"value\\\":\\\"抱歉，执行失败\\\",\\\"hidb\\\":\\\"\\\",\\\"aplusId\\\":\\\"\\\",\\\"flag\\\":true,\\\"updFlag\\\":false,\\\"cache\\\":false}\",\"hitBusiness\":\"295\",\"init_state\":\"false\",\"intent\":\"选择食物\",\"intentType\":\"COOKING\",\"isEnd\":\"true\",\"isMulti\":\"false\",\"service\":\"Instruction_library\",\"succeed_answer\":\"{\\\"answerId\\\":\\\"\\\",\\\"value\\\":\\\"好嘞，小万会按照主人吩咐的烹饪哒\\\",\\\"hidb\\\":\\\"\\\",\\\"aplusId\\\":\\\"\\\",\\\"flag\\\":true,\\\"updFlag\\\":false,\\\"cache\\\":false}\"}","ttsResultSource":"FTT","ttsResult":"","response":0}]]</f>
        <v/>
      </c>
      <c r="C1397" t="inlineStr">
        <is>
          <t>INFO</t>
        </is>
      </c>
      <c r="D1397" t="inlineStr">
        <is>
          <t>vdh</t>
        </is>
      </c>
      <c r="E1397" t="inlineStr">
        <is>
          <t>pro14</t>
        </is>
      </c>
      <c r="F1397" t="inlineStr">
        <is>
          <t>prod</t>
        </is>
      </c>
    </row>
    <row r="1398">
      <c r="A1398" t="inlineStr">
        <is>
          <t>2025-05-09 09:50:33.680</t>
        </is>
      </c>
      <c r="B1398">
        <f>=请求结束== [请求耗时]:11毫秒, [返回数据]:{"code":"000000","msg":"Success","traceId":"2028bf969b5e7d361dd0a82d2f079d10"}</f>
        <v/>
      </c>
      <c r="C1398" t="inlineStr">
        <is>
          <t>INFO</t>
        </is>
      </c>
      <c r="D1398" t="inlineStr">
        <is>
          <t>vdh</t>
        </is>
      </c>
      <c r="E1398" t="inlineStr">
        <is>
          <t>pro17</t>
        </is>
      </c>
      <c r="F1398" t="inlineStr">
        <is>
          <t>prod</t>
        </is>
      </c>
    </row>
    <row r="1399">
      <c r="A1399" t="inlineStr">
        <is>
          <t>2025-05-09 09:50:33.668</t>
        </is>
      </c>
      <c r="B1399">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查复兴号高铁","instructionAsrFirstTime":{"year":2025,"monthValue":5,"month":"MAY","dayOfMonth":9,"dayOfYear":129,"dayOfWeek":"FRIDAY","hour":9,"minute":50,"second":14,"nano":0,"chronology":{"id":"ISO","calendarType":"iso8601"}},"knowledgeId":"","knowledgeMasterId":"","instructionType":"","instructionName":"","instructionFlag":"","parameter":"{\"nlpId\":\"17300825629321642727spln\",\"service\":\"Chat_library\"}","ttsResultSource":"FTT","ttsResult":"复兴号是中国自主研发的标准动车组列车、具有完全知识产权、世界先进水平。它能够以时速三百五十公里运行、","ttsResultTime":{"year":2025,"monthValue":5,"month":"MAY","dayOfMonth":9,"dayOfYear":129,"dayOfWeek":"FRIDAY","hour":9,"minute":50,"second":22,"nano":0,"chronology":{"id":"ISO","calendarType":"iso8601"}},"response":4904}]]</f>
        <v/>
      </c>
      <c r="C1399" t="inlineStr">
        <is>
          <t>INFO</t>
        </is>
      </c>
      <c r="D1399" t="inlineStr">
        <is>
          <t>vdh</t>
        </is>
      </c>
      <c r="E1399" t="inlineStr">
        <is>
          <t>pro17</t>
        </is>
      </c>
      <c r="F1399" t="inlineStr">
        <is>
          <t>prod</t>
        </is>
      </c>
    </row>
    <row r="1400">
      <c r="A1400" t="inlineStr">
        <is>
          <t>2025-05-09 09:50:23.317</t>
        </is>
      </c>
      <c r="B1400">
        <f>=请求结束== [请求耗时]:5808毫秒</f>
        <v/>
      </c>
      <c r="C1400" t="inlineStr">
        <is>
          <t>INFO</t>
        </is>
      </c>
      <c r="D1400" t="inlineStr">
        <is>
          <t>vdh</t>
        </is>
      </c>
      <c r="E1400" t="inlineStr">
        <is>
          <t>pro14</t>
        </is>
      </c>
      <c r="F1400" t="inlineStr">
        <is>
          <t>prod</t>
        </is>
      </c>
    </row>
    <row r="1401">
      <c r="A1401" t="inlineStr">
        <is>
          <t>2025-05-09 09:50:23.316</t>
        </is>
      </c>
      <c r="B1401" t="inlineStr">
        <is>
          <t>第2次流式调用完成，耗时：4210ms，response: Response { content = AiMessage { text = "复兴号是中国自主研发的标准动车组列车、具有完全知识产权、达到世界先进水平。它能够以时速三百五十公里运行、是目前世界上商业运营速度最快的高铁之一。复兴号在安全性、舒适性、节能降耗等方面都有卓越表现、并且适应中国复杂的地理气候条件。如果想了解具体线路票价或最新技术进展、可以告诉我更详细需求哦。" toolExecutionRequests = null }, tokenUsage = TokenUsage { inputTokenCount = 628, outputTokenCount = 170, totalTokenCount = 798 }, finishReason = STOP }</t>
        </is>
      </c>
      <c r="C1401" t="inlineStr">
        <is>
          <t>INFO</t>
        </is>
      </c>
      <c r="D1401" t="inlineStr">
        <is>
          <t>vdh</t>
        </is>
      </c>
      <c r="E1401" t="inlineStr">
        <is>
          <t>pro14</t>
        </is>
      </c>
      <c r="F1401" t="inlineStr">
        <is>
          <t>prod</t>
        </is>
      </c>
    </row>
    <row r="1402">
      <c r="A1402" t="inlineStr">
        <is>
          <t>2025-05-09 09:50:19.591</t>
        </is>
      </c>
      <c r="B1402" t="inlineStr">
        <is>
          <t xml:space="preserve">第2次流式调用开始回复，耗时：485ms，第一个token: </t>
        </is>
      </c>
      <c r="C1402" t="inlineStr">
        <is>
          <t>INFO</t>
        </is>
      </c>
      <c r="D1402" t="inlineStr">
        <is>
          <t>vdh</t>
        </is>
      </c>
      <c r="E1402" t="inlineStr">
        <is>
          <t>pro14</t>
        </is>
      </c>
      <c r="F1402" t="inlineStr">
        <is>
          <t>prod</t>
        </is>
      </c>
    </row>
    <row r="1403">
      <c r="A1403" t="inlineStr">
        <is>
          <t>2025-05-09 09:50:19.107</t>
        </is>
      </c>
      <c r="B1403" t="inlineStr">
        <is>
          <t>streaming provider=qwen, model: qwen-plus</t>
        </is>
      </c>
      <c r="C1403" t="inlineStr">
        <is>
          <t>INFO</t>
        </is>
      </c>
      <c r="D1403" t="inlineStr">
        <is>
          <t>vdh</t>
        </is>
      </c>
      <c r="E1403" t="inlineStr">
        <is>
          <t>pro14</t>
        </is>
      </c>
      <c r="F1403" t="inlineStr">
        <is>
          <t>prod</t>
        </is>
      </c>
    </row>
    <row r="1404">
      <c r="A1404" t="inlineStr">
        <is>
          <t>2025-05-09 09:50:19.102</t>
        </is>
      </c>
      <c r="B1404" t="inlineStr">
        <is>
          <t>第1次流式调用完成，耗时：1147ms，response: Response { content = AiMessage { text = null toolExecutionRequests = [ToolExecutionRequest { id = "call_Nlhn4xzWP2UAU2pG1CNnUyOT", name = "search", arguments = "{"question":"复兴号高铁"}" }] }, tokenUsage = TokenUsage { inputTokenCount = 4710, outputTokenCount = 16, totalTokenCount = 4726 }, finishReason = TOOL_EXECUTION }</t>
        </is>
      </c>
      <c r="C1404" t="inlineStr">
        <is>
          <t>INFO</t>
        </is>
      </c>
      <c r="D1404" t="inlineStr">
        <is>
          <t>vdh</t>
        </is>
      </c>
      <c r="E1404" t="inlineStr">
        <is>
          <t>pro14</t>
        </is>
      </c>
      <c r="F1404" t="inlineStr">
        <is>
          <t>prod</t>
        </is>
      </c>
    </row>
    <row r="1405">
      <c r="A1405" t="inlineStr">
        <is>
          <t>2025-05-09 09:50:17.955</t>
        </is>
      </c>
      <c r="B1405" t="inlineStr">
        <is>
          <t>streaming provider=gpt, model: gpt-4o</t>
        </is>
      </c>
      <c r="C1405" t="inlineStr">
        <is>
          <t>INFO</t>
        </is>
      </c>
      <c r="D1405" t="inlineStr">
        <is>
          <t>vdh</t>
        </is>
      </c>
      <c r="E1405" t="inlineStr">
        <is>
          <t>pro14</t>
        </is>
      </c>
      <c r="F1405" t="inlineStr">
        <is>
          <t>prod</t>
        </is>
      </c>
    </row>
    <row r="1406">
      <c r="A1406" t="inlineStr">
        <is>
          <t>2025-05-09 09:50:17.949</t>
        </is>
      </c>
      <c r="B1406">
        <f>=请求结束== [请求耗时]:424毫秒, [返回数据]:{"code":"000000","msg":"Success","data":[{"knowledgeId":"1326868148286373888","knowledgeContent":[{"score":0.7103491225,"content":"：2025年春节/过年/大年初一是1月29日，农历正月初一，星期三。","fileId":"1326944717968060416","chunkId":"paragraph-1"},{"score":0.7039112224999999,"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国庆节、中秋节：10月1日至8日（周三至周三）放假，共8天。9月28日（周日）、10月11日（周六）上班。","fileId":"1326944717968060416","chunkId":"paragraph-2"},{"score":0.7021445825,"content":"：2025年放假调休日期的具体安排如下： 2025年元旦：1月1日，周三，放假1天，不调休。 2025年除夕/大年夜是1月28日，农历十二月二十九，星期二。","fileId":"1326944717968060416","chunkId":"paragraph-0"}]},{"knowledgeId":"1329399948694220800","knowledgeContent":[{"score":0.7251429049999999,"content":"请帮我继续微波","fileId":"1347217269055369216","chunkId":"256","textGroup":"cooking_control {type=continue}"},{"score":0.7211935075,"content":"停一下","fileId":"1347217269055369216","chunkId":"206","textGroup":"cooking_control {type=pause}"},{"score":0.7192991125,"content":"启动复热","fileId":"1347217269055369216","chunkId":"140","textGroup":"cooking_control {type=start}"},{"score":0.7180420475,"content":"腾讯的股票代码是多少","fileId":"1329400169758941184","chunkId":"89","textGroup":"ticker {name=腾讯控股}"},{"score":0.71793856,"content":"查询新闻","fileId":"1329400169758941184","chunkId":"57","textGroup":"news {type=top,size=3}"},{"score":0.7123679575,"content":"特斯拉今天涨了多少","fileId":"1329400169758941184","chunkId":"92","textGroup":"ticker {name=特斯拉}"}]},{"knowledgeId":"1272948056214077440","knowledgeContent":[{"score":0.7231267899999999,"content":"问题：你的身高是多少。\\n回复：我的身高是一米五。","fileId":"1303425377255075840","chunkId":"2750","textGroup":"你的身高是多少"},{"score":0.7212002224999999,"content":"问题：你什么时候在线。\\n回复：我二十四小时在线的。","fileId":"1303425377255075840","chunkId":"2676","textGroup":"你什么时候在线"},{"score":0.7187712625,"content":"问题：你好。\\n回复：你好，有什么可以帮您。","fileId":"1303425377255075840","chunkId":"2699","textGroup":"你好"},{"score":0.71705439,"content":"问题：可以和我聊聊天吗。\\n回复：你可以随时找我聊。","fileId":"1303425377255075840","chunkId":"2757","textGroup":"可以和我聊聊天吗"},{"score":0.716714135,"content":"问题：请问我应该去哪里查找你们的信息。\\n回复：您可以通过关注我们的微信公众号、抖音“万得厨的厨”，了解更多关于烹饪技巧和美食分享的内容。","fileId":"1303425377255075840","chunkId":"733","textGroup":"可以从哪了解你们"},{"score":0.71659777,"content":"问题：假期愉快。\\n回复：假期愉快，玩得开心哟！","fileId":"1303425377255075840","chunkId":"2755","textGroup":"假期愉快"},{"score":0.716441455,"content":"问题：晚安。\\n回复：晚安。","fileId":"1303425377255075840","chunkId":"2766","textGroup":"晚安"},{"score":0.7154323349999999,"content":"问题：再见。\\n回复：拜拜，下次见。","fileId":"1303425377255075840","chunkId":"2756","textGroup":"再见"},{"score":0.7145652925,"content":"问题：万得出可以空载运行吗。\\n回复：微波炉是严禁空载使用的哦，会损坏微波炉的","fileId":"1303425377255075840","chunkId":"1919","textGroup":"微波炉可以空载运行吗"},{"score":0.714168725,"content":"问题：你在干嘛呢。\\n回复：我随时等待您的呼叫。","fileId":"1303425377255075840","chunkId":"2698","textGroup":"你在干嘛呢"},{"score":0.713668585,"content":"问题：好久不见。\\n回复：好久没聊了，我好想念你","fileId":"1303425377255075840","chunkId":"2759","textGroup":"好久不见"},{"score":0.7134009625000001,"content":"问题：万能除有微信公众号吗。\\n回复：万得厨微信官方公众号为“万得厨的厨”，不定时为您推送最全使用指南及最美味的食品食谱，期待您的关注！","fileId":"1303425377255075840","chunkId":"530","textGroup":"你有公众号吗"}]}]}</f>
        <v/>
      </c>
      <c r="C1406" t="inlineStr">
        <is>
          <t>INFO</t>
        </is>
      </c>
      <c r="D1406" t="inlineStr">
        <is>
          <t>vdh</t>
        </is>
      </c>
      <c r="E1406" t="inlineStr">
        <is>
          <t>pro17</t>
        </is>
      </c>
      <c r="F1406" t="inlineStr">
        <is>
          <t>prod</t>
        </is>
      </c>
    </row>
    <row r="1407">
      <c r="A1407" t="inlineStr">
        <is>
          <t>2025-05-09 09:50:17.948</t>
        </is>
      </c>
      <c r="B1407" t="inlineStr">
        <is>
          <t>知识库插件检索耗时: 422ms</t>
        </is>
      </c>
      <c r="C1407" t="inlineStr">
        <is>
          <t>INFO</t>
        </is>
      </c>
      <c r="D1407" t="inlineStr">
        <is>
          <t>vdh</t>
        </is>
      </c>
      <c r="E1407" t="inlineStr">
        <is>
          <t>pro17</t>
        </is>
      </c>
      <c r="F1407" t="inlineStr">
        <is>
          <t>prod</t>
        </is>
      </c>
    </row>
    <row r="1408">
      <c r="A1408" t="inlineStr">
        <is>
          <t>2025-05-09 09:50:17.525</t>
        </is>
      </c>
      <c r="B1408">
        <f>=请求开始== [请求IP]:172.18.33.14 ,[请求方式]:POST， [请求URL]:https://172.30.103.196:8080/api/appservice/bfv/v1/knowledge/retrieval/plugin, [请求类名]:com.yingzi.appservice.bfv.provider.rest.KnowledgeRetrievalController,[请求方法名]:plugin, [请求头参数]:{"host":"172.30.103.196:8080"}, [请求参数]:[{"query":"查复兴号高铁","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408" t="inlineStr">
        <is>
          <t>INFO</t>
        </is>
      </c>
      <c r="D1408" t="inlineStr">
        <is>
          <t>vdh</t>
        </is>
      </c>
      <c r="E1408" t="inlineStr">
        <is>
          <t>pro17</t>
        </is>
      </c>
      <c r="F1408" t="inlineStr">
        <is>
          <t>prod</t>
        </is>
      </c>
    </row>
    <row r="1409">
      <c r="A1409" t="inlineStr">
        <is>
          <t>2025-05-09 09:50:17.509</t>
        </is>
      </c>
      <c r="B1409">
        <f>=请求开始== [请求IP]:172.18.114.116 ,[请求方式]:POST， [请求URL]:https://172.30.212.148:8080/api/appservice/bfv/v1/chat/, [请求类名]:com.yingzi.appservice.bfv.provider.rest.ChatV1Controller,[请求方法名]:chat, [请求头参数]:{"host":"172.30.212.148:8080"}, [请求参数]:[{"stream":true,"message":"查复兴号高铁","args":"{\"adcode\":\"440100\",\"channel_id\":\"9\"}"}]</f>
        <v/>
      </c>
      <c r="C1409" t="inlineStr">
        <is>
          <t>INFO</t>
        </is>
      </c>
      <c r="D1409" t="inlineStr">
        <is>
          <t>vdh</t>
        </is>
      </c>
      <c r="E1409" t="inlineStr">
        <is>
          <t>pro14</t>
        </is>
      </c>
      <c r="F1409" t="inlineStr">
        <is>
          <t>prod</t>
        </is>
      </c>
    </row>
    <row r="1410">
      <c r="A1410" t="inlineStr">
        <is>
          <t>2025-05-09 09:50:12.813</t>
        </is>
      </c>
      <c r="B1410">
        <f>=请求结束== [请求耗时]:13毫秒, [返回数据]:{"code":"000000","msg":"Success","traceId":"a236bae0da29184ea7de12f551199985"}</f>
        <v/>
      </c>
      <c r="C1410" t="inlineStr">
        <is>
          <t>INFO</t>
        </is>
      </c>
      <c r="D1410" t="inlineStr">
        <is>
          <t>vdh</t>
        </is>
      </c>
      <c r="E1410" t="inlineStr">
        <is>
          <t>pro14</t>
        </is>
      </c>
      <c r="F1410" t="inlineStr">
        <is>
          <t>prod</t>
        </is>
      </c>
    </row>
    <row r="1411">
      <c r="A1411" t="inlineStr">
        <is>
          <t>2025-05-09 09:50:12.800</t>
        </is>
      </c>
      <c r="B1411">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411" t="inlineStr">
        <is>
          <t>INFO</t>
        </is>
      </c>
      <c r="D1411" t="inlineStr">
        <is>
          <t>vdh</t>
        </is>
      </c>
      <c r="E1411" t="inlineStr">
        <is>
          <t>pro14</t>
        </is>
      </c>
      <c r="F1411" t="inlineStr">
        <is>
          <t>prod</t>
        </is>
      </c>
    </row>
    <row r="1412">
      <c r="A1412" t="inlineStr">
        <is>
          <t>2025-05-09 09:50:01.962</t>
        </is>
      </c>
      <c r="B1412">
        <f>=请求结束== [请求耗时]:13毫秒, [返回数据]:{"code":"000000","msg":"Success","traceId":"66665fffa01f5532ca6c6937e2508614"}</f>
        <v/>
      </c>
      <c r="C1412" t="inlineStr">
        <is>
          <t>INFO</t>
        </is>
      </c>
      <c r="D1412" t="inlineStr">
        <is>
          <t>vdh</t>
        </is>
      </c>
      <c r="E1412" t="inlineStr">
        <is>
          <t>pro17</t>
        </is>
      </c>
      <c r="F1412" t="inlineStr">
        <is>
          <t>prod</t>
        </is>
      </c>
    </row>
    <row r="1413">
      <c r="A1413" t="inlineStr">
        <is>
          <t>2025-05-09 09:50:01.949</t>
        </is>
      </c>
      <c r="B1413">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413" t="inlineStr">
        <is>
          <t>INFO</t>
        </is>
      </c>
      <c r="D1413" t="inlineStr">
        <is>
          <t>vdh</t>
        </is>
      </c>
      <c r="E1413" t="inlineStr">
        <is>
          <t>pro17</t>
        </is>
      </c>
      <c r="F1413" t="inlineStr">
        <is>
          <t>prod</t>
        </is>
      </c>
    </row>
    <row r="1414">
      <c r="A1414" t="inlineStr">
        <is>
          <t>2025-05-09 09:50:01.877</t>
        </is>
      </c>
      <c r="B1414">
        <f>=请求结束== [请求耗时]:27毫秒, [返回数据]:{"code":"000000","msg":"Success","traceId":"ca0db885838a417f0d021e5f493f197d"}</f>
        <v/>
      </c>
      <c r="C1414" t="inlineStr">
        <is>
          <t>INFO</t>
        </is>
      </c>
      <c r="D1414" t="inlineStr">
        <is>
          <t>vdh</t>
        </is>
      </c>
      <c r="E1414" t="inlineStr">
        <is>
          <t>pro14</t>
        </is>
      </c>
      <c r="F1414" t="inlineStr">
        <is>
          <t>prod</t>
        </is>
      </c>
    </row>
    <row r="1415">
      <c r="A1415" t="inlineStr">
        <is>
          <t>2025-05-09 09:50:01.851</t>
        </is>
      </c>
      <c r="B1415">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打开","instructionAsrFirstTime":{"year":2025,"monthValue":5,"month":"MAY","dayOfMonth":9,"dayOfYear":129,"dayOfWeek":"FRIDAY","hour":9,"minute":49,"second":53,"nano":0,"chronology":{"id":"ISO","calendarType":"iso8601"}},"knowledgeId":"","knowledgeMasterId":"","instructionType":"","instructionName":"","instructionFlag":"","parameter":"{\"nlpId\":\"17300825629321642727spln\",\"service\":\"Chat_library\"}","ttsResultSource":"FTT","ttsResult":"请您手动打开微波炉的炉门。","ttsResultTime":{"year":2025,"monthValue":5,"month":"MAY","dayOfMonth":9,"dayOfYear":129,"dayOfWeek":"FRIDAY","hour":9,"minute":49,"second":57,"nano":0,"chronology":{"id":"ISO","calendarType":"iso8601"}},"response":3355}]]</f>
        <v/>
      </c>
      <c r="C1415" t="inlineStr">
        <is>
          <t>INFO</t>
        </is>
      </c>
      <c r="D1415" t="inlineStr">
        <is>
          <t>vdh</t>
        </is>
      </c>
      <c r="E1415" t="inlineStr">
        <is>
          <t>pro14</t>
        </is>
      </c>
      <c r="F1415" t="inlineStr">
        <is>
          <t>prod</t>
        </is>
      </c>
    </row>
    <row r="1416">
      <c r="A1416" t="inlineStr">
        <is>
          <t>2025-05-09 09:49:57.047</t>
        </is>
      </c>
      <c r="B1416">
        <f>=请求结束== [请求耗时]:2335毫秒</f>
        <v/>
      </c>
      <c r="C1416" t="inlineStr">
        <is>
          <t>INFO</t>
        </is>
      </c>
      <c r="D1416" t="inlineStr">
        <is>
          <t>vdh</t>
        </is>
      </c>
      <c r="E1416" t="inlineStr">
        <is>
          <t>pro14</t>
        </is>
      </c>
      <c r="F1416" t="inlineStr">
        <is>
          <t>prod</t>
        </is>
      </c>
    </row>
    <row r="1417">
      <c r="A1417" t="inlineStr">
        <is>
          <t>2025-05-09 09:49:57.047</t>
        </is>
      </c>
      <c r="B1417" t="inlineStr">
        <is>
          <t>第1次流式调用完成，耗时：1973ms，response: Response { content = AiMessage { text = "请您手动打开微波炉的炉门。" toolExecutionRequests = null }, tokenUsage = TokenUsage { inputTokenCount = 4643, outputTokenCount = 18, totalTokenCount = 4661 }, finishReason = STOP }</t>
        </is>
      </c>
      <c r="C1417" t="inlineStr">
        <is>
          <t>INFO</t>
        </is>
      </c>
      <c r="D1417" t="inlineStr">
        <is>
          <t>vdh</t>
        </is>
      </c>
      <c r="E1417" t="inlineStr">
        <is>
          <t>pro14</t>
        </is>
      </c>
      <c r="F1417" t="inlineStr">
        <is>
          <t>prod</t>
        </is>
      </c>
    </row>
    <row r="1418">
      <c r="A1418" t="inlineStr">
        <is>
          <t>2025-05-09 09:49:56.904</t>
        </is>
      </c>
      <c r="B1418" t="inlineStr">
        <is>
          <t xml:space="preserve">第1次流式调用开始回复，耗时：1830ms，第一个token: </t>
        </is>
      </c>
      <c r="C1418" t="inlineStr">
        <is>
          <t>INFO</t>
        </is>
      </c>
      <c r="D1418" t="inlineStr">
        <is>
          <t>vdh</t>
        </is>
      </c>
      <c r="E1418" t="inlineStr">
        <is>
          <t>pro14</t>
        </is>
      </c>
      <c r="F1418" t="inlineStr">
        <is>
          <t>prod</t>
        </is>
      </c>
    </row>
    <row r="1419">
      <c r="A1419" t="inlineStr">
        <is>
          <t>2025-05-09 09:49:55.074</t>
        </is>
      </c>
      <c r="B1419" t="inlineStr">
        <is>
          <t>streaming provider=gpt, model: gpt-4o</t>
        </is>
      </c>
      <c r="C1419" t="inlineStr">
        <is>
          <t>INFO</t>
        </is>
      </c>
      <c r="D1419" t="inlineStr">
        <is>
          <t>vdh</t>
        </is>
      </c>
      <c r="E1419" t="inlineStr">
        <is>
          <t>pro14</t>
        </is>
      </c>
      <c r="F1419" t="inlineStr">
        <is>
          <t>prod</t>
        </is>
      </c>
    </row>
    <row r="1420">
      <c r="A1420" t="inlineStr">
        <is>
          <t>2025-05-09 09:49:55.067</t>
        </is>
      </c>
      <c r="B1420">
        <f>=请求结束== [请求耗时]:344毫秒, [返回数据]:{"code":"000000","msg":"Success","data":[{"knowledgeId":"1326868148286373888","knowledgeContent":[{"score":0.7359280025,"content":"：2025年春节/过年/大年初一是1月29日，农历正月初一，星期三。","fileId":"1326944717968060416","chunkId":"paragraph-1"},{"score":0.7249376299999999,"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冬至：•新历：12月21日•农历：十一月初二•星期日","fileId":"1326944717968060416","chunkId":"paragraph-4"},{"score":0.715804125,"content":"：2025年元宵节是2月12日，农历正月十五，星期三。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1329399948694220800","knowledgeContent":[{"score":0.774799905,"content":"启动","fileId":"1347217269055369216","chunkId":"121","textGroup":"cooking_control {type=start}"}]},{"knowledgeId":"1272948056214077440","knowledgeContent":[{"score":0.7440653925,"content":"问题：晚安。\\n回复：晚安。","fileId":"1303425377255075840","chunkId":"2766","textGroup":"晚安"},{"score":0.74355195,"content":"问题：你好。\\n回复：你好，有什么可以帮您。","fileId":"1303425377255075840","chunkId":"2699","textGroup":"你好"},{"score":0.7433498199999999,"content":"问题：早上好。\\n回复：早上好，美好的一天又开始了。","fileId":"1303425377255075840","chunkId":"2764","textGroup":"早上好"},{"score":0.74307068,"content":"问题：你有公众号吗。\\n回复：万得厨微信官方公众号为“万得厨的厨”，不定时为您推送最全使用指南及最美味的食品食谱，期待您的关注！","fileId":"1303425377255075840","chunkId":"2782","textGroup":"你有公众号吗"},{"score":0.7421810274999999,"content":"问题：没有放食物可以开启万得出吗。\\n回复：微波炉是严禁空载使用的哦，会损坏微波炉的","fileId":"1303425377255075840","chunkId":"1941","textGroup":"微波炉可以空载运行吗"},{"score":0.7418459574999999,"content":"问题：可以从哪了解你们。\\n回复：您可以通过关注我们的微信公众号、抖音“万得厨的厨”，了解更多关于烹饪技巧和美食分享的内容。","fileId":"1303425377255075840","chunkId":"2794","textGroup":"可以从哪了解你们"},{"score":0.7400432775,"content":"问题：假期愉快。\\n回复：假期愉快，玩得开心哟！","fileId":"1303425377255075840","chunkId":"2755","textGroup":"假期愉快"}]}]}</f>
        <v/>
      </c>
      <c r="C1420" t="inlineStr">
        <is>
          <t>INFO</t>
        </is>
      </c>
      <c r="D1420" t="inlineStr">
        <is>
          <t>vdh</t>
        </is>
      </c>
      <c r="E1420" t="inlineStr">
        <is>
          <t>pro17</t>
        </is>
      </c>
      <c r="F1420" t="inlineStr">
        <is>
          <t>prod</t>
        </is>
      </c>
    </row>
    <row r="1421">
      <c r="A1421" t="inlineStr">
        <is>
          <t>2025-05-09 09:49:55.066</t>
        </is>
      </c>
      <c r="B1421" t="inlineStr">
        <is>
          <t>知识库插件检索耗时: 342ms</t>
        </is>
      </c>
      <c r="C1421" t="inlineStr">
        <is>
          <t>INFO</t>
        </is>
      </c>
      <c r="D1421" t="inlineStr">
        <is>
          <t>vdh</t>
        </is>
      </c>
      <c r="E1421" t="inlineStr">
        <is>
          <t>pro17</t>
        </is>
      </c>
      <c r="F1421" t="inlineStr">
        <is>
          <t>prod</t>
        </is>
      </c>
    </row>
    <row r="1422">
      <c r="A1422" t="inlineStr">
        <is>
          <t>2025-05-09 09:49:54.723</t>
        </is>
      </c>
      <c r="B1422">
        <f>=请求开始== [请求IP]:172.18.33.14 ,[请求方式]:POST， [请求URL]:https://172.30.103.196:8080/api/appservice/bfv/v1/knowledge/retrieval/plugin, [请求类名]:com.yingzi.appservice.bfv.provider.rest.KnowledgeRetrievalController,[请求方法名]:plugin, [请求头参数]:{"host":"172.30.103.196:8080"}, [请求参数]:[{"query":"打开","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422" t="inlineStr">
        <is>
          <t>INFO</t>
        </is>
      </c>
      <c r="D1422" t="inlineStr">
        <is>
          <t>vdh</t>
        </is>
      </c>
      <c r="E1422" t="inlineStr">
        <is>
          <t>pro17</t>
        </is>
      </c>
      <c r="F1422" t="inlineStr">
        <is>
          <t>prod</t>
        </is>
      </c>
    </row>
    <row r="1423">
      <c r="A1423" t="inlineStr">
        <is>
          <t>2025-05-09 09:49:54.712</t>
        </is>
      </c>
      <c r="B1423">
        <f>=请求开始== [请求IP]:172.18.114.116 ,[请求方式]:POST， [请求URL]:https://172.30.212.148:8080/api/appservice/bfv/v1/chat/, [请求类名]:com.yingzi.appservice.bfv.provider.rest.ChatV1Controller,[请求方法名]:chat, [请求头参数]:{"host":"172.30.212.148:8080"}, [请求参数]:[{"stream":true,"message":"打开","args":"{\"adcode\":\"440100\",\"channel_id\":\"9\"}"}]</f>
        <v/>
      </c>
      <c r="C1423" t="inlineStr">
        <is>
          <t>INFO</t>
        </is>
      </c>
      <c r="D1423" t="inlineStr">
        <is>
          <t>vdh</t>
        </is>
      </c>
      <c r="E1423" t="inlineStr">
        <is>
          <t>pro14</t>
        </is>
      </c>
      <c r="F1423" t="inlineStr">
        <is>
          <t>prod</t>
        </is>
      </c>
    </row>
    <row r="1424">
      <c r="A1424" t="inlineStr">
        <is>
          <t>2025-05-09 09:49:51.694</t>
        </is>
      </c>
      <c r="B1424">
        <f>=请求结束== [请求耗时]:16毫秒, [返回数据]:{"code":"000000","msg":"Success","traceId":"45ee21cb81eea0d1563c067524a6cc31"}</f>
        <v/>
      </c>
      <c r="C1424" t="inlineStr">
        <is>
          <t>INFO</t>
        </is>
      </c>
      <c r="D1424" t="inlineStr">
        <is>
          <t>vdh</t>
        </is>
      </c>
      <c r="E1424" t="inlineStr">
        <is>
          <t>pro17</t>
        </is>
      </c>
      <c r="F1424" t="inlineStr">
        <is>
          <t>prod</t>
        </is>
      </c>
    </row>
    <row r="1425">
      <c r="A1425" t="inlineStr">
        <is>
          <t>2025-05-09 09:49:51.679</t>
        </is>
      </c>
      <c r="B1425">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不是小雨是大雨","instructionAsrFirstTime":{"year":2025,"monthValue":5,"month":"MAY","dayOfMonth":9,"dayOfYear":129,"dayOfWeek":"FRIDAY","hour":9,"minute":49,"second":25,"nano":0,"chronology":{"id":"ISO","calendarType":"iso8601"}},"knowledgeId":"","knowledgeMasterId":"","instructionType":"","instructionName":"","instructionFlag":"","parameter":"{\"nlpId\":\"17300825629321642727spln\",\"service\":\"Chat_library\"}","ttsResultSource":"FTT","ttsResult":"深圳市今天的天气是雷阵雨,气温在30度左右,夜间气温降到24度,预计明天将有中雨,白天气温降至25度,夜间多云。请注意出行安全！","ttsResultTime":{"year":2025,"monthValue":5,"month":"MAY","dayOfMonth":9,"dayOfYear":129,"dayOfWeek":"FRIDAY","hour":9,"minute":49,"second":33,"nano":0,"chronology":{"id":"ISO","calendarType":"iso8601"}},"response":4398}]]</f>
        <v/>
      </c>
      <c r="C1425" t="inlineStr">
        <is>
          <t>INFO</t>
        </is>
      </c>
      <c r="D1425" t="inlineStr">
        <is>
          <t>vdh</t>
        </is>
      </c>
      <c r="E1425" t="inlineStr">
        <is>
          <t>pro17</t>
        </is>
      </c>
      <c r="F1425" t="inlineStr">
        <is>
          <t>prod</t>
        </is>
      </c>
    </row>
    <row r="1426">
      <c r="A1426" t="inlineStr">
        <is>
          <t>2025-05-09 09:49:32.655</t>
        </is>
      </c>
      <c r="B1426">
        <f>=请求结束== [请求耗时]:3312毫秒</f>
        <v/>
      </c>
      <c r="C1426" t="inlineStr">
        <is>
          <t>INFO</t>
        </is>
      </c>
      <c r="D1426" t="inlineStr">
        <is>
          <t>vdh</t>
        </is>
      </c>
      <c r="E1426" t="inlineStr">
        <is>
          <t>pro14</t>
        </is>
      </c>
      <c r="F1426" t="inlineStr">
        <is>
          <t>prod</t>
        </is>
      </c>
    </row>
    <row r="1427">
      <c r="A1427" t="inlineStr">
        <is>
          <t>2025-05-09 09:49:32.654</t>
        </is>
      </c>
      <c r="B1427" t="inlineStr">
        <is>
          <t>第2次流式调用完成，耗时：1599ms，response: Response { content = AiMessage { text = "深圳市今天的天气是雷阵雨，气温在30度左右，夜间气温降到24度，预计明天将有中雨，白天气温降至25度，夜间多云。请注意出行安全！" toolExecutionRequests = null }, tokenUsage = TokenUsage { inputTokenCount = 5149, outputTokenCount = 78, totalTokenCount = 5227 }, finishReason = STOP }</t>
        </is>
      </c>
      <c r="C1427" t="inlineStr">
        <is>
          <t>INFO</t>
        </is>
      </c>
      <c r="D1427" t="inlineStr">
        <is>
          <t>vdh</t>
        </is>
      </c>
      <c r="E1427" t="inlineStr">
        <is>
          <t>pro14</t>
        </is>
      </c>
      <c r="F1427" t="inlineStr">
        <is>
          <t>prod</t>
        </is>
      </c>
    </row>
    <row r="1428">
      <c r="A1428" t="inlineStr">
        <is>
          <t>2025-05-09 09:49:31.823</t>
        </is>
      </c>
      <c r="B1428" t="inlineStr">
        <is>
          <t xml:space="preserve">第2次流式调用开始回复，耗时：768ms，第一个token: </t>
        </is>
      </c>
      <c r="C1428" t="inlineStr">
        <is>
          <t>INFO</t>
        </is>
      </c>
      <c r="D1428" t="inlineStr">
        <is>
          <t>vdh</t>
        </is>
      </c>
      <c r="E1428" t="inlineStr">
        <is>
          <t>pro14</t>
        </is>
      </c>
      <c r="F1428" t="inlineStr">
        <is>
          <t>prod</t>
        </is>
      </c>
    </row>
    <row r="1429">
      <c r="A1429" t="inlineStr">
        <is>
          <t>2025-05-09 09:49:31.055</t>
        </is>
      </c>
      <c r="B1429" t="inlineStr">
        <is>
          <t>streaming provider=gpt, model: gpt-4o-mini</t>
        </is>
      </c>
      <c r="C1429" t="inlineStr">
        <is>
          <t>INFO</t>
        </is>
      </c>
      <c r="D1429" t="inlineStr">
        <is>
          <t>vdh</t>
        </is>
      </c>
      <c r="E1429" t="inlineStr">
        <is>
          <t>pro14</t>
        </is>
      </c>
      <c r="F1429" t="inlineStr">
        <is>
          <t>prod</t>
        </is>
      </c>
    </row>
    <row r="1430">
      <c r="A1430" t="inlineStr">
        <is>
          <t>2025-05-09 09:49:31.054</t>
        </is>
      </c>
      <c r="B1430" t="inlineStr">
        <is>
          <t>执行天气工具，耗时: 184ms</t>
        </is>
      </c>
      <c r="C1430" t="inlineStr">
        <is>
          <t>INFO</t>
        </is>
      </c>
      <c r="D1430" t="inlineStr">
        <is>
          <t>vdh</t>
        </is>
      </c>
      <c r="E1430" t="inlineStr">
        <is>
          <t>pro14</t>
        </is>
      </c>
      <c r="F1430" t="inlineStr">
        <is>
          <t>prod</t>
        </is>
      </c>
    </row>
    <row r="1431">
      <c r="A1431" t="inlineStr">
        <is>
          <t>2025-05-09 09:49:30.869</t>
        </is>
      </c>
      <c r="B1431" t="inlineStr">
        <is>
          <t>第1次流式调用完成，耗时：1129ms，response: Response { content = AiMessage { text = null toolExecutionRequests = [ToolExecutionRequest { id = "call_SkNpgnrWf8tERRaHmeZYy2wK", name = "getCurrentWeather", arguments = "{"province":"广东省","city":"深圳市"}" }] }, tokenUsage = TokenUsage { inputTokenCount = 5183, outputTokenCount = 21, totalTokenCount = 5204 }, finishReason = TOOL_EXECUTION }</t>
        </is>
      </c>
      <c r="C1431" t="inlineStr">
        <is>
          <t>INFO</t>
        </is>
      </c>
      <c r="D1431" t="inlineStr">
        <is>
          <t>vdh</t>
        </is>
      </c>
      <c r="E1431" t="inlineStr">
        <is>
          <t>pro14</t>
        </is>
      </c>
      <c r="F1431" t="inlineStr">
        <is>
          <t>prod</t>
        </is>
      </c>
    </row>
    <row r="1432">
      <c r="A1432" t="inlineStr">
        <is>
          <t>2025-05-09 09:49:29.740</t>
        </is>
      </c>
      <c r="B1432" t="inlineStr">
        <is>
          <t>streaming provider=gpt, model: gpt-4o</t>
        </is>
      </c>
      <c r="C1432" t="inlineStr">
        <is>
          <t>INFO</t>
        </is>
      </c>
      <c r="D1432" t="inlineStr">
        <is>
          <t>vdh</t>
        </is>
      </c>
      <c r="E1432" t="inlineStr">
        <is>
          <t>pro14</t>
        </is>
      </c>
      <c r="F1432" t="inlineStr">
        <is>
          <t>prod</t>
        </is>
      </c>
    </row>
    <row r="1433">
      <c r="A1433" t="inlineStr">
        <is>
          <t>2025-05-09 09:49:29.735</t>
        </is>
      </c>
      <c r="B1433">
        <f>=请求结束== [请求耗时]:382毫秒, [返回数据]:{"code":"000000","msg":"Success","data":[{"knowledgeId":"1326868148286373888","knowledgeContent":[{"score":0.7405849824999999,"content":"：小暑：•新历：7月7日•农历：六月十三•星期一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0.7313057025,"content":"：2025年春节/过年/大年初一是1月29日，农历正月初一，星期三。","fileId":"1326944717968060416","chunkId":"paragraph-1"},{"score":0.7117466925,"content":"：以下是2025年二十四节气的新历（公历）和农历日期以及对应的星期信息。这里主要列出日期及星期： 1. 小寒：•新历：1月5日•农历：腊月初六•星期天 2. 大寒：•新历：1月20日•农历：腊月二十一•星期一 3. 立春：•新历：2月3日•农历：正月初六•星期一 4. 雨水：•新历：2月18日•农历：正月廿一•星期二 5. 惊蛰：•新历：3月5日•农历：二月初六•星期三 6. 春分：•新历：3月20日•农历：二月廿一•星期四 7. 清明：•新历：4月4日•农历：三月初七•星期五 8. 谷雨：•新历：4月20日•农历：三月廿三•星期日 9. 立夏：•新历：5月5日•农历：四月初八•星期一 10. 小满：•新历：5月21日•农历：四月廿四•星期三 11. 芒种：•新历：6月5日•农历：五月初十•星期四 12. 夏至：•新历：6月21日•农历：五月二十六•星期六","fileId":"1326944717968060416","chunkId":"paragraph-3"}]},{"knowledgeId":"1329399948694220800","knowledgeContent":[{"score":0.79917425,"content":"明天下雨吗","fileId":"1329400169758941184","chunkId":"25","textGroup":"getCurrentWeather"},{"score":0.751726145,"content":"深圳明天天气","fileId":"1329400169758941184","chunkId":"42","textGroup":"getCurrentWeather {province=广东省,city=深圳市}"},{"score":0.7516433975,"content":"北京今天天气","fileId":"1329400169758941184","chunkId":"49","textGroup":"getCurrentWeather {province=北京市}"},{"score":0.749628685,"content":"港南区今天天气","fileId":"1329400169758941184","chunkId":"32","textGroup":"getCurrentWeather {province=广西壮族自治区,city=贵港市,district=港南区}"}]},{"knowledgeId":"1272948056214077440","knowledgeContent":[{"score":0.73759736,"content":"问题：你喜欢的季节是。\\n回复：我喜欢夏天，可以沐浴阳光和沙滩。","fileId":"1303425377255075840","chunkId":"2694","textGroup":"你喜欢的季节是"},{"score":0.73386297,"content":"问题：元宵节放假吗。\\n回复：元宵节不放假。","fileId":"1326953484684320768","chunkId":"6","textGroup":"元宵节放假"},{"score":0.7324321224999999,"content":"问题：不满。\\n回复：不满意的地方还请多多包涵。","fileId":"1303425377255075840","chunkId":"2671","textGroup":"不满"},{"score":0.7322118449999999,"content":"问题：早上好。\\n回复：早上好，美好的一天又开始了。","fileId":"1303425377255075840","chunkId":"2764","textGroup":"早上好"},{"score":0.7317922,"content":"问题：晚安。\\n回复：晚安。","fileId":"1303425377255075840","chunkId":"2766","textGroup":"晚安"},{"score":0.73141752,"content":"问题：你很智障。\\n回复：要注意文明哦。","fileId":"1303425377255075840","chunkId":"2703","textGroup":"你很智障"},{"score":0.7303999,"content":"问题：你什么时候在线。\\n回复：我二十四小时在线的。","fileId":"1303425377255075840","chunkId":"2676","textGroup":"你什么时候在线"},{"score":0.72925087,"content":"问题：好久不见。\\n回复：好久没聊了，我好想念你","fileId":"1303425377255075840","chunkId":"2759","textGroup":"好久不见"},{"score":0.728675335,"content":"问题：假期愉快。\\n回复：假期愉快，玩得开心哟！","fileId":"1303425377255075840","chunkId":"2755","textGroup":"假期愉快"},{"score":0.7278693225,"content":"问题：我好饿。\\n回复：你想吃点什么呢？小万随时为您效劳","fileId":"1303425377255075840","chunkId":"2762","textGroup":"我好饿"},{"score":0.725734845,"content":"问题：我是谁。\\n回复：你就是我的主人呀","fileId":"1303425377255075840","chunkId":"2763","textGroup":"我是谁"},{"score":0.7251946699999999,"content":"问题：在吗。\\n回复：主人你在哪里我就在哪里。","fileId":"1303425377255075840","chunkId":"2758","textGroup":"在吗"},{"score":0.724631375,"content":"问题：你在什么地方。\\n回复：您在哪里我就在哪里。","fileId":"1303425377255075840","chunkId":"2697","textGroup":"你在什么地方"},{"score":0.72462942,"content":"问题：你的妈妈是。\\n回复：我妈妈的名字叫做影子科技","fileId":"1303425377255075840","chunkId":"2738","textGroup":"你的妈妈是"},{"score":0.15174168000000002,"content":"问题：微波是能量还是热量。\\n回复：微波是一种能量，而不是热量形式，但在介质中可以转化为热量。","fileId":"1303425377255075840","chunkId":"1471","textGroup":"微波含有热量吗"}]}]}</f>
        <v/>
      </c>
      <c r="C1433" t="inlineStr">
        <is>
          <t>INFO</t>
        </is>
      </c>
      <c r="D1433" t="inlineStr">
        <is>
          <t>vdh</t>
        </is>
      </c>
      <c r="E1433" t="inlineStr">
        <is>
          <t>pro17</t>
        </is>
      </c>
      <c r="F1433" t="inlineStr">
        <is>
          <t>prod</t>
        </is>
      </c>
    </row>
    <row r="1434">
      <c r="A1434" t="inlineStr">
        <is>
          <t>2025-05-09 09:49:29.734</t>
        </is>
      </c>
      <c r="B1434" t="inlineStr">
        <is>
          <t>知识库插件检索耗时: 380ms</t>
        </is>
      </c>
      <c r="C1434" t="inlineStr">
        <is>
          <t>INFO</t>
        </is>
      </c>
      <c r="D1434" t="inlineStr">
        <is>
          <t>vdh</t>
        </is>
      </c>
      <c r="E1434" t="inlineStr">
        <is>
          <t>pro17</t>
        </is>
      </c>
      <c r="F1434" t="inlineStr">
        <is>
          <t>prod</t>
        </is>
      </c>
    </row>
    <row r="1435">
      <c r="A1435" t="inlineStr">
        <is>
          <t>2025-05-09 09:49:29.353</t>
        </is>
      </c>
      <c r="B1435">
        <f>=请求开始== [请求IP]:172.18.33.14 ,[请求方式]:POST， [请求URL]:https://172.30.103.196:8080/api/appservice/bfv/v1/knowledge/retrieval/plugin, [请求类名]:com.yingzi.appservice.bfv.provider.rest.KnowledgeRetrievalController,[请求方法名]:plugin, [请求头参数]:{"host":"172.30.103.196:8080"}, [请求参数]:[{"query":"不是小雨是大雨","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435" t="inlineStr">
        <is>
          <t>INFO</t>
        </is>
      </c>
      <c r="D1435" t="inlineStr">
        <is>
          <t>vdh</t>
        </is>
      </c>
      <c r="E1435" t="inlineStr">
        <is>
          <t>pro17</t>
        </is>
      </c>
      <c r="F1435" t="inlineStr">
        <is>
          <t>prod</t>
        </is>
      </c>
    </row>
    <row r="1436">
      <c r="A1436" t="inlineStr">
        <is>
          <t>2025-05-09 09:49:29.343</t>
        </is>
      </c>
      <c r="B1436">
        <f>=请求开始== [请求IP]:172.18.114.116 ,[请求方式]:POST， [请求URL]:https://172.30.212.148:8080/api/appservice/bfv/v1/chat/, [请求类名]:com.yingzi.appservice.bfv.provider.rest.ChatV1Controller,[请求方法名]:chat, [请求头参数]:{"host":"172.30.212.148:8080"}, [请求参数]:[{"stream":true,"message":"不是小雨是大雨","args":"{\"adcode\":\"440100\",\"channel_id\":\"9\"}"}]</f>
        <v/>
      </c>
      <c r="C1436" t="inlineStr">
        <is>
          <t>INFO</t>
        </is>
      </c>
      <c r="D1436" t="inlineStr">
        <is>
          <t>vdh</t>
        </is>
      </c>
      <c r="E1436" t="inlineStr">
        <is>
          <t>pro14</t>
        </is>
      </c>
      <c r="F1436" t="inlineStr">
        <is>
          <t>prod</t>
        </is>
      </c>
    </row>
    <row r="1437">
      <c r="A1437" t="inlineStr">
        <is>
          <t>2025-05-09 09:49:23.021</t>
        </is>
      </c>
      <c r="B1437">
        <f>=请求结束== [请求耗时]:14毫秒, [返回数据]:{"code":"000000","msg":"Success","traceId":"98790d1508b65dd5dc047b3325683241"}</f>
        <v/>
      </c>
      <c r="C1437" t="inlineStr">
        <is>
          <t>INFO</t>
        </is>
      </c>
      <c r="D1437" t="inlineStr">
        <is>
          <t>vdh</t>
        </is>
      </c>
      <c r="E1437" t="inlineStr">
        <is>
          <t>pro14</t>
        </is>
      </c>
      <c r="F1437" t="inlineStr">
        <is>
          <t>prod</t>
        </is>
      </c>
    </row>
    <row r="1438">
      <c r="A1438" t="inlineStr">
        <is>
          <t>2025-05-09 09:49:23.007</t>
        </is>
      </c>
      <c r="B1438">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下雨了","instructionAsrFirstTime":{"year":2025,"monthValue":5,"month":"MAY","dayOfMonth":9,"dayOfYear":129,"dayOfWeek":"FRIDAY","hour":9,"minute":49,"second":6,"nano":0,"chronology":{"id":"ISO","calendarType":"iso8601"}},"knowledgeId":"","knowledgeMasterId":"","instructionType":"","instructionName":"","instructionFlag":"","parameter":"{\"nlpId\":\"17300825629321642727spln\",\"service\":\"Chat_library\"}","ttsResultSource":"FTT","ttsResult":"今天广州市的天气是大雨,气温在28度左右,夜间气温降至21度。出门时记得带好雨具哦!","ttsResultTime":{"year":2025,"monthValue":5,"month":"MAY","dayOfMonth":9,"dayOfYear":129,"dayOfWeek":"FRIDAY","hour":9,"minute":49,"second":12,"nano":0,"chronology":{"id":"ISO","calendarType":"iso8601"}},"response":4189}]]</f>
        <v/>
      </c>
      <c r="C1438" t="inlineStr">
        <is>
          <t>INFO</t>
        </is>
      </c>
      <c r="D1438" t="inlineStr">
        <is>
          <t>vdh</t>
        </is>
      </c>
      <c r="E1438" t="inlineStr">
        <is>
          <t>pro14</t>
        </is>
      </c>
      <c r="F1438" t="inlineStr">
        <is>
          <t>prod</t>
        </is>
      </c>
    </row>
    <row r="1439">
      <c r="A1439" t="inlineStr">
        <is>
          <t>2025-05-09 09:49:11.725</t>
        </is>
      </c>
      <c r="B1439" t="inlineStr">
        <is>
          <t>第2次流式调用完成，耗时：1197ms，response: Response { content = AiMessage { text = "今天广州市的天气是大雨，气温在28度左右，夜间气温降至21度。出门时记得带好雨具哦！" toolExecutionRequests = null }, tokenUsage = TokenUsage { inputTokenCount = 4848, outputTokenCount = 51, totalTokenCount = 4899 }, finishReason = STOP }</t>
        </is>
      </c>
      <c r="C1439" t="inlineStr">
        <is>
          <t>INFO</t>
        </is>
      </c>
      <c r="D1439" t="inlineStr">
        <is>
          <t>vdh</t>
        </is>
      </c>
      <c r="E1439" t="inlineStr">
        <is>
          <t>pro14</t>
        </is>
      </c>
      <c r="F1439" t="inlineStr">
        <is>
          <t>prod</t>
        </is>
      </c>
    </row>
    <row r="1440">
      <c r="A1440" t="inlineStr">
        <is>
          <t>2025-05-09 09:49:11.725</t>
        </is>
      </c>
      <c r="B1440">
        <f>=请求结束== [请求耗时]:2891毫秒</f>
        <v/>
      </c>
      <c r="C1440" t="inlineStr">
        <is>
          <t>INFO</t>
        </is>
      </c>
      <c r="D1440" t="inlineStr">
        <is>
          <t>vdh</t>
        </is>
      </c>
      <c r="E1440" t="inlineStr">
        <is>
          <t>pro14</t>
        </is>
      </c>
      <c r="F1440" t="inlineStr">
        <is>
          <t>prod</t>
        </is>
      </c>
    </row>
    <row r="1441">
      <c r="A1441" t="inlineStr">
        <is>
          <t>2025-05-09 09:49:11.229</t>
        </is>
      </c>
      <c r="B1441" t="inlineStr">
        <is>
          <t xml:space="preserve">第2次流式调用开始回复，耗时：701ms，第一个token: </t>
        </is>
      </c>
      <c r="C1441" t="inlineStr">
        <is>
          <t>INFO</t>
        </is>
      </c>
      <c r="D1441" t="inlineStr">
        <is>
          <t>vdh</t>
        </is>
      </c>
      <c r="E1441" t="inlineStr">
        <is>
          <t>pro14</t>
        </is>
      </c>
      <c r="F1441" t="inlineStr">
        <is>
          <t>prod</t>
        </is>
      </c>
    </row>
    <row r="1442">
      <c r="A1442" t="inlineStr">
        <is>
          <t>2025-05-09 09:49:10.528</t>
        </is>
      </c>
      <c r="B1442" t="inlineStr">
        <is>
          <t>streaming provider=gpt, model: gpt-4o-mini</t>
        </is>
      </c>
      <c r="C1442" t="inlineStr">
        <is>
          <t>INFO</t>
        </is>
      </c>
      <c r="D1442" t="inlineStr">
        <is>
          <t>vdh</t>
        </is>
      </c>
      <c r="E1442" t="inlineStr">
        <is>
          <t>pro14</t>
        </is>
      </c>
      <c r="F1442" t="inlineStr">
        <is>
          <t>prod</t>
        </is>
      </c>
    </row>
    <row r="1443">
      <c r="A1443" t="inlineStr">
        <is>
          <t>2025-05-09 09:49:10.527</t>
        </is>
      </c>
      <c r="B1443" t="inlineStr">
        <is>
          <t>执行天气工具，耗时: 113ms</t>
        </is>
      </c>
      <c r="C1443" t="inlineStr">
        <is>
          <t>INFO</t>
        </is>
      </c>
      <c r="D1443" t="inlineStr">
        <is>
          <t>vdh</t>
        </is>
      </c>
      <c r="E1443" t="inlineStr">
        <is>
          <t>pro14</t>
        </is>
      </c>
      <c r="F1443" t="inlineStr">
        <is>
          <t>prod</t>
        </is>
      </c>
    </row>
    <row r="1444">
      <c r="A1444" t="inlineStr">
        <is>
          <t>2025-05-09 09:49:10.412</t>
        </is>
      </c>
      <c r="B1444" t="inlineStr">
        <is>
          <t>第1次流式调用完成，耗时：1134ms，response: Response { content = AiMessage { text = null toolExecutionRequests = [ToolExecutionRequest { id = "call_zmaylBzz0AMR6spN2f2ZudMs", name = "getCurrentWeather", arguments = "{}" }] }, tokenUsage = TokenUsage { inputTokenCount = 4902, outputTokenCount = 7, totalTokenCount = 4909 }, finishReason = TOOL_EXECUTION }</t>
        </is>
      </c>
      <c r="C1444" t="inlineStr">
        <is>
          <t>INFO</t>
        </is>
      </c>
      <c r="D1444" t="inlineStr">
        <is>
          <t>vdh</t>
        </is>
      </c>
      <c r="E1444" t="inlineStr">
        <is>
          <t>pro14</t>
        </is>
      </c>
      <c r="F1444" t="inlineStr">
        <is>
          <t>prod</t>
        </is>
      </c>
    </row>
    <row r="1445">
      <c r="A1445" t="inlineStr">
        <is>
          <t>2025-05-09 09:49:09.279</t>
        </is>
      </c>
      <c r="B1445" t="inlineStr">
        <is>
          <t>streaming provider=gpt, model: gpt-4o</t>
        </is>
      </c>
      <c r="C1445" t="inlineStr">
        <is>
          <t>INFO</t>
        </is>
      </c>
      <c r="D1445" t="inlineStr">
        <is>
          <t>vdh</t>
        </is>
      </c>
      <c r="E1445" t="inlineStr">
        <is>
          <t>pro14</t>
        </is>
      </c>
      <c r="F1445" t="inlineStr">
        <is>
          <t>prod</t>
        </is>
      </c>
    </row>
    <row r="1446">
      <c r="A1446" t="inlineStr">
        <is>
          <t>2025-05-09 09:49:09.271</t>
        </is>
      </c>
      <c r="B1446">
        <f>=请求结束== [请求耗时]:420毫秒, [返回数据]:{"code":"000000","msg":"Success","data":[{"knowledgeId":"1326868148286373888","knowledgeContent":[{"score":0.7326644274999999,"content":"：2025年春节/过年/大年初一是1月29日，农历正月初一，星期三。","fileId":"1326944717968060416","chunkId":"paragraph-1"},{"score":0.7322308,"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0.7085946799999999,"content":"：深圳数影科技的股价是多少？深圳数影科技有限公司没有上市，因此没有股价信息。 广西扬翔股份上市了吗？广西扬翔股份没有上市。","fileId":"1326944717968060416","chunkId":"paragraph-6"}]},{"knowledgeId":"1329399948694220800","knowledgeContent":[{"score":0.9013771925,"content":"明天下雨吗","fileId":"1329400169758941184","chunkId":"25","textGroup":"getCurrentWeather"},{"score":0.76140144,"content":"深圳今天天气","fileId":"1329400169758941184","chunkId":"41","textGroup":"getCurrentWeather {province=广东省,city=深圳市}"},{"score":0.7587989525,"content":"北京今天天气","fileId":"1329400169758941184","chunkId":"49","textGroup":"getCurrentWeather {province=北京市}"},{"score":0.7570140799999999,"content":"罗湖区今天天气","fileId":"1329400169758941184","chunkId":"45","textGroup":"getCurrentWeather {province=广东省,city=深圳市,district=罗湖区}"},{"score":0.7554522899999999,"content":"龙华区今天天气","fileId":"1329400169758941184","chunkId":"46","textGroup":"getCurrentWeather {province=广东省,city=深圳市,district=龙华区}"},{"score":0.75503749,"content":"宝安区今天天气","fileId":"1329400169758941184","chunkId":"44","textGroup":"getCurrentWeather {province=广东省,city=深圳市,district=宝安区}"},{"score":0.08495803500000002,"content":"给我把烹饪结束了","fileId":"1347217269055369216","chunkId":"359","textGroup":"cooking_control {type=stop}"}]},{"knowledgeId":"1272948056214077440","knowledgeContent":[{"score":0.73424666,"content":"问题：你喜欢的季节是。\\n回复：我喜欢夏天，可以沐浴阳光和沙滩。","fileId":"1303425377255075840","chunkId":"2694","textGroup":"你喜欢的季节是"},{"score":0.73127557,"content":"问题：假期愉快。\\n回复：假期愉快，玩得开心哟！","fileId":"1303425377255075840","chunkId":"2755","textGroup":"假期愉快"},{"score":0.7311882749999999,"content":"问题：好久不见。\\n回复：好久没聊了，我好想念你","fileId":"1303425377255075840","chunkId":"2759","textGroup":"好久不见"},{"score":0.73117918,"content":"问题：元宵节放假吗。\\n回复：元宵节不放假。","fileId":"1326953484684320768","chunkId":"6","textGroup":"元宵节放假"},{"score":0.7307014374999999,"content":"问题：早上好。\\n回复：早上好，美好的一天又开始了。","fileId":"1303425377255075840","chunkId":"2764","textGroup":"早上好"},{"score":0.7299737949999999,"content":"问题：晚安。\\n回复：晚安。","fileId":"1303425377255075840","chunkId":"2766","textGroup":"晚安"},{"score":0.7280604875,"content":"问题：你什么时候在线。\\n回复：我二十四小时在线的。","fileId":"1303425377255075840","chunkId":"2676","textGroup":"你什么时候在线"},{"score":0.726255895,"content":"问题：你很智障。\\n回复：要注意文明哦。","fileId":"1303425377255075840","chunkId":"2703","textGroup":"你很智障"},{"score":0.723955625,"content":"问题：你有男朋友吗。\\n回复：小万目前还没有呢，只想一直为主人服务。","fileId":"1303425377255075840","chunkId":"2730","textGroup":"你有男朋友吗"},{"score":0.7235609275,"content":"问题：可以和我聊聊天吗。\\n回复：你可以随时找我聊。","fileId":"1303425377255075840","chunkId":"2757","textGroup":"可以和我聊聊天吗"},{"score":0.7234428625,"content":"问题：你好。\\n回复：你好，有什么可以帮您。","fileId":"1303425377255075840","chunkId":"2699","textGroup":"你好"},{"score":0.7230611275,"content":"问题：你吃饭了吗。\\n回复：还在等待美食中，你想和我一起吃吗？","fileId":"1303425377255075840","chunkId":"2689","textGroup":"你吃饭了吗"},{"score":0.7229242775,"content":"问题：不满。\\n回复：不满意的地方还请多多包涵。","fileId":"1303425377255075840","chunkId":"2671","textGroup":"不满"},{"score":0.72190279,"content":"问题：我好饿。\\n回复：你想吃点什么呢？小万随时为您效劳","fileId":"1303425377255075840","chunkId":"2762","textGroup":"我好饿"}]}]}</f>
        <v/>
      </c>
      <c r="C1446" t="inlineStr">
        <is>
          <t>INFO</t>
        </is>
      </c>
      <c r="D1446" t="inlineStr">
        <is>
          <t>vdh</t>
        </is>
      </c>
      <c r="E1446" t="inlineStr">
        <is>
          <t>pro17</t>
        </is>
      </c>
      <c r="F1446" t="inlineStr">
        <is>
          <t>prod</t>
        </is>
      </c>
    </row>
    <row r="1447">
      <c r="A1447" t="inlineStr">
        <is>
          <t>2025-05-09 09:49:09.270</t>
        </is>
      </c>
      <c r="B1447" t="inlineStr">
        <is>
          <t>知识库插件检索耗时: 418ms</t>
        </is>
      </c>
      <c r="C1447" t="inlineStr">
        <is>
          <t>INFO</t>
        </is>
      </c>
      <c r="D1447" t="inlineStr">
        <is>
          <t>vdh</t>
        </is>
      </c>
      <c r="E1447" t="inlineStr">
        <is>
          <t>pro17</t>
        </is>
      </c>
      <c r="F1447" t="inlineStr">
        <is>
          <t>prod</t>
        </is>
      </c>
    </row>
    <row r="1448">
      <c r="A1448" t="inlineStr">
        <is>
          <t>2025-05-09 09:49:08.851</t>
        </is>
      </c>
      <c r="B1448">
        <f>=请求开始== [请求IP]:172.18.33.14 ,[请求方式]:POST， [请求URL]:https://172.30.103.196:8080/api/appservice/bfv/v1/knowledge/retrieval/plugin, [请求类名]:com.yingzi.appservice.bfv.provider.rest.KnowledgeRetrievalController,[请求方法名]:plugin, [请求头参数]:{"host":"172.30.103.196:8080"}, [请求参数]:[{"query":"下雨了","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448" t="inlineStr">
        <is>
          <t>INFO</t>
        </is>
      </c>
      <c r="D1448" t="inlineStr">
        <is>
          <t>vdh</t>
        </is>
      </c>
      <c r="E1448" t="inlineStr">
        <is>
          <t>pro17</t>
        </is>
      </c>
      <c r="F1448" t="inlineStr">
        <is>
          <t>prod</t>
        </is>
      </c>
    </row>
    <row r="1449">
      <c r="A1449" t="inlineStr">
        <is>
          <t>2025-05-09 09:49:08.834</t>
        </is>
      </c>
      <c r="B1449">
        <f>=请求开始== [请求IP]:172.18.114.98 ,[请求方式]:POST， [请求URL]:https://172.30.212.148:8080/api/appservice/bfv/v1/chat/, [请求类名]:com.yingzi.appservice.bfv.provider.rest.ChatV1Controller,[请求方法名]:chat, [请求头参数]:{"host":"172.30.212.148:8080"}, [请求参数]:[{"stream":true,"message":"下雨了","args":"{\"adcode\":\"440100\",\"channel_id\":\"9\"}"}]</f>
        <v/>
      </c>
      <c r="C1449" t="inlineStr">
        <is>
          <t>INFO</t>
        </is>
      </c>
      <c r="D1449" t="inlineStr">
        <is>
          <t>vdh</t>
        </is>
      </c>
      <c r="E1449" t="inlineStr">
        <is>
          <t>pro14</t>
        </is>
      </c>
      <c r="F1449" t="inlineStr">
        <is>
          <t>prod</t>
        </is>
      </c>
    </row>
    <row r="1450">
      <c r="A1450" t="inlineStr">
        <is>
          <t>2025-05-09 09:49:04.785</t>
        </is>
      </c>
      <c r="B1450">
        <f>=请求结束== [请求耗时]:15毫秒, [返回数据]:{"code":"000000","msg":"Success","traceId":"6db497aaff72cb8bd4d56f9be36b981f"}</f>
        <v/>
      </c>
      <c r="C1450" t="inlineStr">
        <is>
          <t>INFO</t>
        </is>
      </c>
      <c r="D1450" t="inlineStr">
        <is>
          <t>vdh</t>
        </is>
      </c>
      <c r="E1450" t="inlineStr">
        <is>
          <t>pro17</t>
        </is>
      </c>
      <c r="F1450" t="inlineStr">
        <is>
          <t>prod</t>
        </is>
      </c>
    </row>
    <row r="1451">
      <c r="A1451" t="inlineStr">
        <is>
          <t>2025-05-09 09:49:04.770</t>
        </is>
      </c>
      <c r="B1451">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如果下雨去不了广州3号线了","instructionAsrFirstTime":{"year":2025,"monthValue":5,"month":"MAY","dayOfMonth":9,"dayOfYear":129,"dayOfWeek":"FRIDAY","hour":9,"minute":48,"second":44,"nano":0,"chronology":{"id":"ISO","calendarType":"iso8601"}},"knowledgeId":"","knowledgeMasterId":"","instructionType":"","instructionName":"","instructionFlag":"","parameter":"{\"nlpId\":\"17300825629321642727spln\",\"service\":\"Chat_library\"}","ttsResultSource":"FTT","ttsResult":"今天广州市的天气是大雨,气温在28°C左右,出行时请注意安全,建议你考虑其他交通方式或推迟行程。","ttsResultTime":{"year":2025,"monthValue":5,"month":"MAY","dayOfMonth":9,"dayOfYear":129,"dayOfWeek":"FRIDAY","hour":9,"minute":48,"second":56,"nano":0,"chronology":{"id":"ISO","calendarType":"iso8601"}},"response":4715}]]</f>
        <v/>
      </c>
      <c r="C1451" t="inlineStr">
        <is>
          <t>INFO</t>
        </is>
      </c>
      <c r="D1451" t="inlineStr">
        <is>
          <t>vdh</t>
        </is>
      </c>
      <c r="E1451" t="inlineStr">
        <is>
          <t>pro17</t>
        </is>
      </c>
      <c r="F1451" t="inlineStr">
        <is>
          <t>prod</t>
        </is>
      </c>
    </row>
    <row r="1452">
      <c r="A1452" t="inlineStr">
        <is>
          <t>2025-05-09 09:48:54.942</t>
        </is>
      </c>
      <c r="B1452" t="inlineStr">
        <is>
          <t>第2次流式调用完成，耗时：1349ms，response: Response { content = AiMessage { text = "今天广州市的天气是大雨，气温在28°C左右，出行时请注意安全，建议你考虑其他交通方式或推迟行程。" toolExecutionRequests = null }, tokenUsage = TokenUsage { inputTokenCount = 4754, outputTokenCount = 49, totalTokenCount = 4803 }, finishReason = STOP }</t>
        </is>
      </c>
      <c r="C1452" t="inlineStr">
        <is>
          <t>INFO</t>
        </is>
      </c>
      <c r="D1452" t="inlineStr">
        <is>
          <t>vdh</t>
        </is>
      </c>
      <c r="E1452" t="inlineStr">
        <is>
          <t>pro14</t>
        </is>
      </c>
      <c r="F1452" t="inlineStr">
        <is>
          <t>prod</t>
        </is>
      </c>
    </row>
    <row r="1453">
      <c r="A1453" t="inlineStr">
        <is>
          <t>2025-05-09 09:48:54.942</t>
        </is>
      </c>
      <c r="B1453">
        <f>=请求结束== [请求耗时]:3249毫秒</f>
        <v/>
      </c>
      <c r="C1453" t="inlineStr">
        <is>
          <t>INFO</t>
        </is>
      </c>
      <c r="D1453" t="inlineStr">
        <is>
          <t>vdh</t>
        </is>
      </c>
      <c r="E1453" t="inlineStr">
        <is>
          <t>pro14</t>
        </is>
      </c>
      <c r="F1453" t="inlineStr">
        <is>
          <t>prod</t>
        </is>
      </c>
    </row>
    <row r="1454">
      <c r="A1454" t="inlineStr">
        <is>
          <t>2025-05-09 09:48:54.455</t>
        </is>
      </c>
      <c r="B1454" t="inlineStr">
        <is>
          <t xml:space="preserve">第2次流式调用开始回复，耗时：862ms，第一个token: </t>
        </is>
      </c>
      <c r="C1454" t="inlineStr">
        <is>
          <t>INFO</t>
        </is>
      </c>
      <c r="D1454" t="inlineStr">
        <is>
          <t>vdh</t>
        </is>
      </c>
      <c r="E1454" t="inlineStr">
        <is>
          <t>pro14</t>
        </is>
      </c>
      <c r="F1454" t="inlineStr">
        <is>
          <t>prod</t>
        </is>
      </c>
    </row>
    <row r="1455">
      <c r="A1455" t="inlineStr">
        <is>
          <t>2025-05-09 09:48:53.593</t>
        </is>
      </c>
      <c r="B1455" t="inlineStr">
        <is>
          <t>streaming provider=gpt, model: gpt-4o-mini</t>
        </is>
      </c>
      <c r="C1455" t="inlineStr">
        <is>
          <t>INFO</t>
        </is>
      </c>
      <c r="D1455" t="inlineStr">
        <is>
          <t>vdh</t>
        </is>
      </c>
      <c r="E1455" t="inlineStr">
        <is>
          <t>pro14</t>
        </is>
      </c>
      <c r="F1455" t="inlineStr">
        <is>
          <t>prod</t>
        </is>
      </c>
    </row>
    <row r="1456">
      <c r="A1456" t="inlineStr">
        <is>
          <t>2025-05-09 09:48:53.591</t>
        </is>
      </c>
      <c r="B1456" t="inlineStr">
        <is>
          <t>执行天气工具，耗时: 161ms</t>
        </is>
      </c>
      <c r="C1456" t="inlineStr">
        <is>
          <t>INFO</t>
        </is>
      </c>
      <c r="D1456" t="inlineStr">
        <is>
          <t>vdh</t>
        </is>
      </c>
      <c r="E1456" t="inlineStr">
        <is>
          <t>pro14</t>
        </is>
      </c>
      <c r="F1456" t="inlineStr">
        <is>
          <t>prod</t>
        </is>
      </c>
    </row>
    <row r="1457">
      <c r="A1457" t="inlineStr">
        <is>
          <t>2025-05-09 09:48:53.429</t>
        </is>
      </c>
      <c r="B1457" t="inlineStr">
        <is>
          <t>第1次流式调用完成，耗时：1190ms，response: Response { content = AiMessage { text = null toolExecutionRequests = [ToolExecutionRequest { id = "call_xDmWdJwX5rAzxYrvZfaUUbwh", name = "getCurrentWeather", arguments = "{"province":"广东省","city":"广州市"}" }] }, tokenUsage = TokenUsage { inputTokenCount = 4796, outputTokenCount = 19, totalTokenCount = 4815 }, finishReason = TOOL_EXECUTION }</t>
        </is>
      </c>
      <c r="C1457" t="inlineStr">
        <is>
          <t>INFO</t>
        </is>
      </c>
      <c r="D1457" t="inlineStr">
        <is>
          <t>vdh</t>
        </is>
      </c>
      <c r="E1457" t="inlineStr">
        <is>
          <t>pro14</t>
        </is>
      </c>
      <c r="F1457" t="inlineStr">
        <is>
          <t>prod</t>
        </is>
      </c>
    </row>
    <row r="1458">
      <c r="A1458" t="inlineStr">
        <is>
          <t>2025-05-09 09:48:52.239</t>
        </is>
      </c>
      <c r="B1458" t="inlineStr">
        <is>
          <t>streaming provider=gpt, model: gpt-4o</t>
        </is>
      </c>
      <c r="C1458" t="inlineStr">
        <is>
          <t>INFO</t>
        </is>
      </c>
      <c r="D1458" t="inlineStr">
        <is>
          <t>vdh</t>
        </is>
      </c>
      <c r="E1458" t="inlineStr">
        <is>
          <t>pro14</t>
        </is>
      </c>
      <c r="F1458" t="inlineStr">
        <is>
          <t>prod</t>
        </is>
      </c>
    </row>
    <row r="1459">
      <c r="A1459" t="inlineStr">
        <is>
          <t>2025-05-09 09:48:52.229</t>
        </is>
      </c>
      <c r="B1459">
        <f>=请求结束== [请求耗时]:522毫秒, [返回数据]:{"code":"000000","msg":"Success","data":[{"knowledgeId":"1326868148286373888","knowledgeContent":[{"score":0.7305316075,"content":"：2025年春节/过年/大年初一是1月29日，农历正月初一，星期三。","fileId":"1326944717968060416","chunkId":"paragraph-1"},{"score":0.7199760525,"content":"：深圳数影科技的股价是多少？深圳数影科技有限公司没有上市，因此没有股价信息。 广西扬翔股份上市了吗？广西扬翔股份没有上市。","fileId":"1326944717968060416","chunkId":"paragraph-6"},{"score":0.7155699074999999,"content":"：2025年元宵节是2月12日，农历正月十五，星期三。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1272948056214077440","knowledgeContent":[{"score":0.7373403625,"content":"问题：万德福可以空载运行吗。\\n回复：微波炉是严禁空载使用的哦，会损坏微波炉的","fileId":"1303425377255075840","chunkId":"1921","textGroup":"微波炉可以空载运行吗"},{"score":0.72877487,"content":"问题：你很智障。\\n回复：要注意文明哦。","fileId":"1303425377255075840","chunkId":"2703","textGroup":"你很智障"},{"score":0.7281859475,"content":"问题：元宵节放假吗。\\n回复：元宵节不放假。","fileId":"1326953484684320768","chunkId":"6","textGroup":"元宵节放假"},{"score":0.7278271625,"content":"问题：假期愉快。\\n回复：假期愉快，玩得开心哟！","fileId":"1303425377255075840","chunkId":"2755","textGroup":"假期愉快"},{"score":0.7268872325,"content":"问题：你什么时候在线。\\n回复：我二十四小时在线的。","fileId":"1303425377255075840","chunkId":"2676","textGroup":"你什么时候在线"},{"score":0.72566676,"content":"问题：万德福启动后会影响WiFi信号吗。\\n回复：可能会有影响的哦，因为家用微波炉的微波频段恰好与wifi的工作频率2.4千兆赫相同，且家用微波炉的功率则远大于WIFI的功率","fileId":"1303425377255075840","chunkId":"2006","textGroup":"微波炉工作时会影响WIFI信号吗"}]},{"knowledgeId":"1329399948694220800","knowledgeContent":[{"score":0.87429651,"content":"广州今天天气","fileId":"1329400169758941184","chunkId":"35","textGroup":"getCurrentWeather {province=广东省,city=广州市}"},{"score":0.871452305,"content":"今天会下雨吗","fileId":"1329400169758941184","chunkId":"22","textGroup":"getCurrentWeather"},{"score":0.7598818525,"content":"深圳今天天气","fileId":"1329400169758941184","chunkId":"41","textGroup":"getCurrentWeather {province=广东省,city=深圳市}"},{"score":0.75590585,"content":"番禺区今天天气","fileId":"1329400169758941184","chunkId":"39","textGroup":"getCurrentWeather {province=广东省,city=广州市,district=番禺区}"},{"score":0.7539825125,"content":"宝安区今天天气","fileId":"1329400169758941184","chunkId":"44","textGroup":"getCurrentWeather {province=广东省,city=深圳市,district=宝安区}"},{"score":0.75104283,"content":"南沙区今天天气","fileId":"1329400169758941184","chunkId":"38","textGroup":"getCurrentWeather {province=广东省,city=广州市,district=南沙区}"},{"score":0.75087198,"content":"罗湖区今天天气","fileId":"1329400169758941184","chunkId":"45","textGroup":"getCurrentWeather {province=广东省,city=深圳市,district=罗湖区}"},{"score":0.748685695,"content":"天河区今天天气","fileId":"1329400169758941184","chunkId":"37","textGroup":"getCurrentWeather {province=广东省,city=广州市,district=天河区}"},{"score":0.747413245,"content":"南山区今天天气","fileId":"1329400169758941184","chunkId":"43","textGroup":"getCurrentWeather {province=广东省,city=深圳市,district=南山区}"},{"score":0.747336065,"content":"白云区今天天气","fileId":"1329400169758941184","chunkId":"40","textGroup":"getCurrentWeather {province=广东省,city=广州市,district=白云区}"},{"score":0.7450492675,"content":"港南区今天天气","fileId":"1329400169758941184","chunkId":"32","textGroup":"getCurrentWeather {province=广西壮族自治区,city=贵港市,district=港南区}"},{"score":0.7431154325,"content":"北京今天天气","fileId":"1329400169758941184","chunkId":"49","textGroup":"getCurrentWeather {province=北京市}"},{"score":0.08495803500000002,"content":"给我把烹饪结束了","fileId":"1347217269055369216","chunkId":"359","textGroup":"cooking_control {type=stop}"}]}]}</f>
        <v/>
      </c>
      <c r="C1459" t="inlineStr">
        <is>
          <t>INFO</t>
        </is>
      </c>
      <c r="D1459" t="inlineStr">
        <is>
          <t>vdh</t>
        </is>
      </c>
      <c r="E1459" t="inlineStr">
        <is>
          <t>pro17</t>
        </is>
      </c>
      <c r="F1459" t="inlineStr">
        <is>
          <t>prod</t>
        </is>
      </c>
    </row>
    <row r="1460">
      <c r="A1460" t="inlineStr">
        <is>
          <t>2025-05-09 09:48:52.228</t>
        </is>
      </c>
      <c r="B1460" t="inlineStr">
        <is>
          <t>知识库插件检索耗时: 520ms</t>
        </is>
      </c>
      <c r="C1460" t="inlineStr">
        <is>
          <t>INFO</t>
        </is>
      </c>
      <c r="D1460" t="inlineStr">
        <is>
          <t>vdh</t>
        </is>
      </c>
      <c r="E1460" t="inlineStr">
        <is>
          <t>pro17</t>
        </is>
      </c>
      <c r="F1460" t="inlineStr">
        <is>
          <t>prod</t>
        </is>
      </c>
    </row>
    <row r="1461">
      <c r="A1461" t="inlineStr">
        <is>
          <t>2025-05-09 09:48:51.707</t>
        </is>
      </c>
      <c r="B1461">
        <f>=请求开始== [请求IP]:172.18.33.14 ,[请求方式]:POST， [请求URL]:https://172.30.103.196:8080/api/appservice/bfv/v1/knowledge/retrieval/plugin, [请求类名]:com.yingzi.appservice.bfv.provider.rest.KnowledgeRetrievalController,[请求方法名]:plugin, [请求头参数]:{"host":"172.30.103.196:8080"}, [请求参数]:[{"query":"如果下雨去不了广州3号线了","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461" t="inlineStr">
        <is>
          <t>INFO</t>
        </is>
      </c>
      <c r="D1461" t="inlineStr">
        <is>
          <t>vdh</t>
        </is>
      </c>
      <c r="E1461" t="inlineStr">
        <is>
          <t>pro17</t>
        </is>
      </c>
      <c r="F1461" t="inlineStr">
        <is>
          <t>prod</t>
        </is>
      </c>
    </row>
    <row r="1462">
      <c r="A1462" t="inlineStr">
        <is>
          <t>2025-05-09 09:48:51.693</t>
        </is>
      </c>
      <c r="B1462">
        <f>=请求开始== [请求IP]:172.18.114.116 ,[请求方式]:POST， [请求URL]:https://172.30.212.148:8080/api/appservice/bfv/v1/chat/, [请求类名]:com.yingzi.appservice.bfv.provider.rest.ChatV1Controller,[请求方法名]:chat, [请求头参数]:{"host":"172.30.212.148:8080"}, [请求参数]:[{"stream":true,"message":"如果下雨去不了广州3号线了","args":"{\"adcode\":\"440100\",\"channel_id\":\"9\"}"}]</f>
        <v/>
      </c>
      <c r="C1462" t="inlineStr">
        <is>
          <t>INFO</t>
        </is>
      </c>
      <c r="D1462" t="inlineStr">
        <is>
          <t>vdh</t>
        </is>
      </c>
      <c r="E1462" t="inlineStr">
        <is>
          <t>pro14</t>
        </is>
      </c>
      <c r="F1462" t="inlineStr">
        <is>
          <t>prod</t>
        </is>
      </c>
    </row>
    <row r="1463">
      <c r="A1463" t="inlineStr">
        <is>
          <t>2025-05-09 09:48:43.215</t>
        </is>
      </c>
      <c r="B1463">
        <f>=请求结束== [请求耗时]:15毫秒, [返回数据]:{"code":"000000","msg":"Success","traceId":"cef640f950ff1da6c924ad439feef052"}</f>
        <v/>
      </c>
      <c r="C1463" t="inlineStr">
        <is>
          <t>INFO</t>
        </is>
      </c>
      <c r="D1463" t="inlineStr">
        <is>
          <t>vdh</t>
        </is>
      </c>
      <c r="E1463" t="inlineStr">
        <is>
          <t>pro14</t>
        </is>
      </c>
      <c r="F1463" t="inlineStr">
        <is>
          <t>prod</t>
        </is>
      </c>
    </row>
    <row r="1464">
      <c r="A1464" t="inlineStr">
        <is>
          <t>2025-05-09 09:48:43.200</t>
        </is>
      </c>
      <c r="B1464">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打广州","instructionAsrFirstTime":{"year":2025,"monthValue":5,"month":"MAY","dayOfMonth":9,"dayOfYear":129,"dayOfWeek":"FRIDAY","hour":9,"minute":48,"second":31,"nano":0,"chronology":{"id":"ISO","calendarType":"iso8601"}},"knowledgeId":"","knowledgeMasterId":"","instructionType":"","instructionName":"","instructionFlag":"","parameter":"{\"nlpId\":\"17300825629321642727spln\",\"service\":\"Chat_library\"}","ttsResultSource":"FTT","ttsResult":"广州今天的天气是大雨,白天气温28℃,夜间气温21℃,","ttsResultTime":{"year":2025,"monthValue":5,"month":"MAY","dayOfMonth":9,"dayOfYear":129,"dayOfWeek":"FRIDAY","hour":9,"minute":48,"second":37,"nano":0,"chronology":{"id":"ISO","calendarType":"iso8601"}},"response":4403}]]</f>
        <v/>
      </c>
      <c r="C1464" t="inlineStr">
        <is>
          <t>INFO</t>
        </is>
      </c>
      <c r="D1464" t="inlineStr">
        <is>
          <t>vdh</t>
        </is>
      </c>
      <c r="E1464" t="inlineStr">
        <is>
          <t>pro14</t>
        </is>
      </c>
      <c r="F1464" t="inlineStr">
        <is>
          <t>prod</t>
        </is>
      </c>
    </row>
    <row r="1465">
      <c r="A1465" t="inlineStr">
        <is>
          <t>2025-05-09 09:48:35.923</t>
        </is>
      </c>
      <c r="B1465">
        <f>=请求结束== [请求耗时]:3032毫秒</f>
        <v/>
      </c>
      <c r="C1465" t="inlineStr">
        <is>
          <t>INFO</t>
        </is>
      </c>
      <c r="D1465" t="inlineStr">
        <is>
          <t>vdh</t>
        </is>
      </c>
      <c r="E1465" t="inlineStr">
        <is>
          <t>pro14</t>
        </is>
      </c>
      <c r="F1465" t="inlineStr">
        <is>
          <t>prod</t>
        </is>
      </c>
    </row>
    <row r="1466">
      <c r="A1466" t="inlineStr">
        <is>
          <t>2025-05-09 09:48:35.922</t>
        </is>
      </c>
      <c r="B1466" t="inlineStr">
        <is>
          <t>第2次流式调用完成，耗时：1396ms，response: Response { content = AiMessage { text = "广州今天的天气是大雨，白天气温28℃，夜间气温21℃，风向为北风。明天的天气是中雨，白天气温25℃，夜间气温18℃。" toolExecutionRequests = null }, tokenUsage = TokenUsage { inputTokenCount = 4423, outputTokenCount = 76, totalTokenCount = 4499 }, finishReason = STOP }</t>
        </is>
      </c>
      <c r="C1466" t="inlineStr">
        <is>
          <t>INFO</t>
        </is>
      </c>
      <c r="D1466" t="inlineStr">
        <is>
          <t>vdh</t>
        </is>
      </c>
      <c r="E1466" t="inlineStr">
        <is>
          <t>pro14</t>
        </is>
      </c>
      <c r="F1466" t="inlineStr">
        <is>
          <t>prod</t>
        </is>
      </c>
    </row>
    <row r="1467">
      <c r="A1467" t="inlineStr">
        <is>
          <t>2025-05-09 09:48:35.211</t>
        </is>
      </c>
      <c r="B1467" t="inlineStr">
        <is>
          <t xml:space="preserve">第2次流式调用开始回复，耗时：685ms，第一个token: </t>
        </is>
      </c>
      <c r="C1467" t="inlineStr">
        <is>
          <t>INFO</t>
        </is>
      </c>
      <c r="D1467" t="inlineStr">
        <is>
          <t>vdh</t>
        </is>
      </c>
      <c r="E1467" t="inlineStr">
        <is>
          <t>pro14</t>
        </is>
      </c>
      <c r="F1467" t="inlineStr">
        <is>
          <t>prod</t>
        </is>
      </c>
    </row>
    <row r="1468">
      <c r="A1468" t="inlineStr">
        <is>
          <t>2025-05-09 09:48:34.526</t>
        </is>
      </c>
      <c r="B1468" t="inlineStr">
        <is>
          <t>streaming provider=gpt, model: gpt-4o-mini</t>
        </is>
      </c>
      <c r="C1468" t="inlineStr">
        <is>
          <t>INFO</t>
        </is>
      </c>
      <c r="D1468" t="inlineStr">
        <is>
          <t>vdh</t>
        </is>
      </c>
      <c r="E1468" t="inlineStr">
        <is>
          <t>pro14</t>
        </is>
      </c>
      <c r="F1468" t="inlineStr">
        <is>
          <t>prod</t>
        </is>
      </c>
    </row>
    <row r="1469">
      <c r="A1469" t="inlineStr">
        <is>
          <t>2025-05-09 09:48:34.525</t>
        </is>
      </c>
      <c r="B1469" t="inlineStr">
        <is>
          <t>执行天气工具，耗时: 189ms</t>
        </is>
      </c>
      <c r="C1469" t="inlineStr">
        <is>
          <t>INFO</t>
        </is>
      </c>
      <c r="D1469" t="inlineStr">
        <is>
          <t>vdh</t>
        </is>
      </c>
      <c r="E1469" t="inlineStr">
        <is>
          <t>pro14</t>
        </is>
      </c>
      <c r="F1469" t="inlineStr">
        <is>
          <t>prod</t>
        </is>
      </c>
    </row>
    <row r="1470">
      <c r="A1470" t="inlineStr">
        <is>
          <t>2025-05-09 09:48:34.335</t>
        </is>
      </c>
      <c r="B1470" t="inlineStr">
        <is>
          <t>第1次流式调用完成，耗时：1111ms，response: Response { content = AiMessage { text = null toolExecutionRequests = [ToolExecutionRequest { id = "call_uni31eVdHPY1FIAGLyPL9Dvk", name = "getCurrentWeather", arguments = "{"province":"广东省","city":"广州市"}" }] }, tokenUsage = TokenUsage { inputTokenCount = 4465, outputTokenCount = 19, totalTokenCount = 4484 }, finishReason = TOOL_EXECUTION }</t>
        </is>
      </c>
      <c r="C1470" t="inlineStr">
        <is>
          <t>INFO</t>
        </is>
      </c>
      <c r="D1470" t="inlineStr">
        <is>
          <t>vdh</t>
        </is>
      </c>
      <c r="E1470" t="inlineStr">
        <is>
          <t>pro14</t>
        </is>
      </c>
      <c r="F1470" t="inlineStr">
        <is>
          <t>prod</t>
        </is>
      </c>
    </row>
    <row r="1471">
      <c r="A1471" t="inlineStr">
        <is>
          <t>2025-05-09 09:48:33.223</t>
        </is>
      </c>
      <c r="B1471" t="inlineStr">
        <is>
          <t>streaming provider=gpt, model: gpt-4o</t>
        </is>
      </c>
      <c r="C1471" t="inlineStr">
        <is>
          <t>INFO</t>
        </is>
      </c>
      <c r="D1471" t="inlineStr">
        <is>
          <t>vdh</t>
        </is>
      </c>
      <c r="E1471" t="inlineStr">
        <is>
          <t>pro14</t>
        </is>
      </c>
      <c r="F1471" t="inlineStr">
        <is>
          <t>prod</t>
        </is>
      </c>
    </row>
    <row r="1472">
      <c r="A1472" t="inlineStr">
        <is>
          <t>2025-05-09 09:48:33.216</t>
        </is>
      </c>
      <c r="B1472">
        <f>=请求结束== [请求耗时]:315毫秒, [返回数据]:{"code":"000000","msg":"Success","data":[{"knowledgeId":"1329399948694220800","knowledgeContent":[{"score":0.8763317500000001,"content":"广州今天天气","fileId":"1329400169758941184","chunkId":"35","textGroup":"getCurrentWeather {province=广东省,city=广州市}"},{"score":0.7527173724999999,"content":"番禺区今天天气","fileId":"1329400169758941184","chunkId":"39","textGroup":"getCurrentWeather {province=广东省,city=广州市,district=番禺区}"},{"score":0.7368684849999999,"content":"天河区今天天气","fileId":"1329400169758941184","chunkId":"37","textGroup":"getCurrentWeather {province=广东省,city=广州市,district=天河区}"},{"score":0.7350991250000001,"content":"宝安区今天天气","fileId":"1329400169758941184","chunkId":"44","textGroup":"getCurrentWeather {province=广东省,city=深圳市,district=宝安区}"},{"score":0.734602555,"content":"深圳明天天气","fileId":"1329400169758941184","chunkId":"42","textGroup":"getCurrentWeather {province=广东省,city=深圳市}"},{"score":0.734126725,"content":"白云区今天天气","fileId":"1329400169758941184","chunkId":"40","textGroup":"getCurrentWeather {province=广东省,city=广州市,district=白云区}"},{"score":0.7328438625,"content":"南沙区今天天气","fileId":"1329400169758941184","chunkId":"38","textGroup":"getCurrentWeather {province=广东省,city=广州市,district=南沙区}"},{"score":0.7308851225,"content":"请帮我继续微波","fileId":"1347217269055369216","chunkId":"256","textGroup":"cooking_control {type=continue}"},{"score":0.7305900025,"content":"微波开启","fileId":"1347217269055369216","chunkId":"103","textGroup":"cooking_control {type=start}"},{"score":0.7300168475,"content":"我想微波暂停","fileId":"1347217269055369216","chunkId":"195","textGroup":"cooking_control {type=pause}"},{"score":0.72827405,"content":"贵港明天天气","fileId":"1329400169758941184","chunkId":"31","textGroup":"getCurrentWeather {province=广西壮族自治区,city=贵港市}"},{"score":0.7282326124999999,"content":"港南区今天天气","fileId":"1329400169758941184","chunkId":"32","textGroup":"getCurrentWeather {province=广西壮族自治区,city=贵港市,district=港南区}"},{"score":0.72819789,"content":"南山区今天天气","fileId":"1329400169758941184","chunkId":"43","textGroup":"getCurrentWeather {province=广东省,city=深圳市,district=南山区}"},{"score":0.7278604825,"content":"微波结束","fileId":"1347217269055369216","chunkId":"279","textGroup":"cooking_control {type=stop}"}]},{"knowledgeId":"1326868148286373888","knowledgeContent":[{"score":0.7291857174999999,"content":"：广州影子科技的股价是多少？广州影子科技有限公司没有上市，因此没有股价信息。","fileId":"1326944717968060416","chunkId":"paragraph-5"},{"score":0.7198805975,"content":"：2025年春节/过年/大年初一是1月29日，农历正月初一，星期三。","fileId":"1326944717968060416","chunkId":"paragraph-1"},{"score":0.7164006549999999,"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1272948056214077440","knowledgeContent":[{"score":0.741831295,"content":"问题：你们公司在哪个地方。\\n回复：影子科技公司地址是在广州。","fileId":"1303425377255075840","chunkId":"638","textGroup":"公司在哪办公"}]}]}</f>
        <v/>
      </c>
      <c r="C1472" t="inlineStr">
        <is>
          <t>INFO</t>
        </is>
      </c>
      <c r="D1472" t="inlineStr">
        <is>
          <t>vdh</t>
        </is>
      </c>
      <c r="E1472" t="inlineStr">
        <is>
          <t>pro17</t>
        </is>
      </c>
      <c r="F1472" t="inlineStr">
        <is>
          <t>prod</t>
        </is>
      </c>
    </row>
    <row r="1473">
      <c r="A1473" t="inlineStr">
        <is>
          <t>2025-05-09 09:48:33.215</t>
        </is>
      </c>
      <c r="B1473" t="inlineStr">
        <is>
          <t>知识库插件检索耗时: 312ms</t>
        </is>
      </c>
      <c r="C1473" t="inlineStr">
        <is>
          <t>INFO</t>
        </is>
      </c>
      <c r="D1473" t="inlineStr">
        <is>
          <t>vdh</t>
        </is>
      </c>
      <c r="E1473" t="inlineStr">
        <is>
          <t>pro17</t>
        </is>
      </c>
      <c r="F1473" t="inlineStr">
        <is>
          <t>prod</t>
        </is>
      </c>
    </row>
    <row r="1474">
      <c r="A1474" t="inlineStr">
        <is>
          <t>2025-05-09 09:48:32.901</t>
        </is>
      </c>
      <c r="B1474">
        <f>=请求开始== [请求IP]:172.18.33.14 ,[请求方式]:POST， [请求URL]:https://172.30.103.196:8080/api/appservice/bfv/v1/knowledge/retrieval/plugin, [请求类名]:com.yingzi.appservice.bfv.provider.rest.KnowledgeRetrievalController,[请求方法名]:plugin, [请求头参数]:{"host":"172.30.103.196:8080"}, [请求参数]:[{"query":"打广州","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474" t="inlineStr">
        <is>
          <t>INFO</t>
        </is>
      </c>
      <c r="D1474" t="inlineStr">
        <is>
          <t>vdh</t>
        </is>
      </c>
      <c r="E1474" t="inlineStr">
        <is>
          <t>pro17</t>
        </is>
      </c>
      <c r="F1474" t="inlineStr">
        <is>
          <t>prod</t>
        </is>
      </c>
    </row>
    <row r="1475">
      <c r="A1475" t="inlineStr">
        <is>
          <t>2025-05-09 09:48:32.891</t>
        </is>
      </c>
      <c r="B1475">
        <f>=请求开始== [请求IP]:172.18.114.116 ,[请求方式]:POST， [请求URL]:https://172.30.212.148:8080/api/appservice/bfv/v1/chat/, [请求类名]:com.yingzi.appservice.bfv.provider.rest.ChatV1Controller,[请求方法名]:chat, [请求头参数]:{"host":"172.30.212.148:8080"}, [请求参数]:[{"stream":true,"message":"打广州","args":"{\"adcode\":\"440100\",\"channel_id\":\"9\"}"}]</f>
        <v/>
      </c>
      <c r="C1475" t="inlineStr">
        <is>
          <t>INFO</t>
        </is>
      </c>
      <c r="D1475" t="inlineStr">
        <is>
          <t>vdh</t>
        </is>
      </c>
      <c r="E1475" t="inlineStr">
        <is>
          <t>pro14</t>
        </is>
      </c>
      <c r="F1475" t="inlineStr">
        <is>
          <t>prod</t>
        </is>
      </c>
    </row>
    <row r="1476">
      <c r="A1476" t="inlineStr">
        <is>
          <t>2025-05-09 09:48:28.938</t>
        </is>
      </c>
      <c r="B1476">
        <f>=请求结束== [请求耗时]:13毫秒, [返回数据]:{"code":"000000","msg":"Success","traceId":"8bf0d2e6b2051cf8cd6e6e3df1e44849"}</f>
        <v/>
      </c>
      <c r="C1476" t="inlineStr">
        <is>
          <t>INFO</t>
        </is>
      </c>
      <c r="D1476" t="inlineStr">
        <is>
          <t>vdh</t>
        </is>
      </c>
      <c r="E1476" t="inlineStr">
        <is>
          <t>pro17</t>
        </is>
      </c>
      <c r="F1476" t="inlineStr">
        <is>
          <t>prod</t>
        </is>
      </c>
    </row>
    <row r="1477">
      <c r="A1477" t="inlineStr">
        <is>
          <t>2025-05-09 09:48:28.925</t>
        </is>
      </c>
      <c r="B1477">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打广州地铁站21号线","instructionAsrFirstTime":{"year":2025,"monthValue":5,"month":"MAY","dayOfMonth":9,"dayOfYear":129,"dayOfWeek":"FRIDAY","hour":9,"minute":48,"second":16,"nano":0,"chronology":{"id":"ISO","calendarType":"iso8601"}},"knowledgeId":"","knowledgeMasterId":"","instructionType":"","instructionName":"","instructionFlag":"","parameter":"{}","ttsResultSource":"FTT","ttsResult":"","response":0}]]</f>
        <v/>
      </c>
      <c r="C1477" t="inlineStr">
        <is>
          <t>INFO</t>
        </is>
      </c>
      <c r="D1477" t="inlineStr">
        <is>
          <t>vdh</t>
        </is>
      </c>
      <c r="E1477" t="inlineStr">
        <is>
          <t>pro17</t>
        </is>
      </c>
      <c r="F1477" t="inlineStr">
        <is>
          <t>prod</t>
        </is>
      </c>
    </row>
    <row r="1478">
      <c r="A1478" t="inlineStr">
        <is>
          <t>2025-05-09 09:48:25.943</t>
        </is>
      </c>
      <c r="B1478">
        <f>=请求结束== [请求耗时]:2616毫秒</f>
        <v/>
      </c>
      <c r="C1478" t="inlineStr">
        <is>
          <t>INFO</t>
        </is>
      </c>
      <c r="D1478" t="inlineStr">
        <is>
          <t>vdh</t>
        </is>
      </c>
      <c r="E1478" t="inlineStr">
        <is>
          <t>pro14</t>
        </is>
      </c>
      <c r="F1478" t="inlineStr">
        <is>
          <t>prod</t>
        </is>
      </c>
    </row>
    <row r="1479">
      <c r="A1479" t="inlineStr">
        <is>
          <t>2025-05-09 09:48:25.942</t>
        </is>
      </c>
      <c r="B1479" t="inlineStr">
        <is>
          <t>第1次流式调用完成，耗时：2147ms，response: Response { content = AiMessage { text = "请问您是想了解广州地铁21号线的具体信息吗？可以为您提供路线、站点或其他相关信息。" toolExecutionRequests = null }, tokenUsage = TokenUsage { inputTokenCount = 4832, outputTokenCount = 38, totalTokenCount = 4870 }, finishReason = STOP }</t>
        </is>
      </c>
      <c r="C1479" t="inlineStr">
        <is>
          <t>INFO</t>
        </is>
      </c>
      <c r="D1479" t="inlineStr">
        <is>
          <t>vdh</t>
        </is>
      </c>
      <c r="E1479" t="inlineStr">
        <is>
          <t>pro14</t>
        </is>
      </c>
      <c r="F1479" t="inlineStr">
        <is>
          <t>prod</t>
        </is>
      </c>
    </row>
    <row r="1480">
      <c r="A1480" t="inlineStr">
        <is>
          <t>2025-05-09 09:48:24.996</t>
        </is>
      </c>
      <c r="B1480" t="inlineStr">
        <is>
          <t xml:space="preserve">第1次流式调用开始回复，耗时：1201ms，第一个token: </t>
        </is>
      </c>
      <c r="C1480" t="inlineStr">
        <is>
          <t>INFO</t>
        </is>
      </c>
      <c r="D1480" t="inlineStr">
        <is>
          <t>vdh</t>
        </is>
      </c>
      <c r="E1480" t="inlineStr">
        <is>
          <t>pro14</t>
        </is>
      </c>
      <c r="F1480" t="inlineStr">
        <is>
          <t>prod</t>
        </is>
      </c>
    </row>
    <row r="1481">
      <c r="A1481" t="inlineStr">
        <is>
          <t>2025-05-09 09:48:23.796</t>
        </is>
      </c>
      <c r="B1481" t="inlineStr">
        <is>
          <t>streaming provider=gpt, model: gpt-4o</t>
        </is>
      </c>
      <c r="C1481" t="inlineStr">
        <is>
          <t>INFO</t>
        </is>
      </c>
      <c r="D1481" t="inlineStr">
        <is>
          <t>vdh</t>
        </is>
      </c>
      <c r="E1481" t="inlineStr">
        <is>
          <t>pro14</t>
        </is>
      </c>
      <c r="F1481" t="inlineStr">
        <is>
          <t>prod</t>
        </is>
      </c>
    </row>
    <row r="1482">
      <c r="A1482" t="inlineStr">
        <is>
          <t>2025-05-09 09:48:23.789</t>
        </is>
      </c>
      <c r="B1482">
        <f>=请求结束== [请求耗时]:450毫秒, [返回数据]:{"code":"000000","msg":"Success","data":[{"knowledgeId":"1326868148286373888","knowledgeContent":[{"score":0.725298965,"content":"：广州影子科技的股价是多少？广州影子科技有限公司没有上市，因此没有股价信息。","fileId":"1326944717968060416","chunkId":"paragraph-5"},{"score":0.7247143349999999,"content":"：2025年春节/过年/大年初一是1月29日，农历正月初一，星期三。","fileId":"1326944717968060416","chunkId":"paragraph-1"},{"score":0.7242930325,"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1329399948694220800","knowledgeContent":[{"score":0.85335897,"content":"广州今天天气","fileId":"1329400169758941184","chunkId":"35","textGroup":"getCurrentWeather {province=广东省,city=广州市}"},{"score":0.7399404275,"content":"番禺区今天天气","fileId":"1329400169758941184","chunkId":"39","textGroup":"getCurrentWeather {province=广东省,city=广州市,district=番禺区}"},{"score":0.733492285,"content":"深圳明天天气","fileId":"1329400169758941184","chunkId":"42","textGroup":"getCurrentWeather {province=广东省,city=深圳市}"},{"score":0.73175157,"content":"请帮我继续微波","fileId":"1347217269055369216","chunkId":"256","textGroup":"cooking_control {type=continue}"},{"score":0.73039565,"content":"宝安区今天天气","fileId":"1329400169758941184","chunkId":"44","textGroup":"getCurrentWeather {province=广东省,city=深圳市,district=宝安区}"},{"score":0.7298425975,"content":"南沙区今天天气","fileId":"1329400169758941184","chunkId":"38","textGroup":"getCurrentWeather {province=广东省,city=广州市,district=南沙区}"},{"score":0.7297790599999999,"content":"天河区今天天气","fileId":"1329400169758941184","chunkId":"37","textGroup":"getCurrentWeather {province=广东省,city=广州市,district=天河区}"},{"score":0.7297214725,"content":"我想微波暂停","fileId":"1347217269055369216","chunkId":"195","textGroup":"cooking_control {type=pause}"},{"score":0.72952508,"content":"请帮我终止微波","fileId":"1347217269055369216","chunkId":"328","textGroup":"cooking_control {type=stop}"},{"score":0.7273924724999999,"content":"白云区今天天气","fileId":"1329400169758941184","chunkId":"40","textGroup":"getCurrentWeather {province=广东省,city=广州市,district=白云区}"},{"score":0.72692119,"content":"罗湖区今天天气","fileId":"1329400169758941184","chunkId":"45","textGroup":"getCurrentWeather {province=广东省,city=深圳市,district=罗湖区}"},{"score":0.7256464875,"content":"开启微波功能","fileId":"1347217269055369216","chunkId":"69","textGroup":"cooking_control {type=start}"},{"score":0.7241500624999999,"content":"南山区今天天气","fileId":"1329400169758941184","chunkId":"43","textGroup":"getCurrentWeather {province=广东省,city=深圳市,district=南山区}"},{"score":0.72162059,"content":"港南区今天天气","fileId":"1329400169758941184","chunkId":"32","textGroup":"getCurrentWeather {province=广西壮族自治区,city=贵港市,district=港南区}"}]},{"knowledgeId":"1272948056214077440","knowledgeContent":[{"score":0.735142475,"content":"问题：你什么时候在线。\\n回复：我二十四小时在线的。","fileId":"1303425377255075840","chunkId":"2676","textGroup":"你什么时候在线"},{"score":0.72878762,"content":"问题：你们公司的地址在哪。\\n回复：影子科技公司地址是在广州。","fileId":"1303425377255075840","chunkId":"640","textGroup":"公司在哪办公"},{"score":0.7276203575,"content":"问题：我想了解一下深圳输赢。\\n回复：深圳数影科技有限公司成立于2021年2月，其为影子科技的子公司，主要从事AIOT硬件的研发，致力于打造“农场到餐桌”产业互联网智能硬件服务能力。驱动“农场到餐桌”产业链智能化转型升级，从而让食品“健康、安全、美味、便利”。","fileId":"1303425377255075840","chunkId":"399","textGroup":"介绍一下数影科技"},{"score":0.7272377725,"content":"问题：晚安。\\n回复：晚安。","fileId":"1303425377255075840","chunkId":"2766","textGroup":"晚安"},{"score":0.7245980974999999,"content":"问题：你好。\\n回复：你好，有什么可以帮您。","fileId":"1303425377255075840","chunkId":"2699","textGroup":"你好"},{"score":0.7226498975,"content":"问题：你有公众号吗。\\n回复：万得厨微信官方公众号为“万得厨的厨”，不定时为您推送最全使用指南及最美味的食品食谱，期待您的关注！","fileId":"1303425377255075840","chunkId":"2782","textGroup":"你有公众号吗"}]}]}</f>
        <v/>
      </c>
      <c r="C1482" t="inlineStr">
        <is>
          <t>INFO</t>
        </is>
      </c>
      <c r="D1482" t="inlineStr">
        <is>
          <t>vdh</t>
        </is>
      </c>
      <c r="E1482" t="inlineStr">
        <is>
          <t>pro17</t>
        </is>
      </c>
      <c r="F1482" t="inlineStr">
        <is>
          <t>prod</t>
        </is>
      </c>
    </row>
    <row r="1483">
      <c r="A1483" t="inlineStr">
        <is>
          <t>2025-05-09 09:48:23.788</t>
        </is>
      </c>
      <c r="B1483" t="inlineStr">
        <is>
          <t>知识库插件检索耗时: 448ms</t>
        </is>
      </c>
      <c r="C1483" t="inlineStr">
        <is>
          <t>INFO</t>
        </is>
      </c>
      <c r="D1483" t="inlineStr">
        <is>
          <t>vdh</t>
        </is>
      </c>
      <c r="E1483" t="inlineStr">
        <is>
          <t>pro17</t>
        </is>
      </c>
      <c r="F1483" t="inlineStr">
        <is>
          <t>prod</t>
        </is>
      </c>
    </row>
    <row r="1484">
      <c r="A1484" t="inlineStr">
        <is>
          <t>2025-05-09 09:48:23.339</t>
        </is>
      </c>
      <c r="B1484">
        <f>=请求开始== [请求IP]:172.18.33.14 ,[请求方式]:POST， [请求URL]:https://172.30.103.196:8080/api/appservice/bfv/v1/knowledge/retrieval/plugin, [请求类名]:com.yingzi.appservice.bfv.provider.rest.KnowledgeRetrievalController,[请求方法名]:plugin, [请求头参数]:{"host":"172.30.103.196:8080"}, [请求参数]:[{"query":"打广州地铁站21号线","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484" t="inlineStr">
        <is>
          <t>INFO</t>
        </is>
      </c>
      <c r="D1484" t="inlineStr">
        <is>
          <t>vdh</t>
        </is>
      </c>
      <c r="E1484" t="inlineStr">
        <is>
          <t>pro17</t>
        </is>
      </c>
      <c r="F1484" t="inlineStr">
        <is>
          <t>prod</t>
        </is>
      </c>
    </row>
    <row r="1485">
      <c r="A1485" t="inlineStr">
        <is>
          <t>2025-05-09 09:48:23.327</t>
        </is>
      </c>
      <c r="B1485">
        <f>=请求开始== [请求IP]:172.18.114.98 ,[请求方式]:POST， [请求URL]:https://172.30.212.148:8080/api/appservice/bfv/v1/chat/, [请求类名]:com.yingzi.appservice.bfv.provider.rest.ChatV1Controller,[请求方法名]:chat, [请求头参数]:{"host":"172.30.212.148:8080"}, [请求参数]:[{"stream":true,"message":"打广州地铁站21号线","args":"{\"adcode\":\"440100\",\"channel_id\":\"9\"}"}]</f>
        <v/>
      </c>
      <c r="C1485" t="inlineStr">
        <is>
          <t>INFO</t>
        </is>
      </c>
      <c r="D1485" t="inlineStr">
        <is>
          <t>vdh</t>
        </is>
      </c>
      <c r="E1485" t="inlineStr">
        <is>
          <t>pro14</t>
        </is>
      </c>
      <c r="F1485" t="inlineStr">
        <is>
          <t>prod</t>
        </is>
      </c>
    </row>
    <row r="1486">
      <c r="A1486" t="inlineStr">
        <is>
          <t>2025-05-09 09:48:14.728</t>
        </is>
      </c>
      <c r="B1486">
        <f>=请求结束== [请求耗时]:15毫秒, [返回数据]:{"code":"000000","msg":"Success","traceId":"fed58e6671abf29caefe76f50e7eef27"}</f>
        <v/>
      </c>
      <c r="C1486" t="inlineStr">
        <is>
          <t>INFO</t>
        </is>
      </c>
      <c r="D1486" t="inlineStr">
        <is>
          <t>vdh</t>
        </is>
      </c>
      <c r="E1486" t="inlineStr">
        <is>
          <t>pro14</t>
        </is>
      </c>
      <c r="F1486" t="inlineStr">
        <is>
          <t>prod</t>
        </is>
      </c>
    </row>
    <row r="1487">
      <c r="A1487" t="inlineStr">
        <is>
          <t>2025-05-09 09:48:14.713</t>
        </is>
      </c>
      <c r="B1487">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到21号电视","instructionAsrFirstTime":{"year":2025,"monthValue":5,"month":"MAY","dayOfMonth":9,"dayOfYear":129,"dayOfWeek":"FRIDAY","hour":9,"minute":48,"second":5,"nano":0,"chronology":{"id":"ISO","calendarType":"iso8601"}},"knowledgeId":"","knowledgeMasterId":"","instructionType":"","instructionName":"","instructionFlag":"","parameter":"{\"nlpId\":\"17300825629321642727spln\",\"service\":\"Chat_library\"}","ttsResultSource":"FTT","ttsResult":"如果你想播放新闻,我可以为你提供最新的新闻资讯。","ttsResultTime":{"year":2025,"monthValue":5,"month":"MAY","dayOfMonth":9,"dayOfYear":129,"dayOfWeek":"FRIDAY","hour":9,"minute":48,"second":10,"nano":0,"chronology":{"id":"ISO","calendarType":"iso8601"}},"response":3644}]]</f>
        <v/>
      </c>
      <c r="C1487" t="inlineStr">
        <is>
          <t>INFO</t>
        </is>
      </c>
      <c r="D1487" t="inlineStr">
        <is>
          <t>vdh</t>
        </is>
      </c>
      <c r="E1487" t="inlineStr">
        <is>
          <t>pro14</t>
        </is>
      </c>
      <c r="F1487" t="inlineStr">
        <is>
          <t>prod</t>
        </is>
      </c>
    </row>
    <row r="1488">
      <c r="A1488" t="inlineStr">
        <is>
          <t>2025-05-09 09:48:09.543</t>
        </is>
      </c>
      <c r="B1488" t="inlineStr">
        <is>
          <t>第1次流式调用完成，耗时：1651ms，response: Response { content = AiMessage { text = "如果你想播放新闻，我可以为你提供最新的新闻资讯。请问你希望了解哪个类别的新闻呢？例如科技、娱乐、体育等。" toolExecutionRequests = null }, tokenUsage = TokenUsage { inputTokenCount = 4667, outputTokenCount = 62, totalTokenCount = 4729 }, finishReason = STOP }</t>
        </is>
      </c>
      <c r="C1488" t="inlineStr">
        <is>
          <t>INFO</t>
        </is>
      </c>
      <c r="D1488" t="inlineStr">
        <is>
          <t>vdh</t>
        </is>
      </c>
      <c r="E1488" t="inlineStr">
        <is>
          <t>pro14</t>
        </is>
      </c>
      <c r="F1488" t="inlineStr">
        <is>
          <t>prod</t>
        </is>
      </c>
    </row>
    <row r="1489">
      <c r="A1489" t="inlineStr">
        <is>
          <t>2025-05-09 09:48:09.543</t>
        </is>
      </c>
      <c r="B1489">
        <f>=请求结束== [请求耗时]:2127毫秒</f>
        <v/>
      </c>
      <c r="C1489" t="inlineStr">
        <is>
          <t>INFO</t>
        </is>
      </c>
      <c r="D1489" t="inlineStr">
        <is>
          <t>vdh</t>
        </is>
      </c>
      <c r="E1489" t="inlineStr">
        <is>
          <t>pro14</t>
        </is>
      </c>
      <c r="F1489" t="inlineStr">
        <is>
          <t>prod</t>
        </is>
      </c>
    </row>
    <row r="1490">
      <c r="A1490" t="inlineStr">
        <is>
          <t>2025-05-09 09:48:09.019</t>
        </is>
      </c>
      <c r="B1490" t="inlineStr">
        <is>
          <t xml:space="preserve">第1次流式调用开始回复，耗时：1127ms，第一个token: </t>
        </is>
      </c>
      <c r="C1490" t="inlineStr">
        <is>
          <t>INFO</t>
        </is>
      </c>
      <c r="D1490" t="inlineStr">
        <is>
          <t>vdh</t>
        </is>
      </c>
      <c r="E1490" t="inlineStr">
        <is>
          <t>pro14</t>
        </is>
      </c>
      <c r="F1490" t="inlineStr">
        <is>
          <t>prod</t>
        </is>
      </c>
    </row>
    <row r="1491">
      <c r="A1491" t="inlineStr">
        <is>
          <t>2025-05-09 09:48:07.892</t>
        </is>
      </c>
      <c r="B1491" t="inlineStr">
        <is>
          <t>streaming provider=gpt, model: gpt-4o</t>
        </is>
      </c>
      <c r="C1491" t="inlineStr">
        <is>
          <t>INFO</t>
        </is>
      </c>
      <c r="D1491" t="inlineStr">
        <is>
          <t>vdh</t>
        </is>
      </c>
      <c r="E1491" t="inlineStr">
        <is>
          <t>pro14</t>
        </is>
      </c>
      <c r="F1491" t="inlineStr">
        <is>
          <t>prod</t>
        </is>
      </c>
    </row>
    <row r="1492">
      <c r="A1492" t="inlineStr">
        <is>
          <t>2025-05-09 09:48:07.887</t>
        </is>
      </c>
      <c r="B1492">
        <f>=请求结束== [请求耗时]:457毫秒, [返回数据]:{"code":"000000","msg":"Success","data":[{"knowledgeId":"1326868148286373888","knowledgeContent":[{"score":0.734686875,"content":"：2025年春节/过年/大年初一是1月29日，农历正月初一，星期三。","fileId":"1326944717968060416","chunkId":"paragraph-1"},{"score":0.71856365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冬至：•新历：12月21日•农历：十一月初二•星期日","fileId":"1326944717968060416","chunkId":"paragraph-4"},{"score":0.71761352,"content":"：2025年放假调休日期的具体安排如下： 2025年元旦：1月1日，周三，放假1天，不调休。 2025年除夕/大年夜是1月28日，农历十二月二十九，星期二。","fileId":"1326944717968060416","chunkId":"paragraph-0"}]},{"knowledgeId":"1272947938412855296","knowledgeContent":[{"score":0.08889573000000002,"content":"到下午茶时间了，推荐几个甜品","fileId":"1275470180282040320","chunkId":"106","textGroup":"SELECT id, title FROM recipe_knowledge_nutrition WHERE classify_scene LIKE '%下午茶%' AND classify_taste LIKE '%甜%' ORDER BY random() LIMIT 5;"}]},{"knowledgeId":"1329399948694220800","knowledgeContent":[{"score":0.74967263,"content":"播放新闻","fileId":"1329400169758941184","chunkId":"51","textGroup":"news {type=top,size=3}"},{"score":0.7481749725,"content":"请帮我继续微波","fileId":"1347217269055369216","chunkId":"256","textGroup":"cooking_control {type=continue}"},{"score":0.7449638,"content":"请帮我暂停微波","fileId":"1347217269055369216","chunkId":"196","textGroup":"cooking_control {type=pause}"},{"score":0.7418972125,"content":"微波终止","fileId":"1347217269055369216","chunkId":"278","textGroup":"cooking_control {type=stop}"},{"score":0.741257375,"content":"微波开始","fileId":"1347217269055369216","chunkId":"94","textGroup":"cooking_control {type=start}"}]},{"knowledgeId":"1272948056214077440","knowledgeContent":[{"score":0.7576733824999999,"content":"问题：你什么时候在线。\\n回复：我二十四小时在线的。","fileId":"1303425377255075840","chunkId":"2676","textGroup":"你什么时候在线"},{"score":0.74181098,"content":"问题：可以通过哪个平台了姐到关于你们的情况。\\n回复：您可以通过关注我们的微信公众号、抖音“万得厨的厨”，了解更多关于烹饪技巧和美食分享的内容。","fileId":"1303425377255075840","chunkId":"715","textGroup":"可以从哪了解你们"},{"score":0.73737568,"content":"问题：可以和我聊聊天吗。\\n回复：你可以随时找我聊。","fileId":"1303425377255075840","chunkId":"2757","textGroup":"可以和我聊聊天吗"},{"score":0.7361005525000001,"content":"问题：你是否有公众号。\\n回复：万得厨微信官方公众号为“万得厨的厨”，不定时为您推送最全使用指南及最美味的食品食谱，期待您的关注！","fileId":"1303425377255075840","chunkId":"535","textGroup":"你有公众号吗"},{"score":0.7346718299999999,"content":"问题：晚安。\\n回复：晚安。","fileId":"1303425377255075840","chunkId":"2766","textGroup":"晚安"},{"score":0.733138345,"content":"问题：你在干嘛呢。\\n回复：我随时等待您的呼叫。","fileId":"1303425377255075840","chunkId":"2698","textGroup":"你在干嘛呢"},{"score":0.7329675375,"content":"问题：你好。\\n回复：你好，有什么可以帮您。","fileId":"1303425377255075840","chunkId":"2699","textGroup":"你好"}]}]}</f>
        <v/>
      </c>
      <c r="C1492" t="inlineStr">
        <is>
          <t>INFO</t>
        </is>
      </c>
      <c r="D1492" t="inlineStr">
        <is>
          <t>vdh</t>
        </is>
      </c>
      <c r="E1492" t="inlineStr">
        <is>
          <t>pro17</t>
        </is>
      </c>
      <c r="F1492" t="inlineStr">
        <is>
          <t>prod</t>
        </is>
      </c>
    </row>
    <row r="1493">
      <c r="A1493" t="inlineStr">
        <is>
          <t>2025-05-09 09:48:07.886</t>
        </is>
      </c>
      <c r="B1493" t="inlineStr">
        <is>
          <t>知识库插件检索耗时: 455ms</t>
        </is>
      </c>
      <c r="C1493" t="inlineStr">
        <is>
          <t>INFO</t>
        </is>
      </c>
      <c r="D1493" t="inlineStr">
        <is>
          <t>vdh</t>
        </is>
      </c>
      <c r="E1493" t="inlineStr">
        <is>
          <t>pro17</t>
        </is>
      </c>
      <c r="F1493" t="inlineStr">
        <is>
          <t>prod</t>
        </is>
      </c>
    </row>
    <row r="1494">
      <c r="A1494" t="inlineStr">
        <is>
          <t>2025-05-09 09:48:07.429</t>
        </is>
      </c>
      <c r="B1494">
        <f>=请求开始== [请求IP]:172.18.33.14 ,[请求方式]:POST， [请求URL]:https://172.30.103.196:8080/api/appservice/bfv/v1/knowledge/retrieval/plugin, [请求类名]:com.yingzi.appservice.bfv.provider.rest.KnowledgeRetrievalController,[请求方法名]:plugin, [请求头参数]:{"host":"172.30.103.196:8080"}, [请求参数]:[{"query":"到21号电视","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494" t="inlineStr">
        <is>
          <t>INFO</t>
        </is>
      </c>
      <c r="D1494" t="inlineStr">
        <is>
          <t>vdh</t>
        </is>
      </c>
      <c r="E1494" t="inlineStr">
        <is>
          <t>pro17</t>
        </is>
      </c>
      <c r="F1494" t="inlineStr">
        <is>
          <t>prod</t>
        </is>
      </c>
    </row>
    <row r="1495">
      <c r="A1495" t="inlineStr">
        <is>
          <t>2025-05-09 09:48:07.416</t>
        </is>
      </c>
      <c r="B1495">
        <f>=请求开始== [请求IP]:172.18.114.116 ,[请求方式]:POST， [请求URL]:https://172.30.212.148:8080/api/appservice/bfv/v1/chat/, [请求类名]:com.yingzi.appservice.bfv.provider.rest.ChatV1Controller,[请求方法名]:chat, [请求头参数]:{"host":"172.30.212.148:8080"}, [请求参数]:[{"stream":true,"message":"到21号电视","args":"{\"adcode\":\"440100\",\"channel_id\":\"9\"}"}]</f>
        <v/>
      </c>
      <c r="C1495" t="inlineStr">
        <is>
          <t>INFO</t>
        </is>
      </c>
      <c r="D1495" t="inlineStr">
        <is>
          <t>vdh</t>
        </is>
      </c>
      <c r="E1495" t="inlineStr">
        <is>
          <t>pro14</t>
        </is>
      </c>
      <c r="F1495" t="inlineStr">
        <is>
          <t>prod</t>
        </is>
      </c>
    </row>
    <row r="1496">
      <c r="A1496" t="inlineStr">
        <is>
          <t>2025-05-09 09:48:01.600</t>
        </is>
      </c>
      <c r="B1496">
        <f>=请求结束== [请求耗时]:14毫秒, [返回数据]:{"code":"000000","msg":"Success","traceId":"5ee1b7bcea34f0400e8327bb0c2fc0fb"}</f>
        <v/>
      </c>
      <c r="C1496" t="inlineStr">
        <is>
          <t>INFO</t>
        </is>
      </c>
      <c r="D1496" t="inlineStr">
        <is>
          <t>vdh</t>
        </is>
      </c>
      <c r="E1496" t="inlineStr">
        <is>
          <t>pro17</t>
        </is>
      </c>
      <c r="F1496" t="inlineStr">
        <is>
          <t>prod</t>
        </is>
      </c>
    </row>
    <row r="1497">
      <c r="A1497" t="inlineStr">
        <is>
          <t>2025-05-09 09:48:01.586</t>
        </is>
      </c>
      <c r="B1497">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这里是地铁线","instructionAsrFirstTime":{"year":2025,"monthValue":5,"month":"MAY","dayOfMonth":9,"dayOfYear":129,"dayOfWeek":"FRIDAY","hour":9,"minute":47,"second":53,"nano":0,"chronology":{"id":"ISO","calendarType":"iso8601"}},"knowledgeId":"","knowledgeMasterId":"","instructionType":"","instructionName":"","instructionFlag":"","parameter":"{\"nlpId\":\"17300825629321642727spln\",\"service\":\"Chat_library\"}","ttsResultSource":"FTT","ttsResult":"微波炉是不需要接地线的哦。","ttsResultTime":{"year":2025,"monthValue":5,"month":"MAY","dayOfMonth":9,"dayOfYear":129,"dayOfWeek":"FRIDAY","hour":9,"minute":47,"second":58,"nano":0,"chronology":{"id":"ISO","calendarType":"iso8601"}},"response":2549}]]</f>
        <v/>
      </c>
      <c r="C1497" t="inlineStr">
        <is>
          <t>INFO</t>
        </is>
      </c>
      <c r="D1497" t="inlineStr">
        <is>
          <t>vdh</t>
        </is>
      </c>
      <c r="E1497" t="inlineStr">
        <is>
          <t>pro17</t>
        </is>
      </c>
      <c r="F1497" t="inlineStr">
        <is>
          <t>prod</t>
        </is>
      </c>
    </row>
    <row r="1498">
      <c r="A1498" t="inlineStr">
        <is>
          <t>2025-05-09 09:47:57.566</t>
        </is>
      </c>
      <c r="B1498">
        <f>=请求结束== [请求耗时]:1515毫秒</f>
        <v/>
      </c>
      <c r="C1498" t="inlineStr">
        <is>
          <t>INFO</t>
        </is>
      </c>
      <c r="D1498" t="inlineStr">
        <is>
          <t>vdh</t>
        </is>
      </c>
      <c r="E1498" t="inlineStr">
        <is>
          <t>pro14</t>
        </is>
      </c>
      <c r="F1498" t="inlineStr">
        <is>
          <t>prod</t>
        </is>
      </c>
    </row>
    <row r="1499">
      <c r="A1499" t="inlineStr">
        <is>
          <t>2025-05-09 09:47:57.565</t>
        </is>
      </c>
      <c r="B1499" t="inlineStr">
        <is>
          <t>第1次流式调用完成，耗时：1187ms，response: Response { content = AiMessage { text = "微波炉是不需要接地线的哦。" toolExecutionRequests = null }, tokenUsage = TokenUsage { inputTokenCount = 4229, outputTokenCount = 16, totalTokenCount = 4245 }, finishReason = STOP }</t>
        </is>
      </c>
      <c r="C1499" t="inlineStr">
        <is>
          <t>INFO</t>
        </is>
      </c>
      <c r="D1499" t="inlineStr">
        <is>
          <t>vdh</t>
        </is>
      </c>
      <c r="E1499" t="inlineStr">
        <is>
          <t>pro14</t>
        </is>
      </c>
      <c r="F1499" t="inlineStr">
        <is>
          <t>prod</t>
        </is>
      </c>
    </row>
    <row r="1500">
      <c r="A1500" t="inlineStr">
        <is>
          <t>2025-05-09 09:47:57.397</t>
        </is>
      </c>
      <c r="B1500" t="inlineStr">
        <is>
          <t xml:space="preserve">第1次流式调用开始回复，耗时：1019ms，第一个token: </t>
        </is>
      </c>
      <c r="C1500" t="inlineStr">
        <is>
          <t>INFO</t>
        </is>
      </c>
      <c r="D1500" t="inlineStr">
        <is>
          <t>vdh</t>
        </is>
      </c>
      <c r="E1500" t="inlineStr">
        <is>
          <t>pro14</t>
        </is>
      </c>
      <c r="F1500" t="inlineStr">
        <is>
          <t>prod</t>
        </is>
      </c>
    </row>
    <row r="1501">
      <c r="A1501" t="inlineStr">
        <is>
          <t>2025-05-09 09:47:56.378</t>
        </is>
      </c>
      <c r="B1501" t="inlineStr">
        <is>
          <t>streaming provider=gpt, model: gpt-4o</t>
        </is>
      </c>
      <c r="C1501" t="inlineStr">
        <is>
          <t>INFO</t>
        </is>
      </c>
      <c r="D1501" t="inlineStr">
        <is>
          <t>vdh</t>
        </is>
      </c>
      <c r="E1501" t="inlineStr">
        <is>
          <t>pro14</t>
        </is>
      </c>
      <c r="F1501" t="inlineStr">
        <is>
          <t>prod</t>
        </is>
      </c>
    </row>
    <row r="1502">
      <c r="A1502" t="inlineStr">
        <is>
          <t>2025-05-09 09:47:56.369</t>
        </is>
      </c>
      <c r="B1502">
        <f>=请求结束== [请求耗时]:304毫秒, [返回数据]:{"code":"000000","msg":"Success","data":[{"knowledgeId":"1326868148286373888","knowledgeContent":[{"score":0.7243538075,"content":"：2025年春节/过年/大年初一是1月29日，农历正月初一，星期三。","fileId":"1326944717968060416","chunkId":"paragraph-1"},{"score":0.70965497,"content":"：深圳数影科技的股价是多少？深圳数影科技有限公司没有上市，因此没有股价信息。 广西扬翔股份上市了吗？广西扬翔股份没有上市。","fileId":"1326944717968060416","chunkId":"paragraph-6"},{"score":0.7083614825,"content":"：2025年元宵节是2月12日，农历正月十五，星期三。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1272948056214077440","knowledgeContent":[{"score":0.7545764925,"content":"问题：请问微博炉是否需要接地线。\\n回复：微波是不需要接地线的哦","fileId":"1303425377255075840","chunkId":"2270","textGroup":"微波炉需要接地线吗"},{"score":0.7484282725,"content":"问题：你什么时候在线。\\n回复：我二十四小时在线的。","fileId":"1303425377255075840","chunkId":"2676","textGroup":"你什么时候在线"}]},{"knowledgeId":"1329399948694220800","knowledgeContent":[{"score":0.7468057925,"content":"我想了解下新闻热点","fileId":"1329400169758941184","chunkId":"64","textGroup":"news {type=top,size=3}"},{"score":0.74390589,"content":"请帮我继续微波","fileId":"1347217269055369216","chunkId":"256","textGroup":"cooking_control {type=continue}"},{"score":0.7432491375,"content":"我想微波暂停","fileId":"1347217269055369216","chunkId":"195","textGroup":"cooking_control {type=pause}"},{"score":0.741995855,"content":"启动微波功能","fileId":"1347217269055369216","chunkId":"64","textGroup":"cooking_control {type=start}"},{"score":0.7372681974999999,"content":"请帮我终止微波","fileId":"1347217269055369216","chunkId":"328","textGroup":"cooking_control {type=stop}"},{"score":0.7367831874999999,"content":"现在天气","fileId":"1329400169758941184","chunkId":"2","textGroup":"getCurrentWeather"},{"score":0.73509666,"content":"有什么科技新闻","fileId":"1329400169758941184","chunkId":"76","textGroup":"news {type=keji,size=3}"}]}]}</f>
        <v/>
      </c>
      <c r="C1502" t="inlineStr">
        <is>
          <t>INFO</t>
        </is>
      </c>
      <c r="D1502" t="inlineStr">
        <is>
          <t>vdh</t>
        </is>
      </c>
      <c r="E1502" t="inlineStr">
        <is>
          <t>pro17</t>
        </is>
      </c>
      <c r="F1502" t="inlineStr">
        <is>
          <t>prod</t>
        </is>
      </c>
    </row>
    <row r="1503">
      <c r="A1503" t="inlineStr">
        <is>
          <t>2025-05-09 09:47:56.369</t>
        </is>
      </c>
      <c r="B1503" t="inlineStr">
        <is>
          <t>知识库插件检索耗时: 302ms</t>
        </is>
      </c>
      <c r="C1503" t="inlineStr">
        <is>
          <t>INFO</t>
        </is>
      </c>
      <c r="D1503" t="inlineStr">
        <is>
          <t>vdh</t>
        </is>
      </c>
      <c r="E1503" t="inlineStr">
        <is>
          <t>pro17</t>
        </is>
      </c>
      <c r="F1503" t="inlineStr">
        <is>
          <t>prod</t>
        </is>
      </c>
    </row>
    <row r="1504">
      <c r="A1504" t="inlineStr">
        <is>
          <t>2025-05-09 09:47:56.065</t>
        </is>
      </c>
      <c r="B1504">
        <f>=请求开始== [请求IP]:172.18.33.14 ,[请求方式]:POST， [请求URL]:https://172.30.103.196:8080/api/appservice/bfv/v1/knowledge/retrieval/plugin, [请求类名]:com.yingzi.appservice.bfv.provider.rest.KnowledgeRetrievalController,[请求方法名]:plugin, [请求头参数]:{"host":"172.30.103.196:8080"}, [请求参数]:[{"query":"这里是地铁线","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504" t="inlineStr">
        <is>
          <t>INFO</t>
        </is>
      </c>
      <c r="D1504" t="inlineStr">
        <is>
          <t>vdh</t>
        </is>
      </c>
      <c r="E1504" t="inlineStr">
        <is>
          <t>pro17</t>
        </is>
      </c>
      <c r="F1504" t="inlineStr">
        <is>
          <t>prod</t>
        </is>
      </c>
    </row>
    <row r="1505">
      <c r="A1505" t="inlineStr">
        <is>
          <t>2025-05-09 09:47:56.052</t>
        </is>
      </c>
      <c r="B1505">
        <f>=请求开始== [请求IP]:172.18.114.116 ,[请求方式]:POST， [请求URL]:https://172.30.212.148:8080/api/appservice/bfv/v1/chat/, [请求类名]:com.yingzi.appservice.bfv.provider.rest.ChatV1Controller,[请求方法名]:chat, [请求头参数]:{"host":"172.30.212.148:8080"}, [请求参数]:[{"stream":true,"message":"这里是地铁线","args":"{\"adcode\":\"440100\",\"channel_id\":\"9\"}"}]</f>
        <v/>
      </c>
      <c r="C1505" t="inlineStr">
        <is>
          <t>INFO</t>
        </is>
      </c>
      <c r="D1505" t="inlineStr">
        <is>
          <t>vdh</t>
        </is>
      </c>
      <c r="E1505" t="inlineStr">
        <is>
          <t>pro14</t>
        </is>
      </c>
      <c r="F1505" t="inlineStr">
        <is>
          <t>prod</t>
        </is>
      </c>
    </row>
    <row r="1506">
      <c r="A1506" t="inlineStr">
        <is>
          <t>2025-05-09 09:47:48.667</t>
        </is>
      </c>
      <c r="B1506">
        <f>=请求结束== [请求耗时]:13毫秒, [返回数据]:{"code":"000000","msg":"Success","traceId":"566086111106201b360152db74832e7c"}</f>
        <v/>
      </c>
      <c r="C1506" t="inlineStr">
        <is>
          <t>INFO</t>
        </is>
      </c>
      <c r="D1506" t="inlineStr">
        <is>
          <t>vdh</t>
        </is>
      </c>
      <c r="E1506" t="inlineStr">
        <is>
          <t>pro14</t>
        </is>
      </c>
      <c r="F1506" t="inlineStr">
        <is>
          <t>prod</t>
        </is>
      </c>
    </row>
    <row r="1507">
      <c r="A1507" t="inlineStr">
        <is>
          <t>2025-05-09 09:47:48.655</t>
        </is>
      </c>
      <c r="B1507">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507" t="inlineStr">
        <is>
          <t>INFO</t>
        </is>
      </c>
      <c r="D1507" t="inlineStr">
        <is>
          <t>vdh</t>
        </is>
      </c>
      <c r="E1507" t="inlineStr">
        <is>
          <t>pro14</t>
        </is>
      </c>
      <c r="F1507" t="inlineStr">
        <is>
          <t>prod</t>
        </is>
      </c>
    </row>
    <row r="1508">
      <c r="A1508" t="inlineStr">
        <is>
          <t>2025-05-09 09:47:48.468</t>
        </is>
      </c>
      <c r="B1508">
        <f>=请求结束== [请求耗时]:13毫秒, [返回数据]:{"code":"000000","msg":"Success","traceId":"f3758e02dedbc23d0d32d53d02156393"}</f>
        <v/>
      </c>
      <c r="C1508" t="inlineStr">
        <is>
          <t>INFO</t>
        </is>
      </c>
      <c r="D1508" t="inlineStr">
        <is>
          <t>vdh</t>
        </is>
      </c>
      <c r="E1508" t="inlineStr">
        <is>
          <t>pro17</t>
        </is>
      </c>
      <c r="F1508" t="inlineStr">
        <is>
          <t>prod</t>
        </is>
      </c>
    </row>
    <row r="1509">
      <c r="A1509" t="inlineStr">
        <is>
          <t>2025-05-09 09:47:48.455</t>
        </is>
      </c>
      <c r="B1509">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instructionAsrFirstTime":{"year":2025,"monthValue":5,"month":"MAY","dayOfMonth":9,"dayOfYear":129,"dayOfWeek":"FRIDAY","hour":9,"minute":47,"second":48,"nano":0,"chronology":{"id":"ISO","calendarType":"iso8601"}},"knowledgeId":"","knowledgeMasterId":"","instructionType":"","instructionName":"","instructionFlag":"","parameter":"{}","ttsResultSource":"","ttsResult":"","response":0}]]</f>
        <v/>
      </c>
      <c r="C1509" t="inlineStr">
        <is>
          <t>INFO</t>
        </is>
      </c>
      <c r="D1509" t="inlineStr">
        <is>
          <t>vdh</t>
        </is>
      </c>
      <c r="E1509" t="inlineStr">
        <is>
          <t>pro17</t>
        </is>
      </c>
      <c r="F1509" t="inlineStr">
        <is>
          <t>prod</t>
        </is>
      </c>
    </row>
    <row r="1510">
      <c r="A1510" t="inlineStr">
        <is>
          <t>2025-05-09 09:47:37.290</t>
        </is>
      </c>
      <c r="B1510">
        <f>=请求结束== [请求耗时]:15毫秒, [返回数据]:{"code":"000000","msg":"Success","traceId":"1197d639792886e0d4eb26de40758f1a"}</f>
        <v/>
      </c>
      <c r="C1510" t="inlineStr">
        <is>
          <t>INFO</t>
        </is>
      </c>
      <c r="D1510" t="inlineStr">
        <is>
          <t>vdh</t>
        </is>
      </c>
      <c r="E1510" t="inlineStr">
        <is>
          <t>pro14</t>
        </is>
      </c>
      <c r="F1510" t="inlineStr">
        <is>
          <t>prod</t>
        </is>
      </c>
    </row>
    <row r="1511">
      <c r="A1511" t="inlineStr">
        <is>
          <t>2025-05-09 09:47:37.275</t>
        </is>
      </c>
      <c r="B1511">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21号线换乘","instructionAsrFirstTime":{"year":2025,"monthValue":5,"month":"MAY","dayOfMonth":9,"dayOfYear":129,"dayOfWeek":"FRIDAY","hour":9,"minute":47,"second":21,"nano":0,"chronology":{"id":"ISO","calendarType":"iso8601"}},"knowledgeId":"","knowledgeMasterId":"","instructionType":"","instructionName":"","instructionFlag":"","parameter":"{\"nlpId\":\"17300825629321642727spln\",\"service\":\"Chat_library\"}","ttsResultSource":"FTT","ttsResult":"请问您是想了解关于地铁21号线的换乘信息吗?如果是的话,您可以具体告诉我想了解哪个城市或哪个地铁站的换乘信息,","ttsResultTime":{"year":2025,"monthValue":5,"month":"MAY","dayOfMonth":9,"dayOfYear":129,"dayOfWeek":"FRIDAY","hour":9,"minute":47,"second":28,"nano":0,"chronology":{"id":"ISO","calendarType":"iso8601"}},"response":3431}]]</f>
        <v/>
      </c>
      <c r="C1511" t="inlineStr">
        <is>
          <t>INFO</t>
        </is>
      </c>
      <c r="D1511" t="inlineStr">
        <is>
          <t>vdh</t>
        </is>
      </c>
      <c r="E1511" t="inlineStr">
        <is>
          <t>pro14</t>
        </is>
      </c>
      <c r="F1511" t="inlineStr">
        <is>
          <t>prod</t>
        </is>
      </c>
    </row>
    <row r="1512">
      <c r="A1512" t="inlineStr">
        <is>
          <t>2025-05-09 09:47:27.572</t>
        </is>
      </c>
      <c r="B1512">
        <f>=请求结束== [请求耗时]:2715毫秒</f>
        <v/>
      </c>
      <c r="C1512" t="inlineStr">
        <is>
          <t>INFO</t>
        </is>
      </c>
      <c r="D1512" t="inlineStr">
        <is>
          <t>vdh</t>
        </is>
      </c>
      <c r="E1512" t="inlineStr">
        <is>
          <t>pro14</t>
        </is>
      </c>
      <c r="F1512" t="inlineStr">
        <is>
          <t>prod</t>
        </is>
      </c>
    </row>
    <row r="1513">
      <c r="A1513" t="inlineStr">
        <is>
          <t>2025-05-09 09:47:27.572</t>
        </is>
      </c>
      <c r="B1513" t="inlineStr">
        <is>
          <t>第1次流式调用完成，耗时：2313ms，response: Response { content = AiMessage { text = "请问您是想了解关于地铁21号线的换乘信息吗？如果是的话，您可以具体告诉我想了解哪个城市或哪个地铁站的换乘信息，我将尽力提供帮助。" toolExecutionRequests = null }, tokenUsage = TokenUsage { inputTokenCount = 4504, outputTokenCount = 72, totalTokenCount = 4576 }, finishReason = STOP }</t>
        </is>
      </c>
      <c r="C1513" t="inlineStr">
        <is>
          <t>INFO</t>
        </is>
      </c>
      <c r="D1513" t="inlineStr">
        <is>
          <t>vdh</t>
        </is>
      </c>
      <c r="E1513" t="inlineStr">
        <is>
          <t>pro14</t>
        </is>
      </c>
      <c r="F1513" t="inlineStr">
        <is>
          <t>prod</t>
        </is>
      </c>
    </row>
    <row r="1514">
      <c r="A1514" t="inlineStr">
        <is>
          <t>2025-05-09 09:47:26.319</t>
        </is>
      </c>
      <c r="B1514" t="inlineStr">
        <is>
          <t xml:space="preserve">第1次流式调用开始回复，耗时：1060ms，第一个token: </t>
        </is>
      </c>
      <c r="C1514" t="inlineStr">
        <is>
          <t>INFO</t>
        </is>
      </c>
      <c r="D1514" t="inlineStr">
        <is>
          <t>vdh</t>
        </is>
      </c>
      <c r="E1514" t="inlineStr">
        <is>
          <t>pro14</t>
        </is>
      </c>
      <c r="F1514" t="inlineStr">
        <is>
          <t>prod</t>
        </is>
      </c>
    </row>
    <row r="1515">
      <c r="A1515" t="inlineStr">
        <is>
          <t>2025-05-09 09:47:25.259</t>
        </is>
      </c>
      <c r="B1515" t="inlineStr">
        <is>
          <t>streaming provider=gpt, model: gpt-4o</t>
        </is>
      </c>
      <c r="C1515" t="inlineStr">
        <is>
          <t>INFO</t>
        </is>
      </c>
      <c r="D1515" t="inlineStr">
        <is>
          <t>vdh</t>
        </is>
      </c>
      <c r="E1515" t="inlineStr">
        <is>
          <t>pro14</t>
        </is>
      </c>
      <c r="F1515" t="inlineStr">
        <is>
          <t>prod</t>
        </is>
      </c>
    </row>
    <row r="1516">
      <c r="A1516" t="inlineStr">
        <is>
          <t>2025-05-09 09:47:25.253</t>
        </is>
      </c>
      <c r="B1516">
        <f>=请求结束== [请求耗时]:382毫秒, [返回数据]:{"code":"000000","msg":"Success","data":[{"knowledgeId":"1326868148286373888","knowledgeContent":[{"score":0.72857665,"content":"：2025年春节/过年/大年初一是1月29日，农历正月初一，星期三。","fileId":"1326944717968060416","chunkId":"paragraph-1"},{"score":0.717271905,"content":"：深圳数影科技的股价是多少？深圳数影科技有限公司没有上市，因此没有股价信息。 广西扬翔股份上市了吗？广西扬翔股份没有上市。","fileId":"1326944717968060416","chunkId":"paragraph-6"},{"score":0.716766835,"content":"：2025年元宵节是2月12日，农历正月十五，星期三。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1272948056214077440","knowledgeContent":[{"score":0.7445829574999999,"content":"问题：你什么时候在线。\\n回复：我二十四小时在线的。","fileId":"1303425377255075840","chunkId":"2676","textGroup":"你什么时候在线"},{"score":0.7316503775,"content":"问题：微博炉需不需要接地线再使用。\\n回复：微波是不需要接地线的哦","fileId":"1303425377255075840","chunkId":"2258","textGroup":"微波炉需要接地线吗"},{"score":0.7301216525,"content":"问题：你有公众号吗。\\n回复：万得厨微信官方公众号为“万得厨的厨”，不定时为您推送最全使用指南及最美味的食品食谱，期待您的关注！","fileId":"1303425377255075840","chunkId":"2782","textGroup":"你有公众号吗"},{"score":0.7293072249999999,"content":"问题：你好。\\n回复：你好，有什么可以帮您。","fileId":"1303425377255075840","chunkId":"2699","textGroup":"你好"},{"score":0.7286952675,"content":"问题：晚安。\\n回复：晚安。","fileId":"1303425377255075840","chunkId":"2766","textGroup":"晚安"},{"score":0.7281308675,"content":"问题：万德福可以空载运行吗。\\n回复：微波炉是严禁空载使用的哦，会损坏微波炉的","fileId":"1303425377255075840","chunkId":"1921","textGroup":"微波炉可以空载运行吗"}]},{"knowledgeId":"1329399948694220800","knowledgeContent":[{"score":0.7370456249999999,"content":"微波暂停","fileId":"1347217269055369216","chunkId":"164","textGroup":"cooking_control {type=pause}"},{"score":0.7357879225,"content":"请帮我继续微波","fileId":"1347217269055369216","chunkId":"256","textGroup":"cooking_control {type=continue}"},{"score":0.7324541375,"content":"请帮我终止微波","fileId":"1347217269055369216","chunkId":"328","textGroup":"cooking_control {type=stop}"},{"score":0.727366335,"content":"启动微波功能","fileId":"1347217269055369216","chunkId":"64","textGroup":"cooking_control {type=start}"},{"score":0.7270281199999999,"content":"换到[菜品名称]","fileId":"1347217269055369216","chunkId":"20","textGroup":"set_foodtype_taste"},{"score":0.7265411975,"content":"北京今天天气","fileId":"1329400169758941184","chunkId":"49","textGroup":"getCurrentWeather {province=北京市}"},{"score":0.7242242249999999,"content":"深圳明天天气","fileId":"1329400169758941184","chunkId":"42","textGroup":"getCurrentWeather {province=广东省,city=深圳市}"},{"score":0.7236795874999999,"content":"播报热点新闻","fileId":"1329400169758941184","chunkId":"83","textGroup":"news {type=top,size=3}"},{"score":0.72292687,"content":"通州区今天天气","fileId":"1329400169758941184","chunkId":"50","textGroup":"getCurrentWeather {province=北京市,district=通州区}"}]}]}</f>
        <v/>
      </c>
      <c r="C1516" t="inlineStr">
        <is>
          <t>INFO</t>
        </is>
      </c>
      <c r="D1516" t="inlineStr">
        <is>
          <t>vdh</t>
        </is>
      </c>
      <c r="E1516" t="inlineStr">
        <is>
          <t>pro17</t>
        </is>
      </c>
      <c r="F1516" t="inlineStr">
        <is>
          <t>prod</t>
        </is>
      </c>
    </row>
    <row r="1517">
      <c r="A1517" t="inlineStr">
        <is>
          <t>2025-05-09 09:47:25.253</t>
        </is>
      </c>
      <c r="B1517" t="inlineStr">
        <is>
          <t>知识库插件检索耗时: 380ms</t>
        </is>
      </c>
      <c r="C1517" t="inlineStr">
        <is>
          <t>INFO</t>
        </is>
      </c>
      <c r="D1517" t="inlineStr">
        <is>
          <t>vdh</t>
        </is>
      </c>
      <c r="E1517" t="inlineStr">
        <is>
          <t>pro17</t>
        </is>
      </c>
      <c r="F1517" t="inlineStr">
        <is>
          <t>prod</t>
        </is>
      </c>
    </row>
    <row r="1518">
      <c r="A1518" t="inlineStr">
        <is>
          <t>2025-05-09 09:47:24.871</t>
        </is>
      </c>
      <c r="B1518">
        <f>=请求开始== [请求IP]:172.18.33.14 ,[请求方式]:POST， [请求URL]:https://172.30.103.196:8080/api/appservice/bfv/v1/knowledge/retrieval/plugin, [请求类名]:com.yingzi.appservice.bfv.provider.rest.KnowledgeRetrievalController,[请求方法名]:plugin, [请求头参数]:{"host":"172.30.103.196:8080"}, [请求参数]:[{"query":"21号线换乘","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518" t="inlineStr">
        <is>
          <t>INFO</t>
        </is>
      </c>
      <c r="D1518" t="inlineStr">
        <is>
          <t>vdh</t>
        </is>
      </c>
      <c r="E1518" t="inlineStr">
        <is>
          <t>pro17</t>
        </is>
      </c>
      <c r="F1518" t="inlineStr">
        <is>
          <t>prod</t>
        </is>
      </c>
    </row>
    <row r="1519">
      <c r="A1519" t="inlineStr">
        <is>
          <t>2025-05-09 09:47:24.857</t>
        </is>
      </c>
      <c r="B1519">
        <f>=请求开始== [请求IP]:172.18.114.98 ,[请求方式]:POST， [请求URL]:https://172.30.212.148:8080/api/appservice/bfv/v1/chat/, [请求类名]:com.yingzi.appservice.bfv.provider.rest.ChatV1Controller,[请求方法名]:chat, [请求头参数]:{"host":"172.30.212.148:8080"}, [请求参数]:[{"stream":true,"message":"21号线换乘","args":"{\"adcode\":\"440100\",\"channel_id\":\"9\"}"}]</f>
        <v/>
      </c>
      <c r="C1519" t="inlineStr">
        <is>
          <t>INFO</t>
        </is>
      </c>
      <c r="D1519" t="inlineStr">
        <is>
          <t>vdh</t>
        </is>
      </c>
      <c r="E1519" t="inlineStr">
        <is>
          <t>pro14</t>
        </is>
      </c>
      <c r="F1519" t="inlineStr">
        <is>
          <t>prod</t>
        </is>
      </c>
    </row>
    <row r="1520">
      <c r="A1520" t="inlineStr">
        <is>
          <t>2025-05-09 09:47:23.016</t>
        </is>
      </c>
      <c r="B1520">
        <f>=请求结束== [请求耗时]:10068毫秒</f>
        <v/>
      </c>
      <c r="C1520" t="inlineStr">
        <is>
          <t>INFO</t>
        </is>
      </c>
      <c r="D1520" t="inlineStr">
        <is>
          <t>vdh</t>
        </is>
      </c>
      <c r="E1520" t="inlineStr">
        <is>
          <t>pro14</t>
        </is>
      </c>
      <c r="F1520" t="inlineStr">
        <is>
          <t>prod</t>
        </is>
      </c>
    </row>
    <row r="1521">
      <c r="A1521" t="inlineStr">
        <is>
          <t>2025-05-09 09:47:23.016</t>
        </is>
      </c>
      <c r="B1521" t="inlineStr">
        <is>
          <t>第1次流式调用完成，耗时：9731ms，response: Response { content = AiMessage { text = "您好，您是想了解地铁21号线的换乘信息吗？目前我主要提供微波炉操作、天气查询、新闻查询等服务。如果您需要关于地铁的信息，可以通过其他交通查询工具或网站获取相关信息。有什么其他问题可以帮您吗？" toolExecutionRequests = null }, tokenUsage = TokenUsage { inputTokenCount = 4676, outputTokenCount = 89, totalTokenCount = 4765 }, finishReason = STOP }</t>
        </is>
      </c>
      <c r="C1521" t="inlineStr">
        <is>
          <t>INFO</t>
        </is>
      </c>
      <c r="D1521" t="inlineStr">
        <is>
          <t>vdh</t>
        </is>
      </c>
      <c r="E1521" t="inlineStr">
        <is>
          <t>pro14</t>
        </is>
      </c>
      <c r="F1521" t="inlineStr">
        <is>
          <t>prod</t>
        </is>
      </c>
    </row>
    <row r="1522">
      <c r="A1522" t="inlineStr">
        <is>
          <t>2025-05-09 09:47:20.045</t>
        </is>
      </c>
      <c r="B1522">
        <f>=请求结束== [请求耗时]:16毫秒, [返回数据]:{"code":"000000","msg":"Success","traceId":"403c4ebd2a9af40c2fdbfeb0366fac75"}</f>
        <v/>
      </c>
      <c r="C1522" t="inlineStr">
        <is>
          <t>INFO</t>
        </is>
      </c>
      <c r="D1522" t="inlineStr">
        <is>
          <t>vdh</t>
        </is>
      </c>
      <c r="E1522" t="inlineStr">
        <is>
          <t>pro17</t>
        </is>
      </c>
      <c r="F1522" t="inlineStr">
        <is>
          <t>prod</t>
        </is>
      </c>
    </row>
    <row r="1523">
      <c r="A1523" t="inlineStr">
        <is>
          <t>2025-05-09 09:47:20.029</t>
        </is>
      </c>
      <c r="B1523">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搭21号线换乘","instructionAsrFirstTime":{"year":2025,"monthValue":5,"month":"MAY","dayOfMonth":9,"dayOfYear":129,"dayOfWeek":"FRIDAY","hour":9,"minute":47,"second":10,"nano":0,"chronology":{"id":"ISO","calendarType":"iso8601"}},"knowledgeId":"","knowledgeMasterId":"","instructionType":"","instructionName":"","instructionFlag":"","parameter":"{}","ttsResultSource":"FTT","ttsResult":"","response":0}]]</f>
        <v/>
      </c>
      <c r="C1523" t="inlineStr">
        <is>
          <t>INFO</t>
        </is>
      </c>
      <c r="D1523" t="inlineStr">
        <is>
          <t>vdh</t>
        </is>
      </c>
      <c r="E1523" t="inlineStr">
        <is>
          <t>pro17</t>
        </is>
      </c>
      <c r="F1523" t="inlineStr">
        <is>
          <t>prod</t>
        </is>
      </c>
    </row>
    <row r="1524">
      <c r="A1524" t="inlineStr">
        <is>
          <t>2025-05-09 09:47:19.235</t>
        </is>
      </c>
      <c r="B1524" t="inlineStr">
        <is>
          <t xml:space="preserve">第1次流式调用开始回复，耗时：5950ms，第一个token: </t>
        </is>
      </c>
      <c r="C1524" t="inlineStr">
        <is>
          <t>INFO</t>
        </is>
      </c>
      <c r="D1524" t="inlineStr">
        <is>
          <t>vdh</t>
        </is>
      </c>
      <c r="E1524" t="inlineStr">
        <is>
          <t>pro14</t>
        </is>
      </c>
      <c r="F1524" t="inlineStr">
        <is>
          <t>prod</t>
        </is>
      </c>
    </row>
    <row r="1525">
      <c r="A1525" t="inlineStr">
        <is>
          <t>2025-05-09 09:47:13.286</t>
        </is>
      </c>
      <c r="B1525" t="inlineStr">
        <is>
          <t>streaming provider=gpt, model: gpt-4o</t>
        </is>
      </c>
      <c r="C1525" t="inlineStr">
        <is>
          <t>INFO</t>
        </is>
      </c>
      <c r="D1525" t="inlineStr">
        <is>
          <t>vdh</t>
        </is>
      </c>
      <c r="E1525" t="inlineStr">
        <is>
          <t>pro14</t>
        </is>
      </c>
      <c r="F1525" t="inlineStr">
        <is>
          <t>prod</t>
        </is>
      </c>
    </row>
    <row r="1526">
      <c r="A1526" t="inlineStr">
        <is>
          <t>2025-05-09 09:47:13.279</t>
        </is>
      </c>
      <c r="B1526">
        <f>=请求结束== [请求耗时]:320毫秒, [返回数据]:{"code":"000000","msg":"Success","data":[{"knowledgeId":"1326868148286373888","knowledgeContent":[{"score":0.730500115,"content":"：2025年春节/过年/大年初一是1月29日，农历正月初一，星期三。","fileId":"1326944717968060416","chunkId":"paragraph-1"},{"score":0.7180898175,"content":"：深圳数影科技的股价是多少？深圳数影科技有限公司没有上市，因此没有股价信息。 广西扬翔股份上市了吗？广西扬翔股份没有上市。","fileId":"1326944717968060416","chunkId":"paragraph-6"},{"score":0.7176449275,"content":"：2025年元宵节是2月12日，农历正月十五，星期三。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1329399948694220800","knowledgeContent":[{"score":0.7386420524999999,"content":"请帮我继续微波","fileId":"1347217269055369216","chunkId":"256","textGroup":"cooking_control {type=continue}"},{"score":0.7382505425,"content":"我想微波暂停","fileId":"1347217269055369216","chunkId":"195","textGroup":"cooking_control {type=pause}"},{"score":0.734060765,"content":"请帮我终止微波","fileId":"1347217269055369216","chunkId":"328","textGroup":"cooking_control {type=stop}"},{"score":0.72921517,"content":"启动微波功能","fileId":"1347217269055369216","chunkId":"64","textGroup":"cooking_control {type=start}"},{"score":0.72820367,"content":"深圳明天天气","fileId":"1329400169758941184","chunkId":"42","textGroup":"getCurrentWeather {province=广东省,city=深圳市}"},{"score":0.7261237625,"content":"查询新闻","fileId":"1329400169758941184","chunkId":"57","textGroup":"news {type=top,size=3}"},{"score":0.72610111,"content":"换到[菜品名称]","fileId":"1347217269055369216","chunkId":"20","textGroup":"set_foodtype_taste"}]},{"knowledgeId":"1272948056214077440","knowledgeContent":[{"score":0.75011293,"content":"问题：你什么时候在线。\\n回复：我二十四小时在线的。","fileId":"1303425377255075840","chunkId":"2676","textGroup":"你什么时候在线"},{"score":0.7373312675,"content":"问题：你有公众号吗。\\n回复：万得厨微信官方公众号为“万得厨的厨”，不定时为您推送最全使用指南及最美味的食品食谱，期待您的关注！","fileId":"1303425377255075840","chunkId":"2782","textGroup":"你有公众号吗"},{"score":0.7369319375,"content":"问题：你好。\\n回复：你好，有什么可以帮您。","fileId":"1303425377255075840","chunkId":"2699","textGroup":"你好"},{"score":0.7353772875,"content":"问题：晚安。\\n回复：晚安。","fileId":"1303425377255075840","chunkId":"2766","textGroup":"晚安"},{"score":0.73413157,"content":"问题：可以和我聊聊天吗。\\n回复：你可以随时找我聊。","fileId":"1303425377255075840","chunkId":"2757","textGroup":"可以和我聊聊天吗"},{"score":0.733310555,"content":"问题：万德福可以空载运行吗。\\n回复：微波炉是严禁空载使用的哦，会损坏微波炉的","fileId":"1303425377255075840","chunkId":"1921","textGroup":"微波炉可以空载运行吗"},{"score":0.7324442775,"content":"问题：你们是否与新食记有交涉。\\n回复：万得厨和新食记是战略合作伙伴关系。新食记作为预制菜美食供应商，在平台上为用户提供多样的食品选择及适用于万得厨的海量食谱。","fileId":"1303425377255075840","chunkId":"199","textGroup":"万得厨跟新食记是否有关系"},{"score":0.7319789025,"content":"问题：不满。\\n回复：不满意的地方还请多多包涵。","fileId":"1303425377255075840","chunkId":"2671","textGroup":"不满"},{"score":0.731332095,"content":"问题：你是否有抖音账号。\\n回复：万得厨官方抖音账号为“万得厨的厨”，不定时为您推送最全使用指南及最美味的食品食谱，期待您的关注！","fileId":"1303425377255075840","chunkId":"583","textGroup":"你有抖音账号吗"}]}]}</f>
        <v/>
      </c>
      <c r="C1526" t="inlineStr">
        <is>
          <t>INFO</t>
        </is>
      </c>
      <c r="D1526" t="inlineStr">
        <is>
          <t>vdh</t>
        </is>
      </c>
      <c r="E1526" t="inlineStr">
        <is>
          <t>pro17</t>
        </is>
      </c>
      <c r="F1526" t="inlineStr">
        <is>
          <t>prod</t>
        </is>
      </c>
    </row>
    <row r="1527">
      <c r="A1527" t="inlineStr">
        <is>
          <t>2025-05-09 09:47:13.278</t>
        </is>
      </c>
      <c r="B1527" t="inlineStr">
        <is>
          <t>知识库插件检索耗时: 318ms</t>
        </is>
      </c>
      <c r="C1527" t="inlineStr">
        <is>
          <t>INFO</t>
        </is>
      </c>
      <c r="D1527" t="inlineStr">
        <is>
          <t>vdh</t>
        </is>
      </c>
      <c r="E1527" t="inlineStr">
        <is>
          <t>pro17</t>
        </is>
      </c>
      <c r="F1527" t="inlineStr">
        <is>
          <t>prod</t>
        </is>
      </c>
    </row>
    <row r="1528">
      <c r="A1528" t="inlineStr">
        <is>
          <t>2025-05-09 09:47:12.959</t>
        </is>
      </c>
      <c r="B1528">
        <f>=请求开始== [请求IP]:172.18.33.14 ,[请求方式]:POST， [请求URL]:https://172.30.103.196:8080/api/appservice/bfv/v1/knowledge/retrieval/plugin, [请求类名]:com.yingzi.appservice.bfv.provider.rest.KnowledgeRetrievalController,[请求方法名]:plugin, [请求头参数]:{"host":"172.30.103.196:8080"}, [请求参数]:[{"query":"搭21号线换乘","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528" t="inlineStr">
        <is>
          <t>INFO</t>
        </is>
      </c>
      <c r="D1528" t="inlineStr">
        <is>
          <t>vdh</t>
        </is>
      </c>
      <c r="E1528" t="inlineStr">
        <is>
          <t>pro17</t>
        </is>
      </c>
      <c r="F1528" t="inlineStr">
        <is>
          <t>prod</t>
        </is>
      </c>
    </row>
    <row r="1529">
      <c r="A1529" t="inlineStr">
        <is>
          <t>2025-05-09 09:47:12.948</t>
        </is>
      </c>
      <c r="B1529">
        <f>=请求开始== [请求IP]:172.18.114.98 ,[请求方式]:POST， [请求URL]:https://172.30.212.148:8080/api/appservice/bfv/v1/chat/, [请求类名]:com.yingzi.appservice.bfv.provider.rest.ChatV1Controller,[请求方法名]:chat, [请求头参数]:{"host":"172.30.212.148:8080"}, [请求参数]:[{"stream":true,"message":"搭21号线换乘","args":"{\"adcode\":\"440100\",\"channel_id\":\"9\"}"}]</f>
        <v/>
      </c>
      <c r="C1529" t="inlineStr">
        <is>
          <t>INFO</t>
        </is>
      </c>
      <c r="D1529" t="inlineStr">
        <is>
          <t>vdh</t>
        </is>
      </c>
      <c r="E1529" t="inlineStr">
        <is>
          <t>pro14</t>
        </is>
      </c>
      <c r="F1529" t="inlineStr">
        <is>
          <t>prod</t>
        </is>
      </c>
    </row>
    <row r="1530">
      <c r="A1530" t="inlineStr">
        <is>
          <t>2025-05-09 09:47:06.630</t>
        </is>
      </c>
      <c r="B1530">
        <f>=请求结束== [请求耗时]:13毫秒, [返回数据]:{"code":"000000","msg":"Success","traceId":"847b862b98b91d477f3ba86f7091482a"}</f>
        <v/>
      </c>
      <c r="C1530" t="inlineStr">
        <is>
          <t>INFO</t>
        </is>
      </c>
      <c r="D1530" t="inlineStr">
        <is>
          <t>vdh</t>
        </is>
      </c>
      <c r="E1530" t="inlineStr">
        <is>
          <t>pro14</t>
        </is>
      </c>
      <c r="F1530" t="inlineStr">
        <is>
          <t>prod</t>
        </is>
      </c>
    </row>
    <row r="1531">
      <c r="A1531" t="inlineStr">
        <is>
          <t>2025-05-09 09:47:06.617</t>
        </is>
      </c>
      <c r="B1531">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531" t="inlineStr">
        <is>
          <t>INFO</t>
        </is>
      </c>
      <c r="D1531" t="inlineStr">
        <is>
          <t>vdh</t>
        </is>
      </c>
      <c r="E1531" t="inlineStr">
        <is>
          <t>pro14</t>
        </is>
      </c>
      <c r="F1531" t="inlineStr">
        <is>
          <t>prod</t>
        </is>
      </c>
    </row>
    <row r="1532">
      <c r="A1532" t="inlineStr">
        <is>
          <t>2025-05-09 09:47:04.129</t>
        </is>
      </c>
      <c r="B1532">
        <f>=请求结束== [请求耗时]:14毫秒, [返回数据]:{"code":"000000","msg":"Success","traceId":"de672d06067e1f6c07f0947fade04cc3"}</f>
        <v/>
      </c>
      <c r="C1532" t="inlineStr">
        <is>
          <t>INFO</t>
        </is>
      </c>
      <c r="D1532" t="inlineStr">
        <is>
          <t>vdh</t>
        </is>
      </c>
      <c r="E1532" t="inlineStr">
        <is>
          <t>pro17</t>
        </is>
      </c>
      <c r="F1532" t="inlineStr">
        <is>
          <t>prod</t>
        </is>
      </c>
    </row>
    <row r="1533">
      <c r="A1533" t="inlineStr">
        <is>
          <t>2025-05-09 09:47:04.116</t>
        </is>
      </c>
      <c r="B1533">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各位乘客21号线天河公园","instructionAsrFirstTime":{"year":2025,"monthValue":5,"month":"MAY","dayOfMonth":9,"dayOfYear":129,"dayOfWeek":"FRIDAY","hour":9,"minute":46,"second":48,"nano":0,"chronology":{"id":"ISO","calendarType":"iso8601"}},"knowledgeId":"","knowledgeMasterId":"","instructionType":"","instructionName":"","instructionFlag":"","parameter":"{\"nlpId\":\"17300825629321642727spln\",\"service\":\"Chat_library\"}","ttsResultSource":"FTT","ttsResult":"天河区今天天气为大雨,气温在28℃,晚上气温降至21℃,","ttsResultTime":{"year":2025,"monthValue":5,"month":"MAY","dayOfMonth":9,"dayOfYear":129,"dayOfWeek":"FRIDAY","hour":9,"minute":46,"second":59,"nano":0,"chronology":{"id":"ISO","calendarType":"iso8601"}},"response":6521}]]</f>
        <v/>
      </c>
      <c r="C1533" t="inlineStr">
        <is>
          <t>INFO</t>
        </is>
      </c>
      <c r="D1533" t="inlineStr">
        <is>
          <t>vdh</t>
        </is>
      </c>
      <c r="E1533" t="inlineStr">
        <is>
          <t>pro17</t>
        </is>
      </c>
      <c r="F1533" t="inlineStr">
        <is>
          <t>prod</t>
        </is>
      </c>
    </row>
    <row r="1534">
      <c r="A1534" t="inlineStr">
        <is>
          <t>2025-05-09 09:46:57.983</t>
        </is>
      </c>
      <c r="B1534">
        <f>=请求结束== [请求耗时]:4367毫秒</f>
        <v/>
      </c>
      <c r="C1534" t="inlineStr">
        <is>
          <t>INFO</t>
        </is>
      </c>
      <c r="D1534" t="inlineStr">
        <is>
          <t>vdh</t>
        </is>
      </c>
      <c r="E1534" t="inlineStr">
        <is>
          <t>pro14</t>
        </is>
      </c>
      <c r="F1534" t="inlineStr">
        <is>
          <t>prod</t>
        </is>
      </c>
    </row>
    <row r="1535">
      <c r="A1535" t="inlineStr">
        <is>
          <t>2025-05-09 09:46:57.982</t>
        </is>
      </c>
      <c r="B1535" t="inlineStr">
        <is>
          <t>第2次流式调用完成，耗时：2285ms，response: Response { content = AiMessage { text = "天河区今天天气为大雨，气温在28℃，晚上气温降至21℃，风向为北风。请注意出行安全！" toolExecutionRequests = null }, tokenUsage = TokenUsage { inputTokenCount = 4945, outputTokenCount = 52, totalTokenCount = 4997 }, finishReason = STOP }</t>
        </is>
      </c>
      <c r="C1535" t="inlineStr">
        <is>
          <t>INFO</t>
        </is>
      </c>
      <c r="D1535" t="inlineStr">
        <is>
          <t>vdh</t>
        </is>
      </c>
      <c r="E1535" t="inlineStr">
        <is>
          <t>pro14</t>
        </is>
      </c>
      <c r="F1535" t="inlineStr">
        <is>
          <t>prod</t>
        </is>
      </c>
    </row>
    <row r="1536">
      <c r="A1536" t="inlineStr">
        <is>
          <t>2025-05-09 09:46:57.465</t>
        </is>
      </c>
      <c r="B1536" t="inlineStr">
        <is>
          <t xml:space="preserve">第2次流式调用开始回复，耗时：1768ms，第一个token: </t>
        </is>
      </c>
      <c r="C1536" t="inlineStr">
        <is>
          <t>INFO</t>
        </is>
      </c>
      <c r="D1536" t="inlineStr">
        <is>
          <t>vdh</t>
        </is>
      </c>
      <c r="E1536" t="inlineStr">
        <is>
          <t>pro14</t>
        </is>
      </c>
      <c r="F1536" t="inlineStr">
        <is>
          <t>prod</t>
        </is>
      </c>
    </row>
    <row r="1537">
      <c r="A1537" t="inlineStr">
        <is>
          <t>2025-05-09 09:46:55.698</t>
        </is>
      </c>
      <c r="B1537" t="inlineStr">
        <is>
          <t>streaming provider=gpt, model: gpt-4o-mini</t>
        </is>
      </c>
      <c r="C1537" t="inlineStr">
        <is>
          <t>INFO</t>
        </is>
      </c>
      <c r="D1537" t="inlineStr">
        <is>
          <t>vdh</t>
        </is>
      </c>
      <c r="E1537" t="inlineStr">
        <is>
          <t>pro14</t>
        </is>
      </c>
      <c r="F1537" t="inlineStr">
        <is>
          <t>prod</t>
        </is>
      </c>
    </row>
    <row r="1538">
      <c r="A1538" t="inlineStr">
        <is>
          <t>2025-05-09 09:46:55.697</t>
        </is>
      </c>
      <c r="B1538" t="inlineStr">
        <is>
          <t>执行天气工具，耗时: 236ms</t>
        </is>
      </c>
      <c r="C1538" t="inlineStr">
        <is>
          <t>INFO</t>
        </is>
      </c>
      <c r="D1538" t="inlineStr">
        <is>
          <t>vdh</t>
        </is>
      </c>
      <c r="E1538" t="inlineStr">
        <is>
          <t>pro14</t>
        </is>
      </c>
      <c r="F1538" t="inlineStr">
        <is>
          <t>prod</t>
        </is>
      </c>
    </row>
    <row r="1539">
      <c r="A1539" t="inlineStr">
        <is>
          <t>2025-05-09 09:46:55.459</t>
        </is>
      </c>
      <c r="B1539" t="inlineStr">
        <is>
          <t>第1次流式调用完成，耗时：1466ms，response: Response { content = AiMessage { text = null toolExecutionRequests = [ToolExecutionRequest { id = "call_QAgEVr81BJmiF0N2dvZDZTfV", name = "getCurrentWeather", arguments = "{"province":"广东省","city":"广州市","district":"天河区"}" }] }, tokenUsage = TokenUsage { inputTokenCount = 4979, outputTokenCount = 26, totalTokenCount = 5005 }, finishReason = TOOL_EXECUTION }</t>
        </is>
      </c>
      <c r="C1539" t="inlineStr">
        <is>
          <t>INFO</t>
        </is>
      </c>
      <c r="D1539" t="inlineStr">
        <is>
          <t>vdh</t>
        </is>
      </c>
      <c r="E1539" t="inlineStr">
        <is>
          <t>pro14</t>
        </is>
      </c>
      <c r="F1539" t="inlineStr">
        <is>
          <t>prod</t>
        </is>
      </c>
    </row>
    <row r="1540">
      <c r="A1540" t="inlineStr">
        <is>
          <t>2025-05-09 09:46:53.993</t>
        </is>
      </c>
      <c r="B1540" t="inlineStr">
        <is>
          <t>streaming provider=gpt, model: gpt-4o</t>
        </is>
      </c>
      <c r="C1540" t="inlineStr">
        <is>
          <t>INFO</t>
        </is>
      </c>
      <c r="D1540" t="inlineStr">
        <is>
          <t>vdh</t>
        </is>
      </c>
      <c r="E1540" t="inlineStr">
        <is>
          <t>pro14</t>
        </is>
      </c>
      <c r="F1540" t="inlineStr">
        <is>
          <t>prod</t>
        </is>
      </c>
    </row>
    <row r="1541">
      <c r="A1541" t="inlineStr">
        <is>
          <t>2025-05-09 09:46:53.985</t>
        </is>
      </c>
      <c r="B1541">
        <f>=请求结束== [请求耗时]:356毫秒, [返回数据]:{"code":"000000","msg":"Success","data":[{"knowledgeId":"1326868148286373888","knowledgeContent":[{"score":0.7414781199999999,"content":"：2025年春节/过年/大年初一是1月29日，农历正月初一，星期三。","fileId":"1326944717968060416","chunkId":"paragraph-1"},{"score":0.7246964425,"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国庆节、中秋节：10月1日至8日（周三至周三）放假，共8天。9月28日（周日）、10月11日（周六）上班。","fileId":"1326944717968060416","chunkId":"paragraph-2"},{"score":0.7188671,"content":"：2025年放假调休日期的具体安排如下： 2025年元旦：1月1日，周三，放假1天，不调休。 2025年除夕/大年夜是1月28日，农历十二月二十九，星期二。","fileId":"1326944717968060416","chunkId":"paragraph-0"}]},{"knowledgeId":"1329399948694220800","knowledgeContent":[{"score":0.7613384125,"content":"天河区今天天气","fileId":"1329400169758941184","chunkId":"37","textGroup":"getCurrentWeather {province=广东省,city=广州市,district=天河区}"},{"score":0.747847595,"content":"广州今天天气","fileId":"1329400169758941184","chunkId":"35","textGroup":"getCurrentWeather {province=广东省,city=广州市}"},{"score":0.7471385675,"content":"今天天气","fileId":"1329400169758941184","chunkId":"0","textGroup":"getCurrentWeather"},{"score":0.7450204949999999,"content":"罗湖区今天天气","fileId":"1329400169758941184","chunkId":"45","textGroup":"getCurrentWeather {province=广东省,city=深圳市,district=罗湖区}"},{"score":0.7444908175,"content":"宝安区今天天气","fileId":"1329400169758941184","chunkId":"44","textGroup":"getCurrentWeather {province=广东省,city=深圳市,district=宝安区}"},{"score":0.7433598925,"content":"白云区今天天气","fileId":"1329400169758941184","chunkId":"40","textGroup":"getCurrentWeather {province=广东省,city=广州市,district=白云区}"},{"score":0.74331089,"content":"北京今天天气","fileId":"1329400169758941184","chunkId":"49","textGroup":"getCurrentWeather {province=北京市}"},{"score":0.7429981325,"content":"深圳今天天气","fileId":"1329400169758941184","chunkId":"41","textGroup":"getCurrentWeather {province=广东省,city=深圳市}"},{"score":0.7420396725,"content":"番禺区今天天气","fileId":"1329400169758941184","chunkId":"39","textGroup":"getCurrentWeather {province=广东省,city=广州市,district=番禺区}"},{"score":0.7415017925,"content":"南沙区今天天气","fileId":"1329400169758941184","chunkId":"38","textGroup":"getCurrentWeather {province=广东省,city=广州市,district=南沙区}"},{"score":0.7413612025,"content":"通州区今天天气","fileId":"1329400169758941184","chunkId":"50","textGroup":"getCurrentWeather {province=北京市,district=通州区}"},{"score":0.7412768824999999,"content":"港南区今天天气","fileId":"1329400169758941184","chunkId":"32","textGroup":"getCurrentWeather {province=广西壮族自治区,city=贵港市,district=港南区}"},{"score":0.7403482575,"content":"播一下热点新闻","fileId":"1329400169758941184","chunkId":"82","textGroup":"news {type=top,size=3}"},{"score":0.7390959525,"content":"南山区今天天气","fileId":"1329400169758941184","chunkId":"43","textGroup":"getCurrentWeather {province=广东省,city=深圳市,district=南山区}"},{"score":0.7388657725,"content":"光明区今天天气","fileId":"1329400169758941184","chunkId":"47","textGroup":"getCurrentWeather {province=广东省,city=深圳市,district=光明区}"}]},{"knowledgeId":"1272948056214077440","knowledgeContent":[{"score":0.7524493250000001,"content":"问题：你什么时候在线。\\n回复：我二十四小时在线的。","fileId":"1303425377255075840","chunkId":"2676","textGroup":"你什么时候在线"},{"score":0.73703279,"content":"问题：可以和我聊聊天吗。\\n回复：你可以随时找我聊。","fileId":"1303425377255075840","chunkId":"2757","textGroup":"可以和我聊聊天吗"},{"score":0.7362729324999999,"content":"问题：不满。\\n回复：不满意的地方还请多多包涵。","fileId":"1303425377255075840","chunkId":"2671","textGroup":"不满"},{"score":0.734805195,"content":"问题：晚安。\\n回复：晚安。","fileId":"1303425377255075840","chunkId":"2766","textGroup":"晚安"},{"score":0.734511775,"content":"问题：假期愉快。\\n回复：假期愉快，玩得开心哟！","fileId":"1303425377255075840","chunkId":"2755","textGroup":"假期愉快"},{"score":0.733431255,"content":"问题：你好。\\n回复：你好，有什么可以帮您。","fileId":"1303425377255075840","chunkId":"2699","textGroup":"你好"},{"score":0.7323187325,"content":"问题：万德福可以空载运行吗。\\n回复：微波炉是严禁空载使用的哦，会损坏微波炉的","fileId":"1303425377255075840","chunkId":"1921","textGroup":"微波炉可以空载运行吗"},{"score":0.732129055,"content":"问题：早上好。\\n回复：早上好，美好的一天又开始了。","fileId":"1303425377255075840","chu</f>
        <v/>
      </c>
      <c r="C1541" t="inlineStr">
        <is>
          <t>INFO</t>
        </is>
      </c>
      <c r="D1541" t="inlineStr">
        <is>
          <t>vdh</t>
        </is>
      </c>
      <c r="E1541" t="inlineStr">
        <is>
          <t>pro17</t>
        </is>
      </c>
      <c r="F1541" t="inlineStr">
        <is>
          <t>prod</t>
        </is>
      </c>
    </row>
    <row r="1542">
      <c r="A1542" t="inlineStr">
        <is>
          <t>2025-05-09 09:46:53.984</t>
        </is>
      </c>
      <c r="B1542" t="inlineStr">
        <is>
          <t>知识库插件检索耗时: 353ms</t>
        </is>
      </c>
      <c r="C1542" t="inlineStr">
        <is>
          <t>INFO</t>
        </is>
      </c>
      <c r="D1542" t="inlineStr">
        <is>
          <t>vdh</t>
        </is>
      </c>
      <c r="E1542" t="inlineStr">
        <is>
          <t>pro17</t>
        </is>
      </c>
      <c r="F1542" t="inlineStr">
        <is>
          <t>prod</t>
        </is>
      </c>
    </row>
    <row r="1543">
      <c r="A1543" t="inlineStr">
        <is>
          <t>2025-05-09 09:46:53.629</t>
        </is>
      </c>
      <c r="B1543">
        <f>=请求开始== [请求IP]:172.18.33.14 ,[请求方式]:POST， [请求URL]:https://172.30.103.196:8080/api/appservice/bfv/v1/knowledge/retrieval/plugin, [请求类名]:com.yingzi.appservice.bfv.provider.rest.KnowledgeRetrievalController,[请求方法名]:plugin, [请求头参数]:{"host":"172.30.103.196:8080"}, [请求参数]:[{"query":"各位乘客21号线天河公园","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543" t="inlineStr">
        <is>
          <t>INFO</t>
        </is>
      </c>
      <c r="D1543" t="inlineStr">
        <is>
          <t>vdh</t>
        </is>
      </c>
      <c r="E1543" t="inlineStr">
        <is>
          <t>pro17</t>
        </is>
      </c>
      <c r="F1543" t="inlineStr">
        <is>
          <t>prod</t>
        </is>
      </c>
    </row>
    <row r="1544">
      <c r="A1544" t="inlineStr">
        <is>
          <t>2025-05-09 09:46:53.616</t>
        </is>
      </c>
      <c r="B1544">
        <f>=请求开始== [请求IP]:172.18.114.116 ,[请求方式]:POST， [请求URL]:https://172.30.212.148:8080/api/appservice/bfv/v1/chat/, [请求类名]:com.yingzi.appservice.bfv.provider.rest.ChatV1Controller,[请求方法名]:chat, [请求头参数]:{"host":"172.30.212.148:8080"}, [请求参数]:[{"stream":true,"message":"各位乘客21号线天河公园","args":"{\"adcode\":\"440100\",\"channel_id\":\"9\"}"}]</f>
        <v/>
      </c>
      <c r="C1544" t="inlineStr">
        <is>
          <t>INFO</t>
        </is>
      </c>
      <c r="D1544" t="inlineStr">
        <is>
          <t>vdh</t>
        </is>
      </c>
      <c r="E1544" t="inlineStr">
        <is>
          <t>pro14</t>
        </is>
      </c>
      <c r="F1544" t="inlineStr">
        <is>
          <t>prod</t>
        </is>
      </c>
    </row>
    <row r="1545">
      <c r="A1545" t="inlineStr">
        <is>
          <t>2025-05-09 09:46:46.025</t>
        </is>
      </c>
      <c r="B1545">
        <f>=请求结束== [请求耗时]:14毫秒, [返回数据]:{"code":"000000","msg":"Success","traceId":"6dbfc6b50fe5c7fd4d6f1b57521793a9"}</f>
        <v/>
      </c>
      <c r="C1545" t="inlineStr">
        <is>
          <t>INFO</t>
        </is>
      </c>
      <c r="D1545" t="inlineStr">
        <is>
          <t>vdh</t>
        </is>
      </c>
      <c r="E1545" t="inlineStr">
        <is>
          <t>pro14</t>
        </is>
      </c>
      <c r="F1545" t="inlineStr">
        <is>
          <t>prod</t>
        </is>
      </c>
    </row>
    <row r="1546">
      <c r="A1546" t="inlineStr">
        <is>
          <t>2025-05-09 09:46:46.011</t>
        </is>
      </c>
      <c r="B1546">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各位乘客21号线","instructionAsrFirstTime":{"year":2025,"monthValue":5,"month":"MAY","dayOfMonth":9,"dayOfYear":129,"dayOfWeek":"FRIDAY","hour":9,"minute":46,"second":34,"nano":0,"chronology":{"id":"ISO","calendarType":"iso8601"}},"knowledgeId":"","knowledgeMasterId":"","instructionType":"","instructionName":"","instructionFlag":"","parameter":"{\"nlpId\":\"17300825629321642727spln\",\"service\":\"Chat_library\"}","ttsResultSource":"FTT","ttsResult":"请问您是想了解21号线的具体信息,还是想获取其他相关内容呢?","ttsResultTime":{"year":2025,"monthValue":5,"month":"MAY","dayOfMonth":9,"dayOfYear":129,"dayOfWeek":"FRIDAY","hour":9,"minute":46,"second":41,"nano":0,"chronology":{"id":"ISO","calendarType":"iso8601"}},"response":3178}]]</f>
        <v/>
      </c>
      <c r="C1546" t="inlineStr">
        <is>
          <t>INFO</t>
        </is>
      </c>
      <c r="D1546" t="inlineStr">
        <is>
          <t>vdh</t>
        </is>
      </c>
      <c r="E1546" t="inlineStr">
        <is>
          <t>pro14</t>
        </is>
      </c>
      <c r="F1546" t="inlineStr">
        <is>
          <t>prod</t>
        </is>
      </c>
    </row>
    <row r="1547">
      <c r="A1547" t="inlineStr">
        <is>
          <t>2025-05-09 09:46:40.138</t>
        </is>
      </c>
      <c r="B1547" t="inlineStr">
        <is>
          <t>第1次流式调用完成，耗时：1402ms，response: Response { content = AiMessage { text = "请问您是想了解21号线的具体信息，还是想获取其他相关内容呢？如果您有任何问题或需要帮助，请随时告诉我。" toolExecutionRequests = null }, tokenUsage = TokenUsage { inputTokenCount = 4482, outputTokenCount = 48, totalTokenCount = 4530 }, finishReason = STOP }</t>
        </is>
      </c>
      <c r="C1547" t="inlineStr">
        <is>
          <t>INFO</t>
        </is>
      </c>
      <c r="D1547" t="inlineStr">
        <is>
          <t>vdh</t>
        </is>
      </c>
      <c r="E1547" t="inlineStr">
        <is>
          <t>pro17</t>
        </is>
      </c>
      <c r="F1547" t="inlineStr">
        <is>
          <t>prod</t>
        </is>
      </c>
    </row>
    <row r="1548">
      <c r="A1548" t="inlineStr">
        <is>
          <t>2025-05-09 09:46:40.138</t>
        </is>
      </c>
      <c r="B1548">
        <f>=请求结束== [请求耗时]:1702毫秒</f>
        <v/>
      </c>
      <c r="C1548" t="inlineStr">
        <is>
          <t>INFO</t>
        </is>
      </c>
      <c r="D1548" t="inlineStr">
        <is>
          <t>vdh</t>
        </is>
      </c>
      <c r="E1548" t="inlineStr">
        <is>
          <t>pro17</t>
        </is>
      </c>
      <c r="F1548" t="inlineStr">
        <is>
          <t>prod</t>
        </is>
      </c>
    </row>
    <row r="1549">
      <c r="A1549" t="inlineStr">
        <is>
          <t>2025-05-09 09:46:39.717</t>
        </is>
      </c>
      <c r="B1549" t="inlineStr">
        <is>
          <t xml:space="preserve">第1次流式调用开始回复，耗时：981ms，第一个token: </t>
        </is>
      </c>
      <c r="C1549" t="inlineStr">
        <is>
          <t>INFO</t>
        </is>
      </c>
      <c r="D1549" t="inlineStr">
        <is>
          <t>vdh</t>
        </is>
      </c>
      <c r="E1549" t="inlineStr">
        <is>
          <t>pro17</t>
        </is>
      </c>
      <c r="F1549" t="inlineStr">
        <is>
          <t>prod</t>
        </is>
      </c>
    </row>
    <row r="1550">
      <c r="A1550" t="inlineStr">
        <is>
          <t>2025-05-09 09:46:38.736</t>
        </is>
      </c>
      <c r="B1550" t="inlineStr">
        <is>
          <t>streaming provider=gpt, model: gpt-4o</t>
        </is>
      </c>
      <c r="C1550" t="inlineStr">
        <is>
          <t>INFO</t>
        </is>
      </c>
      <c r="D1550" t="inlineStr">
        <is>
          <t>vdh</t>
        </is>
      </c>
      <c r="E1550" t="inlineStr">
        <is>
          <t>pro17</t>
        </is>
      </c>
      <c r="F1550" t="inlineStr">
        <is>
          <t>prod</t>
        </is>
      </c>
    </row>
    <row r="1551">
      <c r="A1551" t="inlineStr">
        <is>
          <t>2025-05-09 09:46:38.730</t>
        </is>
      </c>
      <c r="B1551">
        <f>=请求结束== [请求耗时]:284毫秒, [返回数据]:{"code":"000000","msg":"Success","data":[{"knowledgeId":"1326868148286373888","knowledgeContent":[{"score":0.74121105,"content":"：2025年春节/过年/大年初一是1月29日，农历正月初一，星期三。","fileId":"1326944717968060416","chunkId":"paragraph-1"},{"score":0.7209474324999999,"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国庆节、中秋节：10月1日至8日（周三至周三）放假，共8天。9月28日（周日）、10月11日（周六）上班。","fileId":"1326944717968060416","chunkId":"paragraph-2"},{"score":0.7166484725,"content":"：2025年放假调休日期的具体安排如下： 2025年元旦：1月1日，周三，放假1天，不调休。 2025年除夕/大年夜是1月28日，农历十二月二十九，星期二。","fileId":"1326944717968060416","chunkId":"paragraph-0"}]},{"knowledgeId":"1272948056214077440","knowledgeContent":[{"score":0.7593751249999999,"content":"问题：你什么时候在线。\\n回复：我二十四小时在线的。","fileId":"1303425377255075840","chunkId":"2676","textGroup":"你什么时候在线"},{"score":0.7409755575,"content":"问题：不满。\\n回复：不满意的地方还请多多包涵。","fileId":"1303425377255075840","chunkId":"2671","textGroup":"不满"},{"score":0.739001815,"content":"问题：晚安。\\n回复：晚安。","fileId":"1303425377255075840","chunkId":"2766","textGroup":"晚安"},{"score":0.736475955,"content":"问题：你好。\\n回复：你好，有什么可以帮您。","fileId":"1303425377255075840","chunkId":"2699","textGroup":"你好"},{"score":0.7364650749999999,"content":"问题：万得出可以空载运行吗。\\n回复：微波炉是严禁空载使用的哦，会损坏微波炉的","fileId":"1303425377255075840","chunkId":"1919","textGroup":"微波炉可以空载运行吗"},{"score":0.731017085,"content":"问题：再见。\\n回复：拜拜，下次见。","fileId":"1303425377255075840","chunkId":"2756","textGroup":"再见"},{"score":0.7303286274999999,"content":"问题：微博炉需不需要接地线再使用。\\n回复：微波是不需要接地线的哦","fileId":"1303425377255075840","chunkId":"2258","textGroup":"微波炉需要接地线吗"},{"score":0.7299338449999999,"content":"问题：可以和我聊聊天吗。\\n回复：你可以随时找我聊。","fileId":"1303425377255075840","chunkId":"2757","textGroup":"可以和我聊聊天吗"}]},{"knowledgeId":"1329399948694220800","knowledgeContent":[{"score":0.7425569824999999,"content":"播一下热点新闻","fileId":"1329400169758941184","chunkId":"82","textGroup":"news {type=top,size=3}"},{"score":0.7405780125,"content":"请帮我继续微波","fileId":"1347217269055369216","chunkId":"256","textGroup":"cooking_control {type=continue}"},{"score":0.73811178,"content":"我想微波暂停","fileId":"1347217269055369216","chunkId":"195","textGroup":"cooking_control {type=pause}"},{"score":0.737160205,"content":"今天的天气情况","fileId":"1329400169758941184","chunkId":"14","textGroup":"getCurrentWeather"},{"score":0.73667885,"content":"北京今天天气","fileId":"1329400169758941184","chunkId":"49","textGroup":"getCurrentWeather {province=北京市}"},{"score":0.7343589875,"content":"深圳明天天气","fileId":"1329400169758941184","chunkId":"42","textGroup":"getCurrentWeather {province=广东省,city=深圳市}"},{"score":0.7339989699999999,"content":"请帮我终止微波","fileId":"1347217269055369216","chunkId":"328","textGroup":"cooking_control {type=stop}"}]}]}</f>
        <v/>
      </c>
      <c r="C1551" t="inlineStr">
        <is>
          <t>INFO</t>
        </is>
      </c>
      <c r="D1551" t="inlineStr">
        <is>
          <t>vdh</t>
        </is>
      </c>
      <c r="E1551" t="inlineStr">
        <is>
          <t>pro17</t>
        </is>
      </c>
      <c r="F1551" t="inlineStr">
        <is>
          <t>prod</t>
        </is>
      </c>
    </row>
    <row r="1552">
      <c r="A1552" t="inlineStr">
        <is>
          <t>2025-05-09 09:46:38.729</t>
        </is>
      </c>
      <c r="B1552" t="inlineStr">
        <is>
          <t>知识库插件检索耗时: 281ms</t>
        </is>
      </c>
      <c r="C1552" t="inlineStr">
        <is>
          <t>INFO</t>
        </is>
      </c>
      <c r="D1552" t="inlineStr">
        <is>
          <t>vdh</t>
        </is>
      </c>
      <c r="E1552" t="inlineStr">
        <is>
          <t>pro17</t>
        </is>
      </c>
      <c r="F1552" t="inlineStr">
        <is>
          <t>prod</t>
        </is>
      </c>
    </row>
    <row r="1553">
      <c r="A1553" t="inlineStr">
        <is>
          <t>2025-05-09 09:46:38.447</t>
        </is>
      </c>
      <c r="B1553">
        <f>=请求开始== [请求IP]:172.18.33.17 ,[请求方式]:POST， [请求URL]:https://172.30.103.196:8080/api/appservice/bfv/v1/knowledge/retrieval/plugin, [请求类名]:com.yingzi.appservice.bfv.provider.rest.KnowledgeRetrievalController,[请求方法名]:plugin, [请求头参数]:{"host":"172.30.103.196:8080"}, [请求参数]:[{"query":"各位乘客21号线","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553" t="inlineStr">
        <is>
          <t>INFO</t>
        </is>
      </c>
      <c r="D1553" t="inlineStr">
        <is>
          <t>vdh</t>
        </is>
      </c>
      <c r="E1553" t="inlineStr">
        <is>
          <t>pro17</t>
        </is>
      </c>
      <c r="F1553" t="inlineStr">
        <is>
          <t>prod</t>
        </is>
      </c>
    </row>
    <row r="1554">
      <c r="A1554" t="inlineStr">
        <is>
          <t>2025-05-09 09:46:38.436</t>
        </is>
      </c>
      <c r="B1554">
        <f>=请求开始== [请求IP]:172.18.114.116 ,[请求方式]:POST， [请求URL]:https://172.30.103.196:8080/api/appservice/bfv/v1/chat/, [请求类名]:com.yingzi.appservice.bfv.provider.rest.ChatV1Controller,[请求方法名]:chat, [请求头参数]:{"host":"172.30.103.196:8080"}, [请求参数]:[{"stream":true,"message":"各位乘客21号线","args":"{\"adcode\":\"440100\",\"channel_id\":\"9\"}"}]</f>
        <v/>
      </c>
      <c r="C1554" t="inlineStr">
        <is>
          <t>INFO</t>
        </is>
      </c>
      <c r="D1554" t="inlineStr">
        <is>
          <t>vdh</t>
        </is>
      </c>
      <c r="E1554" t="inlineStr">
        <is>
          <t>pro17</t>
        </is>
      </c>
      <c r="F1554" t="inlineStr">
        <is>
          <t>prod</t>
        </is>
      </c>
    </row>
    <row r="1555">
      <c r="A1555" t="inlineStr">
        <is>
          <t>2025-05-09 09:46:32.055</t>
        </is>
      </c>
      <c r="B1555">
        <f>=请求结束== [请求耗时]:15毫秒, [返回数据]:{"code":"000000","msg":"Success","traceId":"d578f2df358527355a93187c6ee2b63d"}</f>
        <v/>
      </c>
      <c r="C1555" t="inlineStr">
        <is>
          <t>INFO</t>
        </is>
      </c>
      <c r="D1555" t="inlineStr">
        <is>
          <t>vdh</t>
        </is>
      </c>
      <c r="E1555" t="inlineStr">
        <is>
          <t>pro14</t>
        </is>
      </c>
      <c r="F1555" t="inlineStr">
        <is>
          <t>prod</t>
        </is>
      </c>
    </row>
    <row r="1556">
      <c r="A1556" t="inlineStr">
        <is>
          <t>2025-05-09 09:46:32.041</t>
        </is>
      </c>
      <c r="B1556">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556" t="inlineStr">
        <is>
          <t>INFO</t>
        </is>
      </c>
      <c r="D1556" t="inlineStr">
        <is>
          <t>vdh</t>
        </is>
      </c>
      <c r="E1556" t="inlineStr">
        <is>
          <t>pro14</t>
        </is>
      </c>
      <c r="F1556" t="inlineStr">
        <is>
          <t>prod</t>
        </is>
      </c>
    </row>
    <row r="1557">
      <c r="A1557" t="inlineStr">
        <is>
          <t>2025-05-09 09:46:31.969</t>
        </is>
      </c>
      <c r="B1557">
        <f>=请求结束== [请求耗时]:16毫秒, [返回数据]:{"code":"000000","msg":"Success","traceId":"fa7b8d8f6ba7f0533f267f2f3e38293f"}</f>
        <v/>
      </c>
      <c r="C1557" t="inlineStr">
        <is>
          <t>INFO</t>
        </is>
      </c>
      <c r="D1557" t="inlineStr">
        <is>
          <t>vdh</t>
        </is>
      </c>
      <c r="E1557" t="inlineStr">
        <is>
          <t>pro17</t>
        </is>
      </c>
      <c r="F1557" t="inlineStr">
        <is>
          <t>prod</t>
        </is>
      </c>
    </row>
    <row r="1558">
      <c r="A1558" t="inlineStr">
        <is>
          <t>2025-05-09 09:46:31.954</t>
        </is>
      </c>
      <c r="B1558">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18号广州地铁18号线换乘22号线","instructionAsrFirstTime":{"year":2025,"monthValue":5,"month":"MAY","dayOfMonth":9,"dayOfYear":129,"dayOfWeek":"FRIDAY","hour":9,"minute":45,"second":57,"nano":0,"chronology":{"id":"ISO","calendarType":"iso8601"}},"knowledgeId":"","knowledgeMasterId":"","instructionType":"","instructionName":"","instructionFlag":"","parameter":"{\"nlpId\":\"17300825629321642727spln\",\"service\":\"Chat_library\"}","ttsResultSource":"FTT","ttsResult":"对于广州地铁18号线换乘22号线的信息,我建议您查阅广州地铁官方网站或相关交通App,获取最新的线路图和换乘指南。如果需要了解广州的天气情况,可以为您提供相关信息。请告诉我您具体的需求,便我更好地帮助您。","ttsResultTime":{"year":2025,"monthValue":5,"month":"MAY","dayOfMonth":9,"dayOfYear":129,"dayOfWeek":"FRIDAY","hour":9,"minute":46,"second":9,"nano":0,"chronology":{"id":"ISO","calendarType":"iso8601"}},"response":4105}]]</f>
        <v/>
      </c>
      <c r="C1558" t="inlineStr">
        <is>
          <t>INFO</t>
        </is>
      </c>
      <c r="D1558" t="inlineStr">
        <is>
          <t>vdh</t>
        </is>
      </c>
      <c r="E1558" t="inlineStr">
        <is>
          <t>pro17</t>
        </is>
      </c>
      <c r="F1558" t="inlineStr">
        <is>
          <t>prod</t>
        </is>
      </c>
    </row>
    <row r="1559">
      <c r="A1559" t="inlineStr">
        <is>
          <t>2025-05-09 09:46:24.563</t>
        </is>
      </c>
      <c r="B1559">
        <f>=请求结束== [请求耗时]:17毫秒, [返回数据]:{"code":"000000","msg":"Success","traceId":"73a6654ec141d3c4e5ea0722a85b69dc"}</f>
        <v/>
      </c>
      <c r="C1559" t="inlineStr">
        <is>
          <t>INFO</t>
        </is>
      </c>
      <c r="D1559" t="inlineStr">
        <is>
          <t>vdh</t>
        </is>
      </c>
      <c r="E1559" t="inlineStr">
        <is>
          <t>pro14</t>
        </is>
      </c>
      <c r="F1559" t="inlineStr">
        <is>
          <t>prod</t>
        </is>
      </c>
    </row>
    <row r="1560">
      <c r="A1560" t="inlineStr">
        <is>
          <t>2025-05-09 09:46:24.546</t>
        </is>
      </c>
      <c r="B1560">
        <f>=请求开始== [请求IP]:111.58.68.45 ,[请求方式]:POST， [请求URL]:https://172.30.212.148:8080/api/appservice/bfv/v1/chatHistory/batchSave, [请求类名]:com.yingzi.appservice.bfv.provider.rest.ChatHistoryController,[请求方法名]:batchSave, [请求头参数]:{"host":"172.30.212.148:8080"}, [请求参数]:[[{"userId":794947370928070656,"deviceId":"70:CF:49:9C:69:3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9,"minute":46,"second":19,"nano":0,"chronology":{"id":"ISO","calendarType":"iso8601"}},"response":7852886}]]</f>
        <v/>
      </c>
      <c r="C1560" t="inlineStr">
        <is>
          <t>INFO</t>
        </is>
      </c>
      <c r="D1560" t="inlineStr">
        <is>
          <t>vdh</t>
        </is>
      </c>
      <c r="E1560" t="inlineStr">
        <is>
          <t>pro14</t>
        </is>
      </c>
      <c r="F1560" t="inlineStr">
        <is>
          <t>prod</t>
        </is>
      </c>
    </row>
    <row r="1561">
      <c r="A1561" t="inlineStr">
        <is>
          <t>2025-05-09 09:46:08.318</t>
        </is>
      </c>
      <c r="B1561">
        <f>=请求结束== [请求耗时]:2725毫秒</f>
        <v/>
      </c>
      <c r="C1561" t="inlineStr">
        <is>
          <t>INFO</t>
        </is>
      </c>
      <c r="D1561" t="inlineStr">
        <is>
          <t>vdh</t>
        </is>
      </c>
      <c r="E1561" t="inlineStr">
        <is>
          <t>pro14</t>
        </is>
      </c>
      <c r="F1561" t="inlineStr">
        <is>
          <t>prod</t>
        </is>
      </c>
    </row>
    <row r="1562">
      <c r="A1562" t="inlineStr">
        <is>
          <t>2025-05-09 09:46:08.317</t>
        </is>
      </c>
      <c r="B1562" t="inlineStr">
        <is>
          <t>第1次流式调用完成，耗时：2064ms，response: Response { content = AiMessage { text = "对于广州地铁18号线换乘22号线的信息，我建议您查阅广州地铁官方网站或相关交通App，以获取最新的线路图和换乘指南。如果需要了解广州的天气情况，我可以为您提供相关信息。请告诉我您具体的需求，以便我更好地帮助您。" toolExecutionRequests = null }, tokenUsage = TokenUsage { inputTokenCount = 5112, outputTokenCount = 105, totalTokenCount = 5217 }, finishReason = STOP }</t>
        </is>
      </c>
      <c r="C1562" t="inlineStr">
        <is>
          <t>INFO</t>
        </is>
      </c>
      <c r="D1562" t="inlineStr">
        <is>
          <t>vdh</t>
        </is>
      </c>
      <c r="E1562" t="inlineStr">
        <is>
          <t>pro14</t>
        </is>
      </c>
      <c r="F1562" t="inlineStr">
        <is>
          <t>prod</t>
        </is>
      </c>
    </row>
    <row r="1563">
      <c r="A1563" t="inlineStr">
        <is>
          <t>2025-05-09 09:46:07.243</t>
        </is>
      </c>
      <c r="B1563" t="inlineStr">
        <is>
          <t xml:space="preserve">第1次流式调用开始回复，耗时：990ms，第一个token: </t>
        </is>
      </c>
      <c r="C1563" t="inlineStr">
        <is>
          <t>INFO</t>
        </is>
      </c>
      <c r="D1563" t="inlineStr">
        <is>
          <t>vdh</t>
        </is>
      </c>
      <c r="E1563" t="inlineStr">
        <is>
          <t>pro14</t>
        </is>
      </c>
      <c r="F1563" t="inlineStr">
        <is>
          <t>prod</t>
        </is>
      </c>
    </row>
    <row r="1564">
      <c r="A1564" t="inlineStr">
        <is>
          <t>2025-05-09 09:46:06.253</t>
        </is>
      </c>
      <c r="B1564" t="inlineStr">
        <is>
          <t>streaming provider=gpt, model: gpt-4o</t>
        </is>
      </c>
      <c r="C1564" t="inlineStr">
        <is>
          <t>INFO</t>
        </is>
      </c>
      <c r="D1564" t="inlineStr">
        <is>
          <t>vdh</t>
        </is>
      </c>
      <c r="E1564" t="inlineStr">
        <is>
          <t>pro14</t>
        </is>
      </c>
      <c r="F1564" t="inlineStr">
        <is>
          <t>prod</t>
        </is>
      </c>
    </row>
    <row r="1565">
      <c r="A1565" t="inlineStr">
        <is>
          <t>2025-05-09 09:46:06.244</t>
        </is>
      </c>
      <c r="B1565">
        <f>=请求结束== [请求耗时]:639毫秒, [返回数据]:{"code":"000000","msg":"Success","data":[{"knowledgeId":"1326868148286373888","knowledgeContent":[{"score":0.733636615,"content":"：2025年春节/过年/大年初一是1月29日，农历正月初一，星期三。","fileId":"1326944717968060416","chunkId":"paragraph-1"},{"score":0.7269422275,"content":"：深圳数影科技的股价是多少？深圳数影科技有限公司没有上市，因此没有股价信息。 广西扬翔股份上市了吗？广西扬翔股份没有上市。","fileId":"1326944717968060416","chunkId":"paragraph-6"},{"score":0.7267460475,"content":"：广州影子科技的股价是多少？广州影子科技有限公司没有上市，因此没有股价信息。","fileId":"1326944717968060416","chunkId":"paragraph-5"}]},{"knowledgeId":"1329399948694220800","knowledgeContent":[{"score":0.8622794650000001,"content":"广州今天天气","fileId":"1329400169758941184","chunkId":"35","textGroup":"getCurrentWeather {province=广东省,city=广州市}"},{"score":0.7488699325,"content":"番禺区今天天气","fileId":"1329400169758941184","chunkId":"39","textGroup":"getCurrentWeather {province=广东省,city=广州市,district=番禺区}"},{"score":0.74236688,"content":"深圳今天天气","fileId":"1329400169758941184","chunkId":"41","textGroup":"getCurrentWeather {province=广东省,city=深圳市}"},{"score":0.7405786499999999,"content":"宝安区今天天气","fileId":"1329400169758941184","chunkId":"44","textGroup":"getCurrentWeather {province=广东省,city=深圳市,district=宝安区}"},{"score":0.7403604125000001,"content":"天河区今天天气","fileId":"1329400169758941184","chunkId":"37","textGroup":"getCurrentWeather {province=广东省,city=广州市,district=天河区}"},{"score":0.739055365,"content":"南沙区今天天气","fileId":"1329400169758941184","chunkId":"38","textGroup":"getCurrentWeather {province=广东省,city=广州市,district=南沙区}"},{"score":0.7388384025,"content":"南山区今天天气","fileId":"1329400169758941184","chunkId":"43","textGroup":"getCurrentWeather {province=广东省,city=深圳市,district=南山区}"},{"score":0.73792461,"content":"港南区今天天气","fileId":"1329400169758941184","chunkId":"32","textGroup":"getCurrentWeather {province=广西壮族自治区,city=贵港市,district=港南区}"},{"score":0.7373462275,"content":"请帮我继续微波","fileId":"1347217269055369216","chunkId":"256","textGroup":"cooking_control {type=continue}"},{"score":0.7366430224999999,"content":"白云区今天天气","fileId":"1329400169758941184","chunkId":"40","textGroup":"getCurrentWeather {province=广东省,city=广州市,district=白云区}"},{"score":0.735363135,"content":"罗湖区今天天气","fileId":"1329400169758941184","chunkId":"45","textGroup":"getCurrentWeather {province=广东省,city=深圳市,district=罗湖区}"},{"score":0.7349491,"content":"微波暂停","fileId":"1347217269055369216","chunkId":"164","textGroup":"cooking_control {type=pause}"},{"score":0.732119025,"content":"请帮我终止微波","fileId":"1347217269055369216","chunkId":"328","textGroup":"cooking_control {type=stop}"},{"score":0.7298897725,"content":"龙华区今天天气","fileId":"1329400169758941184","chunkId":"46","textGroup":"getCurrentWeather {province=广东省,city=深圳市,district=龙华区}"},{"score":0.72968726,"content":"光明区今天天气","fileId":"1329400169758941184","chunkId":"47","textGroup":"getCurrentWeather {province=广东省,city=深圳市,district=光明区}"},{"score":0.7295854724999999,"content":"启动微波功能","fileId":"1347217269055369216","chunkId":"64","textGroup":"cooking_control {type=start}"},{"score":0.728574355,"content":"港北区今天天气","fileId":"1329400169758941184","chunkId":"33","textGroup":"getCurrentWeather {province=广西壮族自治区,city=贵港市,district=港北区}"},{"score":0.727326895,"content":"通州区今天天气","fileId":"1329400169758941184","chunkId":"50","textGroup":"getCurrentWeather {province=北京市,district=通州区}"},{"score":0.7267779225,"content":"南宁今天天气","fileId":"1329400169758941184","chunkId":"48","textGroup":"getCurrentWeather {province=广西壮族自治区,city=南宁市}"}]},{"knowledgeId":"1272948056214077440","knowledgeContent":[{"score":0.7345657925,"content":"问题：你什么时候在线。\\n回复：我二十四小时在线的。","fileId":"1303425377255075840","chunkId":"2676","textGroup":"你什么时候在线"},{"score":0.733467295,"content":"问题：你们是否与盈康食品有交涉。\\n回复：盈康食品是与万得厨进行深度合作的可靠食品供应商。盈康食品为万得厨平台提供了多样可靠的鲜肉食品选择。","fileId":"1303425377255075840","chunkId":"275","textGroup":"万得厨跟盈康食品是否有关系"},{"score":0.7323751725,"content":"问题：你们是否与新食记有交涉。\\n回复：万得厨和新食记是战略合作伙伴关系。新食记作为预制菜美食供应商，在平台上为用户提供多样的食品选择及适用于万得厨的海量食谱。","fileId":"1303425377255075840","chunkId":"199","textGroup":"万得厨跟新食记是否有关系"},{"score":0.7308292774999999,"content":"问题：万德福可以空载运行吗。\\n回复：微波炉是严禁空载使用的哦，会损坏微波炉的","fileId":"130</f>
        <v/>
      </c>
      <c r="C1565" t="inlineStr">
        <is>
          <t>INFO</t>
        </is>
      </c>
      <c r="D1565" t="inlineStr">
        <is>
          <t>vdh</t>
        </is>
      </c>
      <c r="E1565" t="inlineStr">
        <is>
          <t>pro17</t>
        </is>
      </c>
      <c r="F1565" t="inlineStr">
        <is>
          <t>prod</t>
        </is>
      </c>
    </row>
    <row r="1566">
      <c r="A1566" t="inlineStr">
        <is>
          <t>2025-05-09 09:46:06.243</t>
        </is>
      </c>
      <c r="B1566" t="inlineStr">
        <is>
          <t>知识库插件检索耗时: 636ms</t>
        </is>
      </c>
      <c r="C1566" t="inlineStr">
        <is>
          <t>INFO</t>
        </is>
      </c>
      <c r="D1566" t="inlineStr">
        <is>
          <t>vdh</t>
        </is>
      </c>
      <c r="E1566" t="inlineStr">
        <is>
          <t>pro17</t>
        </is>
      </c>
      <c r="F1566" t="inlineStr">
        <is>
          <t>prod</t>
        </is>
      </c>
    </row>
    <row r="1567">
      <c r="A1567" t="inlineStr">
        <is>
          <t>2025-05-09 09:46:05.605</t>
        </is>
      </c>
      <c r="B1567">
        <f>=请求开始== [请求IP]:172.18.33.14 ,[请求方式]:POST， [请求URL]:https://172.30.103.196:8080/api/appservice/bfv/v1/knowledge/retrieval/plugin, [请求类名]:com.yingzi.appservice.bfv.provider.rest.KnowledgeRetrievalController,[请求方法名]:plugin, [请求头参数]:{"host":"172.30.103.196:8080"}, [请求参数]:[{"query":"18号广州地铁18号线换乘22号线","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567" t="inlineStr">
        <is>
          <t>INFO</t>
        </is>
      </c>
      <c r="D1567" t="inlineStr">
        <is>
          <t>vdh</t>
        </is>
      </c>
      <c r="E1567" t="inlineStr">
        <is>
          <t>pro17</t>
        </is>
      </c>
      <c r="F1567" t="inlineStr">
        <is>
          <t>prod</t>
        </is>
      </c>
    </row>
    <row r="1568">
      <c r="A1568" t="inlineStr">
        <is>
          <t>2025-05-09 09:46:05.593</t>
        </is>
      </c>
      <c r="B1568">
        <f>=请求开始== [请求IP]:172.18.114.116 ,[请求方式]:POST， [请求URL]:https://172.30.212.148:8080/api/appservice/bfv/v1/chat/, [请求类名]:com.yingzi.appservice.bfv.provider.rest.ChatV1Controller,[请求方法名]:chat, [请求头参数]:{"host":"172.30.212.148:8080"}, [请求参数]:[{"stream":true,"message":"18号广州地铁18号线换乘22号线","args":"{\"adcode\":\"440100\",\"channel_id\":\"9\"}"}]</f>
        <v/>
      </c>
      <c r="C1568" t="inlineStr">
        <is>
          <t>INFO</t>
        </is>
      </c>
      <c r="D1568" t="inlineStr">
        <is>
          <t>vdh</t>
        </is>
      </c>
      <c r="E1568" t="inlineStr">
        <is>
          <t>pro14</t>
        </is>
      </c>
      <c r="F1568" t="inlineStr">
        <is>
          <t>prod</t>
        </is>
      </c>
    </row>
    <row r="1569">
      <c r="A1569" t="inlineStr">
        <is>
          <t>2025-05-09 09:45:57.068</t>
        </is>
      </c>
      <c r="B1569">
        <f>=请求结束== [请求耗时]:8869毫秒</f>
        <v/>
      </c>
      <c r="C1569" t="inlineStr">
        <is>
          <t>INFO</t>
        </is>
      </c>
      <c r="D1569" t="inlineStr">
        <is>
          <t>vdh</t>
        </is>
      </c>
      <c r="E1569" t="inlineStr">
        <is>
          <t>pro14</t>
        </is>
      </c>
      <c r="F1569" t="inlineStr">
        <is>
          <t>prod</t>
        </is>
      </c>
    </row>
    <row r="1570">
      <c r="A1570" t="inlineStr">
        <is>
          <t>2025-05-09 09:45:57.067</t>
        </is>
      </c>
      <c r="B1570" t="inlineStr">
        <is>
          <t>第2次流式调用完成，耗时：7251ms，response: Response { content = AiMessage { text = "好的 你想了解关于广州地铁18号线快车的信息 对吧 目前18号线快车有这些特点 番禺广场至冼村区段在高峰时段会越行两列普通车 平峰时段只越行一列 快车新增停靠南村万博站 从南村万博到冼村仅需约10分钟 快车比普通车节省约5分钟 建议你根据实际出行需求选择车次 并留意车站广播和显示屏上的列车信息 如果需要更详细的时刻表 可以查看地铁官方公告" toolExecutionRequests = null }, tokenUsage = TokenUsage { inputTokenCount = 627, outputTokenCount = 190, totalTokenCount = 817 }, finishReason = STOP }</t>
        </is>
      </c>
      <c r="C1570" t="inlineStr">
        <is>
          <t>INFO</t>
        </is>
      </c>
      <c r="D1570" t="inlineStr">
        <is>
          <t>vdh</t>
        </is>
      </c>
      <c r="E1570" t="inlineStr">
        <is>
          <t>pro14</t>
        </is>
      </c>
      <c r="F1570" t="inlineStr">
        <is>
          <t>prod</t>
        </is>
      </c>
    </row>
    <row r="1571">
      <c r="A1571" t="inlineStr">
        <is>
          <t>2025-05-09 09:45:54.248</t>
        </is>
      </c>
      <c r="B1571">
        <f>=请求结束== [请求耗时]:11毫秒, [返回数据]:{"code":"000000","msg":"Success","traceId":"2dd7302b5377e7b33112f27aae827bec"}</f>
        <v/>
      </c>
      <c r="C1571" t="inlineStr">
        <is>
          <t>INFO</t>
        </is>
      </c>
      <c r="D1571" t="inlineStr">
        <is>
          <t>vdh</t>
        </is>
      </c>
      <c r="E1571" t="inlineStr">
        <is>
          <t>pro14</t>
        </is>
      </c>
      <c r="F1571" t="inlineStr">
        <is>
          <t>prod</t>
        </is>
      </c>
    </row>
    <row r="1572">
      <c r="A1572" t="inlineStr">
        <is>
          <t>2025-05-09 09:45:54.236</t>
        </is>
      </c>
      <c r="B1572">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18号线快车","instructionAsrFirstTime":{"year":2025,"monthValue":5,"month":"MAY","dayOfMonth":9,"dayOfYear":129,"dayOfWeek":"FRIDAY","hour":9,"minute":45,"second":46,"nano":0,"chronology":{"id":"ISO","calendarType":"iso8601"}},"knowledgeId":"","knowledgeMasterId":"","instructionType":"","instructionName":"","instructionFlag":"","parameter":"{}","ttsResultSource":"FTT","ttsResult":"","response":0}]]</f>
        <v/>
      </c>
      <c r="C1572" t="inlineStr">
        <is>
          <t>INFO</t>
        </is>
      </c>
      <c r="D1572" t="inlineStr">
        <is>
          <t>vdh</t>
        </is>
      </c>
      <c r="E1572" t="inlineStr">
        <is>
          <t>pro14</t>
        </is>
      </c>
      <c r="F1572" t="inlineStr">
        <is>
          <t>prod</t>
        </is>
      </c>
    </row>
    <row r="1573">
      <c r="A1573" t="inlineStr">
        <is>
          <t>2025-05-09 09:45:52.261</t>
        </is>
      </c>
      <c r="B1573" t="inlineStr">
        <is>
          <t xml:space="preserve">第2次流式调用开始回复，耗时：2445ms，第一个token: </t>
        </is>
      </c>
      <c r="C1573" t="inlineStr">
        <is>
          <t>INFO</t>
        </is>
      </c>
      <c r="D1573" t="inlineStr">
        <is>
          <t>vdh</t>
        </is>
      </c>
      <c r="E1573" t="inlineStr">
        <is>
          <t>pro14</t>
        </is>
      </c>
      <c r="F1573" t="inlineStr">
        <is>
          <t>prod</t>
        </is>
      </c>
    </row>
    <row r="1574">
      <c r="A1574" t="inlineStr">
        <is>
          <t>2025-05-09 09:45:49.817</t>
        </is>
      </c>
      <c r="B1574" t="inlineStr">
        <is>
          <t>streaming provider=qwen, model: qwen-plus</t>
        </is>
      </c>
      <c r="C1574" t="inlineStr">
        <is>
          <t>INFO</t>
        </is>
      </c>
      <c r="D1574" t="inlineStr">
        <is>
          <t>vdh</t>
        </is>
      </c>
      <c r="E1574" t="inlineStr">
        <is>
          <t>pro14</t>
        </is>
      </c>
      <c r="F1574" t="inlineStr">
        <is>
          <t>prod</t>
        </is>
      </c>
    </row>
    <row r="1575">
      <c r="A1575" t="inlineStr">
        <is>
          <t>2025-05-09 09:45:49.815</t>
        </is>
      </c>
      <c r="B1575" t="inlineStr">
        <is>
          <t>第1次流式调用完成，耗时：1190ms，response: Response { content = AiMessage { text = null toolExecutionRequests = [ToolExecutionRequest { id = "call_HUHGwFRlwJFWKEBgOJ0NpU6j", name = "search", arguments = "{"question":"18号线快车"}" }] }, tokenUsage = TokenUsage { inputTokenCount = 4714, outputTokenCount = 15, totalTokenCount = 4729 }, finishReason = TOOL_EXECUTION }</t>
        </is>
      </c>
      <c r="C1575" t="inlineStr">
        <is>
          <t>INFO</t>
        </is>
      </c>
      <c r="D1575" t="inlineStr">
        <is>
          <t>vdh</t>
        </is>
      </c>
      <c r="E1575" t="inlineStr">
        <is>
          <t>pro14</t>
        </is>
      </c>
      <c r="F1575" t="inlineStr">
        <is>
          <t>prod</t>
        </is>
      </c>
    </row>
    <row r="1576">
      <c r="A1576" t="inlineStr">
        <is>
          <t>2025-05-09 09:45:48.625</t>
        </is>
      </c>
      <c r="B1576" t="inlineStr">
        <is>
          <t>streaming provider=gpt, model: gpt-4o</t>
        </is>
      </c>
      <c r="C1576" t="inlineStr">
        <is>
          <t>INFO</t>
        </is>
      </c>
      <c r="D1576" t="inlineStr">
        <is>
          <t>vdh</t>
        </is>
      </c>
      <c r="E1576" t="inlineStr">
        <is>
          <t>pro14</t>
        </is>
      </c>
      <c r="F1576" t="inlineStr">
        <is>
          <t>prod</t>
        </is>
      </c>
    </row>
    <row r="1577">
      <c r="A1577" t="inlineStr">
        <is>
          <t>2025-05-09 09:45:48.618</t>
        </is>
      </c>
      <c r="B1577">
        <f>=请求结束== [请求耗时]:380毫秒, [返回数据]:{"code":"000000","msg":"Success","data":[{"knowledgeId":"1326868148286373888","knowledgeContent":[{"score":0.71452309,"content":"：2025年春节/过年/大年初一是1月29日，农历正月初一，星期三。","fileId":"1326944717968060416","chunkId":"paragraph-1"},{"score":0.70543574,"content":"：深圳数影科技的股价是多少？深圳数影科技有限公司没有上市，因此没有股价信息。 广西扬翔股份上市了吗？广西扬翔股份没有上市。","fileId":"1326944717968060416","chunkId":"paragraph-6"},{"score":0.6998328374999999,"content":"：小暑：•新历：7月7日•农历：六月十三•星期一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knowledgeId":"1329399948694220800","knowledgeContent":[{"score":0.7253966725,"content":"播报热点新闻","fileId":"1329400169758941184","chunkId":"83","textGroup":"news {type=top,size=3}"},{"score":0.7244175574999999,"content":"有什么汽车新闻","fileId":"1329400169758941184","chunkId":"79","textGroup":"news {type=qiche,size=3}"},{"score":0.7233842125000001,"content":"北京今天天气","fileId":"1329400169758941184","chunkId":"49","textGroup":"getCurrentWeather {province=北京市}"},{"score":0.7217170225,"content":"特斯拉今天涨了多少","fileId":"1329400169758941184","chunkId":"92","textGroup":"ticker {name=特斯拉}"},{"score":0.7215922,"content":"赶紧启动","fileId":"1347217269055369216","chunkId":"138","textGroup":"cooking_control {type=start}"},{"score":0.7204906425,"content":"微波暂停","fileId":"1347217269055369216","chunkId":"164","textGroup":"cooking_control {type=pause}"},{"score":0.7188483149999999,"content":"有什么科技新闻","fileId":"1329400169758941184","chunkId":"76","textGroup":"news {type=keji,size=3}"},{"score":0.7184928875,"content":"最新天气","fileId":"1329400169758941184","chunkId":"3","textGroup":"getCurrentWeather"},{"score":0.7178945725,"content":"有什么财经新闻","fileId":"1329400169758941184","chunkId":"77","textGroup":"news {type=caijing,size=3}"},{"score":0.7174580125,"content":"请帮我继续微波","fileId":"1347217269055369216","chunkId":"256","textGroup":"cooking_control {type=continue}"}]},{"knowledgeId":"1272948056214077440","knowledgeContent":[{"score":0.72555354,"content":"问题：你什么时候在线。\\n回复：我二十四小时在线的。","fileId":"1303425377255075840","chunkId":"2676","textGroup":"你什么时候在线"},{"score":0.7227517275,"content":"问题：你反应太慢了。\\n回复：抱歉我还在学习，所以反应有点慢。","fileId":"1303425377255075840","chunkId":"2686","textGroup":"你反应太慢了"},{"score":0.720923505,"content":"问题：万德福可以空载运行吗。\\n回复：微波炉是严禁空载使用的哦，会损坏微波炉的","fileId":"1303425377255075840","chunkId":"1921","textGroup":"微波炉可以空载运行吗"},{"score":0.71900667,"content":"问题：公司创立时间。\\n回复：影子科技成立于2018年6月19日。","fileId":"1303425377255075840","chunkId":"2788","textGroup":"公司创立时间"},{"score":0.71779695,"content":"问题：晚安。\\n回复：晚安。","fileId":"1303425377255075840","chunkId":"2766","textGroup":"晚安"},{"score":0.7169844774999999,"content":"问题：微博炉需不需要接地线再使用。\\n回复：微波是不需要接地线的哦","fileId":"1303425377255075840","chunkId":"2258","textGroup":"微波炉需要接地线吗"},{"score":0.7162356274999999,"content":"问题：微博加热食品的速度很快吗。\\n回复：微波加热速度很快，对食物营养素的破坏也比煎炸炒制少。","fileId":"1303425377255075840","chunkId":"1376","textGroup":"微波加热有什么优点"}]}]}</f>
        <v/>
      </c>
      <c r="C1577" t="inlineStr">
        <is>
          <t>INFO</t>
        </is>
      </c>
      <c r="D1577" t="inlineStr">
        <is>
          <t>vdh</t>
        </is>
      </c>
      <c r="E1577" t="inlineStr">
        <is>
          <t>pro17</t>
        </is>
      </c>
      <c r="F1577" t="inlineStr">
        <is>
          <t>prod</t>
        </is>
      </c>
    </row>
    <row r="1578">
      <c r="A1578" t="inlineStr">
        <is>
          <t>2025-05-09 09:45:48.617</t>
        </is>
      </c>
      <c r="B1578" t="inlineStr">
        <is>
          <t>知识库插件检索耗时: 378ms</t>
        </is>
      </c>
      <c r="C1578" t="inlineStr">
        <is>
          <t>INFO</t>
        </is>
      </c>
      <c r="D1578" t="inlineStr">
        <is>
          <t>vdh</t>
        </is>
      </c>
      <c r="E1578" t="inlineStr">
        <is>
          <t>pro17</t>
        </is>
      </c>
      <c r="F1578" t="inlineStr">
        <is>
          <t>prod</t>
        </is>
      </c>
    </row>
    <row r="1579">
      <c r="A1579" t="inlineStr">
        <is>
          <t>2025-05-09 09:45:48.237</t>
        </is>
      </c>
      <c r="B1579">
        <f>=请求开始== [请求IP]:172.18.33.14 ,[请求方式]:POST， [请求URL]:https://172.30.103.196:8080/api/appservice/bfv/v1/knowledge/retrieval/plugin, [请求类名]:com.yingzi.appservice.bfv.provider.rest.KnowledgeRetrievalController,[请求方法名]:plugin, [请求头参数]:{"host":"172.30.103.196:8080"}, [请求参数]:[{"query":"18号线快车","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579" t="inlineStr">
        <is>
          <t>INFO</t>
        </is>
      </c>
      <c r="D1579" t="inlineStr">
        <is>
          <t>vdh</t>
        </is>
      </c>
      <c r="E1579" t="inlineStr">
        <is>
          <t>pro17</t>
        </is>
      </c>
      <c r="F1579" t="inlineStr">
        <is>
          <t>prod</t>
        </is>
      </c>
    </row>
    <row r="1580">
      <c r="A1580" t="inlineStr">
        <is>
          <t>2025-05-09 09:45:48.199</t>
        </is>
      </c>
      <c r="B1580">
        <f>=请求开始== [请求IP]:172.18.114.116 ,[请求方式]:POST， [请求URL]:https://172.30.212.148:8080/api/appservice/bfv/v1/chat/, [请求类名]:com.yingzi.appservice.bfv.provider.rest.ChatV1Controller,[请求方法名]:chat, [请求头参数]:{"host":"172.30.212.148:8080"}, [请求参数]:[{"stream":true,"message":"18号线快车","args":"{\"adcode\":\"440100\",\"channel_id\":\"9\"}"}]</f>
        <v/>
      </c>
      <c r="C1580" t="inlineStr">
        <is>
          <t>INFO</t>
        </is>
      </c>
      <c r="D1580" t="inlineStr">
        <is>
          <t>vdh</t>
        </is>
      </c>
      <c r="E1580" t="inlineStr">
        <is>
          <t>pro14</t>
        </is>
      </c>
      <c r="F1580" t="inlineStr">
        <is>
          <t>prod</t>
        </is>
      </c>
    </row>
    <row r="1581">
      <c r="A1581" t="inlineStr">
        <is>
          <t>2025-05-09 09:45:43.046</t>
        </is>
      </c>
      <c r="B1581">
        <f>=请求结束== [请求耗时]:3267毫秒</f>
        <v/>
      </c>
      <c r="C1581" t="inlineStr">
        <is>
          <t>INFO</t>
        </is>
      </c>
      <c r="D1581" t="inlineStr">
        <is>
          <t>vdh</t>
        </is>
      </c>
      <c r="E1581" t="inlineStr">
        <is>
          <t>pro17</t>
        </is>
      </c>
      <c r="F1581" t="inlineStr">
        <is>
          <t>prod</t>
        </is>
      </c>
    </row>
    <row r="1582">
      <c r="A1582" t="inlineStr">
        <is>
          <t>2025-05-09 09:45:43.045</t>
        </is>
      </c>
      <c r="B1582" t="inlineStr">
        <is>
          <t>第1次流式调用完成，耗时：2787ms，response: Response { content = AiMessage { text = "请问您是想启动微波炉的某个烹饪程序吗？因为微波炉不具备播放音乐或视频的功能，所以无法打开“18号线”。如果您需要启动某个烹饪程序，请告知我具体的名称或代码。" toolExecutionRequests = null }, tokenUsage = TokenUsage { inputTokenCount = 4598, outputTokenCount = 86, totalTokenCount = 4684 }, finishReason = STOP }</t>
        </is>
      </c>
      <c r="C1582" t="inlineStr">
        <is>
          <t>INFO</t>
        </is>
      </c>
      <c r="D1582" t="inlineStr">
        <is>
          <t>vdh</t>
        </is>
      </c>
      <c r="E1582" t="inlineStr">
        <is>
          <t>pro17</t>
        </is>
      </c>
      <c r="F1582" t="inlineStr">
        <is>
          <t>prod</t>
        </is>
      </c>
    </row>
    <row r="1583">
      <c r="A1583" t="inlineStr">
        <is>
          <t>2025-05-09 09:45:42.844</t>
        </is>
      </c>
      <c r="B1583">
        <f>=请求结束== [请求耗时]:15毫秒, [返回数据]:{"code":"000000","msg":"Success","traceId":"380f81f6f9fdcabbc72d3a9463dcbd43"}</f>
        <v/>
      </c>
      <c r="C1583" t="inlineStr">
        <is>
          <t>INFO</t>
        </is>
      </c>
      <c r="D1583" t="inlineStr">
        <is>
          <t>vdh</t>
        </is>
      </c>
      <c r="E1583" t="inlineStr">
        <is>
          <t>pro17</t>
        </is>
      </c>
      <c r="F1583" t="inlineStr">
        <is>
          <t>prod</t>
        </is>
      </c>
    </row>
    <row r="1584">
      <c r="A1584" t="inlineStr">
        <is>
          <t>2025-05-09 09:45:42.829</t>
        </is>
      </c>
      <c r="B1584">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打开我要搭18号线","instructionAsrFirstTime":{"year":2025,"monthValue":5,"month":"MAY","dayOfMonth":9,"dayOfYear":129,"dayOfWeek":"FRIDAY","hour":9,"minute":45,"second":34,"nano":0,"chronology":{"id":"ISO","calendarType":"iso8601"}},"knowledgeId":"","knowledgeMasterId":"","instructionType":"","instructionName":"","instructionFlag":"","parameter":"{}","ttsResultSource":"FTT","ttsResult":"","response":0}]]</f>
        <v/>
      </c>
      <c r="C1584" t="inlineStr">
        <is>
          <t>INFO</t>
        </is>
      </c>
      <c r="D1584" t="inlineStr">
        <is>
          <t>vdh</t>
        </is>
      </c>
      <c r="E1584" t="inlineStr">
        <is>
          <t>pro17</t>
        </is>
      </c>
      <c r="F1584" t="inlineStr">
        <is>
          <t>prod</t>
        </is>
      </c>
    </row>
    <row r="1585">
      <c r="A1585" t="inlineStr">
        <is>
          <t>2025-05-09 09:45:41.313</t>
        </is>
      </c>
      <c r="B1585" t="inlineStr">
        <is>
          <t xml:space="preserve">第1次流式调用开始回复，耗时：1055ms，第一个token: </t>
        </is>
      </c>
      <c r="C1585" t="inlineStr">
        <is>
          <t>INFO</t>
        </is>
      </c>
      <c r="D1585" t="inlineStr">
        <is>
          <t>vdh</t>
        </is>
      </c>
      <c r="E1585" t="inlineStr">
        <is>
          <t>pro17</t>
        </is>
      </c>
      <c r="F1585" t="inlineStr">
        <is>
          <t>prod</t>
        </is>
      </c>
    </row>
    <row r="1586">
      <c r="A1586" t="inlineStr">
        <is>
          <t>2025-05-09 09:45:40.258</t>
        </is>
      </c>
      <c r="B1586" t="inlineStr">
        <is>
          <t>streaming provider=gpt, model: gpt-4o</t>
        </is>
      </c>
      <c r="C1586" t="inlineStr">
        <is>
          <t>INFO</t>
        </is>
      </c>
      <c r="D1586" t="inlineStr">
        <is>
          <t>vdh</t>
        </is>
      </c>
      <c r="E1586" t="inlineStr">
        <is>
          <t>pro17</t>
        </is>
      </c>
      <c r="F1586" t="inlineStr">
        <is>
          <t>prod</t>
        </is>
      </c>
    </row>
    <row r="1587">
      <c r="A1587" t="inlineStr">
        <is>
          <t>2025-05-09 09:45:40.252</t>
        </is>
      </c>
      <c r="B1587">
        <f>=请求结束== [请求耗时]:460毫秒, [返回数据]:{"code":"000000","msg":"Success","data":[{"knowledgeId":"1272948056214077440","knowledgeContent":[{"score":0.7507143049999999,"content":"问题：你什么时候在线。\\n回复：我二十四小时在线的。","fileId":"1303425377255075840","chunkId":"2676","textGroup":"你什么时候在线"},{"score":0.7433400874999999,"content":"问题：可以和我聊聊天吗。\\n回复：你可以随时找我聊。","fileId":"1303425377255075840","chunkId":"2757","textGroup":"可以和我聊聊天吗"},{"score":0.7412966025,"content":"问题：晚安。\\n回复：晚安。","fileId":"1303425377255075840","chunkId":"2766","textGroup":"晚安"},{"score":0.7400780425,"content":"问题：没有放食物可以开启万德福吗。\\n回复：微波炉是严禁空载使用的哦，会损坏微波炉的","fileId":"1303425377255075840","chunkId":"1943","textGroup":"微波炉可以空载运行吗"},{"score":0.739300505,"content":"问题：你好。\\n回复：你好，有什么可以帮您。","fileId":"1303425377255075840","chunkId":"2699","textGroup":"你好"},{"score":0.73918907,"content":"问题：微博炉需不需要接地线再使用。\\n回复：微波是不需要接地线的哦","fileId":"1303425377255075840","chunkId":"2258","textGroup":"微波炉需要接地线吗"},{"score":0.7386329574999999,"content":"问题：不满。\\n回复：不满意的地方还请多多包涵。","fileId":"1303425377255075840","chunkId":"2671","textGroup":"不满"},{"score":0.7373722375,"content":"问题：你吃饭了吗。\\n回复：还在等待美食中，你想和我一起吃吗？","fileId":"1303425377255075840","chunkId":"2689","textGroup":"你吃饭了吗"}]},{"knowledgeId":"1326868148286373888","knowledgeContent":[{"score":0.7317946649999999,"content":"：2025年春节/过年/大年初一是1月29日，农历正月初一，星期三。","fileId":"1326944717968060416","chunkId":"paragraph-1"},{"score":0.720966005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冬至：•新历：12月21日•农历：十一月初二•星期日","fileId":"1326944717968060416","chunkId":"paragraph-4"},{"score":0.7192924825,"content":"：深圳数影科技的股价是多少？深圳数影科技有限公司没有上市，因此没有股价信息。 广西扬翔股份上市了吗？广西扬翔股份没有上市。","fileId":"1326944717968060416","chunkId":"paragraph-6"}]},{"knowledgeId":"1329399948694220800","knowledgeContent":[{"score":0.7545837175,"content":"我想微波暂停","fileId":"1347217269055369216","chunkId":"195","textGroup":"cooking_control {type=pause}"},{"score":0.7514917149999999,"content":"启动微博","fileId":"1347217269055369216","chunkId":"55","textGroup":"cooking_control {type=start}"},{"score":0.7488876975000001,"content":"请帮我继续微波","fileId":"1347217269055369216","chunkId":"256","textGroup":"cooking_control {type=continue}"},{"score":0.7484038774999999,"content":"请帮我终止微波","fileId":"1347217269055369216","chunkId":"328","textGroup":"cooking_control {type=stop}"},{"score":0.7412797725,"content":"我要听新闻","fileId":"1329400169758941184","chunkId":"60","textGroup":"news {type=top,size=3}"},{"score":0.10914368400000003,"content":"我要烹[菜品名称]","fileId":"1347217269055369216","chunkId":"34","textGroup":"set_foodtype_taste"}]}]}</f>
        <v/>
      </c>
      <c r="C1587" t="inlineStr">
        <is>
          <t>INFO</t>
        </is>
      </c>
      <c r="D1587" t="inlineStr">
        <is>
          <t>vdh</t>
        </is>
      </c>
      <c r="E1587" t="inlineStr">
        <is>
          <t>pro14</t>
        </is>
      </c>
      <c r="F1587" t="inlineStr">
        <is>
          <t>prod</t>
        </is>
      </c>
    </row>
    <row r="1588">
      <c r="A1588" t="inlineStr">
        <is>
          <t>2025-05-09 09:45:40.251</t>
        </is>
      </c>
      <c r="B1588" t="inlineStr">
        <is>
          <t>知识库插件检索耗时: 457ms</t>
        </is>
      </c>
      <c r="C1588" t="inlineStr">
        <is>
          <t>INFO</t>
        </is>
      </c>
      <c r="D1588" t="inlineStr">
        <is>
          <t>vdh</t>
        </is>
      </c>
      <c r="E1588" t="inlineStr">
        <is>
          <t>pro14</t>
        </is>
      </c>
      <c r="F1588" t="inlineStr">
        <is>
          <t>prod</t>
        </is>
      </c>
    </row>
    <row r="1589">
      <c r="A1589" t="inlineStr">
        <is>
          <t>2025-05-09 09:45:39.792</t>
        </is>
      </c>
      <c r="B1589">
        <f>=请求开始== [请求IP]:172.18.33.17 ,[请求方式]:POST， [请求URL]:https://172.30.212.148:8080/api/appservice/bfv/v1/knowledge/retrieval/plugin, [请求类名]:com.yingzi.appservice.bfv.provider.rest.KnowledgeRetrievalController,[请求方法名]:plugin, [请求头参数]:{"host":"172.30.212.148:8080"}, [请求参数]:[{"query":"打开我要搭18号线","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589" t="inlineStr">
        <is>
          <t>INFO</t>
        </is>
      </c>
      <c r="D1589" t="inlineStr">
        <is>
          <t>vdh</t>
        </is>
      </c>
      <c r="E1589" t="inlineStr">
        <is>
          <t>pro14</t>
        </is>
      </c>
      <c r="F1589" t="inlineStr">
        <is>
          <t>prod</t>
        </is>
      </c>
    </row>
    <row r="1590">
      <c r="A1590" t="inlineStr">
        <is>
          <t>2025-05-09 09:45:39.779</t>
        </is>
      </c>
      <c r="B1590">
        <f>=请求开始== [请求IP]:172.18.114.116 ,[请求方式]:POST， [请求URL]:https://172.30.103.196:8080/api/appservice/bfv/v1/chat/, [请求类名]:com.yingzi.appservice.bfv.provider.rest.ChatV1Controller,[请求方法名]:chat, [请求头参数]:{"host":"172.30.103.196:8080"}, [请求参数]:[{"stream":true,"message":"打开我要搭18号线","args":"{\"adcode\":\"440100\",\"channel_id\":\"9\"}"}]</f>
        <v/>
      </c>
      <c r="C1590" t="inlineStr">
        <is>
          <t>INFO</t>
        </is>
      </c>
      <c r="D1590" t="inlineStr">
        <is>
          <t>vdh</t>
        </is>
      </c>
      <c r="E1590" t="inlineStr">
        <is>
          <t>pro17</t>
        </is>
      </c>
      <c r="F1590" t="inlineStr">
        <is>
          <t>prod</t>
        </is>
      </c>
    </row>
    <row r="1591">
      <c r="A1591" t="inlineStr">
        <is>
          <t>2025-05-09 09:45:34.844</t>
        </is>
      </c>
      <c r="B1591">
        <f>=请求结束== [请求耗时]:13毫秒, [返回数据]:{"code":"000000","msg":"Success","traceId":"7c2e38e831b553034276b987f8d9ed63"}</f>
        <v/>
      </c>
      <c r="C1591" t="inlineStr">
        <is>
          <t>INFO</t>
        </is>
      </c>
      <c r="D1591" t="inlineStr">
        <is>
          <t>vdh</t>
        </is>
      </c>
      <c r="E1591" t="inlineStr">
        <is>
          <t>pro17</t>
        </is>
      </c>
      <c r="F1591" t="inlineStr">
        <is>
          <t>prod</t>
        </is>
      </c>
    </row>
    <row r="1592">
      <c r="A1592" t="inlineStr">
        <is>
          <t>2025-05-09 09:45:34.831</t>
        </is>
      </c>
      <c r="B1592">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592" t="inlineStr">
        <is>
          <t>INFO</t>
        </is>
      </c>
      <c r="D1592" t="inlineStr">
        <is>
          <t>vdh</t>
        </is>
      </c>
      <c r="E1592" t="inlineStr">
        <is>
          <t>pro17</t>
        </is>
      </c>
      <c r="F1592" t="inlineStr">
        <is>
          <t>prod</t>
        </is>
      </c>
    </row>
    <row r="1593">
      <c r="A1593" t="inlineStr">
        <is>
          <t>2025-05-09 09:45:32.718</t>
        </is>
      </c>
      <c r="B1593">
        <f>=请求结束== [请求耗时]:12毫秒, [返回数据]:{"code":"000000","msg":"Success","traceId":"c0e07770a730af5930d82ef8a0fd99bd"}</f>
        <v/>
      </c>
      <c r="C1593" t="inlineStr">
        <is>
          <t>INFO</t>
        </is>
      </c>
      <c r="D1593" t="inlineStr">
        <is>
          <t>vdh</t>
        </is>
      </c>
      <c r="E1593" t="inlineStr">
        <is>
          <t>pro14</t>
        </is>
      </c>
      <c r="F1593" t="inlineStr">
        <is>
          <t>prod</t>
        </is>
      </c>
    </row>
    <row r="1594">
      <c r="A1594" t="inlineStr">
        <is>
          <t>2025-05-09 09:45:32.705</t>
        </is>
      </c>
      <c r="B1594">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搭乘18号线","instructionAsrFirstTime":{"year":2025,"monthValue":5,"month":"MAY","dayOfMonth":9,"dayOfYear":129,"dayOfWeek":"FRIDAY","hour":9,"minute":45,"second":22,"nano":0,"chronology":{"id":"ISO","calendarType":"iso8601"}},"knowledgeId":"","knowledgeMasterId":"","instructionType":"","instructionName":"","instructionFlag":"","parameter":"{\"nlpId\":\"17300825629321642727spln\",\"service\":\"Chat_library\"}","ttsResultSource":"FTT","ttsResult":"你好,有什么可以帮您?","ttsResultTime":{"year":2025,"monthValue":5,"month":"MAY","dayOfMonth":9,"dayOfYear":129,"dayOfWeek":"FRIDAY","hour":9,"minute":45,"second":28,"nano":0,"chronology":{"id":"ISO","calendarType":"iso8601"}},"response":2644}]]</f>
        <v/>
      </c>
      <c r="C1594" t="inlineStr">
        <is>
          <t>INFO</t>
        </is>
      </c>
      <c r="D1594" t="inlineStr">
        <is>
          <t>vdh</t>
        </is>
      </c>
      <c r="E1594" t="inlineStr">
        <is>
          <t>pro14</t>
        </is>
      </c>
      <c r="F1594" t="inlineStr">
        <is>
          <t>prod</t>
        </is>
      </c>
    </row>
    <row r="1595">
      <c r="A1595" t="inlineStr">
        <is>
          <t>2025-05-09 09:45:30.985</t>
        </is>
      </c>
      <c r="B1595">
        <f>=请求结束== [请求耗时]:15毫秒, [返回数据]:{"code":"000000","msg":"Success","traceId":"821e6bd8e1eb954dd08b03689740ee92"}</f>
        <v/>
      </c>
      <c r="C1595" t="inlineStr">
        <is>
          <t>INFO</t>
        </is>
      </c>
      <c r="D1595" t="inlineStr">
        <is>
          <t>vdh</t>
        </is>
      </c>
      <c r="E1595" t="inlineStr">
        <is>
          <t>pro14</t>
        </is>
      </c>
      <c r="F1595" t="inlineStr">
        <is>
          <t>prod</t>
        </is>
      </c>
    </row>
    <row r="1596">
      <c r="A1596" t="inlineStr">
        <is>
          <t>2025-05-09 09:45:30.970</t>
        </is>
      </c>
      <c r="B1596">
        <f>=请求开始== [请求IP]:111.58.68.45 ,[请求方式]:POST， [请求URL]:https://172.30.212.148:8080/api/appservice/bfv/v1/chatHistory/batchSave, [请求类名]:com.yingzi.appservice.bfv.provider.rest.ChatHistoryController,[请求方法名]:batchSave, [请求头参数]:{"host":"172.30.212.148:8080"}, [请求参数]:[[{"userId":794947370928070656,"deviceId":"70:CF:49:9C:69:3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9,"minute":45,"second":25,"nano":0,"chronology":{"id":"ISO","calendarType":"iso8601"}},"response":7799222}]]</f>
        <v/>
      </c>
      <c r="C1596" t="inlineStr">
        <is>
          <t>INFO</t>
        </is>
      </c>
      <c r="D1596" t="inlineStr">
        <is>
          <t>vdh</t>
        </is>
      </c>
      <c r="E1596" t="inlineStr">
        <is>
          <t>pro14</t>
        </is>
      </c>
      <c r="F1596" t="inlineStr">
        <is>
          <t>prod</t>
        </is>
      </c>
    </row>
    <row r="1597">
      <c r="A1597" t="inlineStr">
        <is>
          <t>2025-05-09 09:45:28.013</t>
        </is>
      </c>
      <c r="B1597">
        <f>=请求结束== [请求耗时]:1688毫秒</f>
        <v/>
      </c>
      <c r="C1597" t="inlineStr">
        <is>
          <t>INFO</t>
        </is>
      </c>
      <c r="D1597" t="inlineStr">
        <is>
          <t>vdh</t>
        </is>
      </c>
      <c r="E1597" t="inlineStr">
        <is>
          <t>pro17</t>
        </is>
      </c>
      <c r="F1597" t="inlineStr">
        <is>
          <t>prod</t>
        </is>
      </c>
    </row>
    <row r="1598">
      <c r="A1598" t="inlineStr">
        <is>
          <t>2025-05-09 09:45:28.012</t>
        </is>
      </c>
      <c r="B1598" t="inlineStr">
        <is>
          <t>第1次流式调用完成，耗时：1219ms，response: Response { content = AiMessage { text = "你好，有什么可以帮您？" toolExecutionRequests = null }, tokenUsage = TokenUsage { inputTokenCount = 4670, outputTokenCount = 12, totalTokenCount = 4682 }, finishReason = STOP }</t>
        </is>
      </c>
      <c r="C1598" t="inlineStr">
        <is>
          <t>INFO</t>
        </is>
      </c>
      <c r="D1598" t="inlineStr">
        <is>
          <t>vdh</t>
        </is>
      </c>
      <c r="E1598" t="inlineStr">
        <is>
          <t>pro17</t>
        </is>
      </c>
      <c r="F1598" t="inlineStr">
        <is>
          <t>prod</t>
        </is>
      </c>
    </row>
    <row r="1599">
      <c r="A1599" t="inlineStr">
        <is>
          <t>2025-05-09 09:45:27.751</t>
        </is>
      </c>
      <c r="B1599" t="inlineStr">
        <is>
          <t xml:space="preserve">第1次流式调用开始回复，耗时：958ms，第一个token: </t>
        </is>
      </c>
      <c r="C1599" t="inlineStr">
        <is>
          <t>INFO</t>
        </is>
      </c>
      <c r="D1599" t="inlineStr">
        <is>
          <t>vdh</t>
        </is>
      </c>
      <c r="E1599" t="inlineStr">
        <is>
          <t>pro17</t>
        </is>
      </c>
      <c r="F1599" t="inlineStr">
        <is>
          <t>prod</t>
        </is>
      </c>
    </row>
    <row r="1600">
      <c r="A1600" t="inlineStr">
        <is>
          <t>2025-05-09 09:45:26.793</t>
        </is>
      </c>
      <c r="B1600" t="inlineStr">
        <is>
          <t>streaming provider=gpt, model: gpt-4o</t>
        </is>
      </c>
      <c r="C1600" t="inlineStr">
        <is>
          <t>INFO</t>
        </is>
      </c>
      <c r="D1600" t="inlineStr">
        <is>
          <t>vdh</t>
        </is>
      </c>
      <c r="E1600" t="inlineStr">
        <is>
          <t>pro17</t>
        </is>
      </c>
      <c r="F1600" t="inlineStr">
        <is>
          <t>prod</t>
        </is>
      </c>
    </row>
    <row r="1601">
      <c r="A1601" t="inlineStr">
        <is>
          <t>2025-05-09 09:45:26.786</t>
        </is>
      </c>
      <c r="B1601">
        <f>=请求结束== [请求耗时]:445毫秒, [返回数据]:{"code":"000000","msg":"Success","data":[{"knowledgeId":"1326868148286373888","knowledgeContent":[{"score":0.7219562549999999,"content":"：2025年春节/过年/大年初一是1月29日，农历正月初一，星期三。","fileId":"1326944717968060416","chunkId":"paragraph-1"},{"score":0.7154000775,"content":"：深圳数影科技的股价是多少？深圳数影科技有限公司没有上市，因此没有股价信息。 广西扬翔股份上市了吗？广西扬翔股份没有上市。","fileId":"1326944717968060416","chunkId":"paragraph-6"},{"score":0.71418326,"content":"：小暑：•新历：7月7日•农历：六月十三•星期一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knowledgeId":"1329399948694220800","knowledgeContent":[{"score":0.7351629175,"content":"北京今天天气","fileId":"1329400169758941184","chunkId":"49","textGroup":"getCurrentWeather {province=北京市}"},{"score":0.729529245,"content":"微波暂停","fileId":"1347217269055369216","chunkId":"164","textGroup":"cooking_control {type=pause}"},{"score":0.7292550775,"content":"启动微博","fileId":"1347217269055369216","chunkId":"55","textGroup":"cooking_control {type=start}"},{"score":0.7288451224999999,"content":"通州区今天天气","fileId":"1329400169758941184","chunkId":"50","textGroup":"getCurrentWeather {province=北京市,district=通州区}"},{"score":0.72732035,"content":"播报热点新闻","fileId":"1329400169758941184","chunkId":"83","textGroup":"news {type=top,size=3}"},{"score":0.7267916075,"content":"请帮我继续微波","fileId":"1347217269055369216","chunkId":"256","textGroup":"cooking_control {type=continue}"},{"score":0.7257844425,"content":"光明区今天天气","fileId":"1329400169758941184","chunkId":"47","textGroup":"getCurrentWeather {province=广东省,city=深圳市,district=光明区}"},{"score":0.7239707974999999,"content":"最新天气","fileId":"1329400169758941184","chunkId":"3","textGroup":"getCurrentWeather"},{"score":0.7236120125,"content":"深圳明天天气","fileId":"1329400169758941184","chunkId":"42","textGroup":"getCurrentWeather {province=广东省,city=深圳市}"},{"score":0.72338536,"content":"微博终止","fileId":"1347217269055369216","chunkId":"280","textGroup":"cooking_control {type=stop}"},{"score":0.72321961,"content":"广州明天天气","fileId":"1329400169758941184","chunkId":"36","textGroup":"getCurrentWeather {province=广东省,city=广州市}"},{"score":0.72318595,"content":"南山区今天天气","fileId":"1329400169758941184","chunkId":"43","textGroup":"getCurrentWeather {province=广东省,city=深圳市,district=南山区}"}]},{"knowledgeId":"1272948056214077440","knowledgeContent":[{"score":0.7342846974999999,"content":"问题：万德福可以空载运行吗。\\n回复：微波炉是严禁空载使用的哦，会损坏微波炉的","fileId":"1303425377255075840","chunkId":"1921","textGroup":"微波炉可以空载运行吗"},{"score":0.7321851125,"content":"问题：你什么时候在线。\\n回复：我二十四小时在线的。","fileId":"1303425377255075840","chunkId":"2676","textGroup":"你什么时候在线"},{"score":0.7317346975,"content":"问题：公司创立时间。\\n回复：影子科技成立于2018年6月19日。","fileId":"1303425377255075840","chunkId":"2788","textGroup":"公司创立时间"},{"score":0.7295088024999999,"content":"问题：你好。\\n回复：你好，有什么可以帮您。","fileId":"1303425377255075840","chunkId":"2699","textGroup":"你好"},{"score":0.726951705,"content":"问题：微博炉使用时是否需要进行接地保护。\\n回复：微波是不需要接地线的哦","fileId":"1303425377255075840","chunkId":"2253","textGroup":"微波炉需要接地线吗"}]}]}</f>
        <v/>
      </c>
      <c r="C1601" t="inlineStr">
        <is>
          <t>INFO</t>
        </is>
      </c>
      <c r="D1601" t="inlineStr">
        <is>
          <t>vdh</t>
        </is>
      </c>
      <c r="E1601" t="inlineStr">
        <is>
          <t>pro17</t>
        </is>
      </c>
      <c r="F1601" t="inlineStr">
        <is>
          <t>prod</t>
        </is>
      </c>
    </row>
    <row r="1602">
      <c r="A1602" t="inlineStr">
        <is>
          <t>2025-05-09 09:45:26.786</t>
        </is>
      </c>
      <c r="B1602" t="inlineStr">
        <is>
          <t>知识库插件检索耗时: 443ms</t>
        </is>
      </c>
      <c r="C1602" t="inlineStr">
        <is>
          <t>INFO</t>
        </is>
      </c>
      <c r="D1602" t="inlineStr">
        <is>
          <t>vdh</t>
        </is>
      </c>
      <c r="E1602" t="inlineStr">
        <is>
          <t>pro17</t>
        </is>
      </c>
      <c r="F1602" t="inlineStr">
        <is>
          <t>prod</t>
        </is>
      </c>
    </row>
    <row r="1603">
      <c r="A1603" t="inlineStr">
        <is>
          <t>2025-05-09 09:45:26.342</t>
        </is>
      </c>
      <c r="B1603">
        <f>=请求开始== [请求IP]:172.18.33.17 ,[请求方式]:POST， [请求URL]:https://172.30.103.196:8080/api/appservice/bfv/v1/knowledge/retrieval/plugin, [请求类名]:com.yingzi.appservice.bfv.provider.rest.KnowledgeRetrievalController,[请求方法名]:plugin, [请求头参数]:{"host":"172.30.103.196:8080"}, [请求参数]:[{"query":"搭乘18号线","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603" t="inlineStr">
        <is>
          <t>INFO</t>
        </is>
      </c>
      <c r="D1603" t="inlineStr">
        <is>
          <t>vdh</t>
        </is>
      </c>
      <c r="E1603" t="inlineStr">
        <is>
          <t>pro17</t>
        </is>
      </c>
      <c r="F1603" t="inlineStr">
        <is>
          <t>prod</t>
        </is>
      </c>
    </row>
    <row r="1604">
      <c r="A1604" t="inlineStr">
        <is>
          <t>2025-05-09 09:45:26.326</t>
        </is>
      </c>
      <c r="B1604">
        <f>=请求开始== [请求IP]:172.18.114.116 ,[请求方式]:POST， [请求URL]:https://172.30.103.196:8080/api/appservice/bfv/v1/chat/, [请求类名]:com.yingzi.appservice.bfv.provider.rest.ChatV1Controller,[请求方法名]:chat, [请求头参数]:{"host":"172.30.103.196:8080"}, [请求参数]:[{"stream":true,"message":"搭乘18号线","args":"{\"adcode\":\"440100\",\"channel_id\":\"9\"}"}]</f>
        <v/>
      </c>
      <c r="C1604" t="inlineStr">
        <is>
          <t>INFO</t>
        </is>
      </c>
      <c r="D1604" t="inlineStr">
        <is>
          <t>vdh</t>
        </is>
      </c>
      <c r="E1604" t="inlineStr">
        <is>
          <t>pro17</t>
        </is>
      </c>
      <c r="F1604" t="inlineStr">
        <is>
          <t>prod</t>
        </is>
      </c>
    </row>
    <row r="1605">
      <c r="A1605" t="inlineStr">
        <is>
          <t>2025-05-09 09:45:16.337</t>
        </is>
      </c>
      <c r="B1605">
        <f>=请求结束== [请求耗时]:17毫秒, [返回数据]:{"code":"000000","msg":"Success","traceId":"c764e6979078e77bde2ab21253a44de4"}</f>
        <v/>
      </c>
      <c r="C1605" t="inlineStr">
        <is>
          <t>INFO</t>
        </is>
      </c>
      <c r="D1605" t="inlineStr">
        <is>
          <t>vdh</t>
        </is>
      </c>
      <c r="E1605" t="inlineStr">
        <is>
          <t>pro14</t>
        </is>
      </c>
      <c r="F1605" t="inlineStr">
        <is>
          <t>prod</t>
        </is>
      </c>
    </row>
    <row r="1606">
      <c r="A1606" t="inlineStr">
        <is>
          <t>2025-05-09 09:45:16.320</t>
        </is>
      </c>
      <c r="B1606">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Instruction_library","recordId":"","asrResult":"关机","instructionAsrFirstTime":{"year":2025,"monthValue":5,"month":"MAY","dayOfMonth":9,"dayOfYear":129,"dayOfWeek":"FRIDAY","hour":9,"minute":45,"second":15,"nano":0,"chronology":{"id":"ISO","calendarType":"iso8601"}},"knowledgeId":"","knowledgeMasterId":"295","instructionType":"SYSTEM","instructionName":"息屏","instructionFlag":"screen_off","parameter":"{\"answer\":\"DEFAULT\",\"code\":\"screen_off\",\"continue_answer\":\"\",\"continue_failed_answer\":\"\",\"entities\":\"\",\"failed_answer\":\"{\\\"answerId\\\":\\\"\\\",\\\"value\\\":\\\"抱歉，执行错误\\\",\\\"hidb\\\":\\\"\\\",\\\"aplusId\\\":\\\"\\\",\\\"flag\\\":true,\\\"updFlag\\\":false,\\\"cache\\\":false}\",\"hitBusiness\":\"295\",\"init_state\":\"false\",\"intent\":\"息屏\",\"intentType\":\"SYSTEM\",\"isEnd\":\"true\",\"isMulti\":\"false\",\"service\":\"Instruction_library\",\"succeed_answer\":\"{\\\"answerId\\\":\\\"\\\",\\\"value\\\":\\\"好的\\\",\\\"hidb\\\":\\\"\\\",\\\"aplusId\\\":\\\"\\\",\\\"flag\\\":true,\\\"updFlag\\\":false,\\\"cache\\\":false}\"}","ttsResultSource":"FTT","ttsResult":"","ttsResultTime":{"year":2025,"monthValue":5,"month":"MAY","dayOfMonth":9,"dayOfYear":129,"dayOfWeek":"FRIDAY","hour":9,"minute":45,"second":16,"nano":0,"chronology":{"id":"ISO","calendarType":"iso8601"}},"response":171}]]</f>
        <v/>
      </c>
      <c r="C1606" t="inlineStr">
        <is>
          <t>INFO</t>
        </is>
      </c>
      <c r="D1606" t="inlineStr">
        <is>
          <t>vdh</t>
        </is>
      </c>
      <c r="E1606" t="inlineStr">
        <is>
          <t>pro14</t>
        </is>
      </c>
      <c r="F1606" t="inlineStr">
        <is>
          <t>prod</t>
        </is>
      </c>
    </row>
    <row r="1607">
      <c r="A1607" t="inlineStr">
        <is>
          <t>2025-05-09 09:45:14.561</t>
        </is>
      </c>
      <c r="B1607">
        <f>=请求结束== [请求耗时]:16毫秒, [返回数据]:{"code":"000000","msg":"Success","traceId":"0c9cb07fc5548128085b879de1db2639"}</f>
        <v/>
      </c>
      <c r="C1607" t="inlineStr">
        <is>
          <t>INFO</t>
        </is>
      </c>
      <c r="D1607" t="inlineStr">
        <is>
          <t>vdh</t>
        </is>
      </c>
      <c r="E1607" t="inlineStr">
        <is>
          <t>pro17</t>
        </is>
      </c>
      <c r="F1607" t="inlineStr">
        <is>
          <t>prod</t>
        </is>
      </c>
    </row>
    <row r="1608">
      <c r="A1608" t="inlineStr">
        <is>
          <t>2025-05-09 09:45:14.544</t>
        </is>
      </c>
      <c r="B1608">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我要","instructionAsrFirstTime":{"year":2025,"monthValue":5,"month":"MAY","dayOfMonth":9,"dayOfYear":129,"dayOfWeek":"FRIDAY","hour":9,"minute":45,"second":6,"nano":0,"chronology":{"id":"ISO","calendarType":"iso8601"}},"knowledgeId":"","knowledgeMasterId":"","instructionType":"","instructionName":"","instructionFlag":"","parameter":"{\"nlpId\":\"17300825629321642727spln\",\"service\":\"Chat_library\"}","ttsResultSource":"FTT","ttsResult":"请问您是需要我帮助启动烹饪吗?如果是,请告知我具体的菜品名称或烹饪方案。","ttsResultTime":{"year":2025,"monthValue":5,"month":"MAY","dayOfMonth":9,"dayOfYear":129,"dayOfWeek":"FRIDAY","hour":9,"minute":45,"second":11,"nano":0,"chronology":{"id":"ISO","calendarType":"iso8601"}},"response":4501}]]</f>
        <v/>
      </c>
      <c r="C1608" t="inlineStr">
        <is>
          <t>INFO</t>
        </is>
      </c>
      <c r="D1608" t="inlineStr">
        <is>
          <t>vdh</t>
        </is>
      </c>
      <c r="E1608" t="inlineStr">
        <is>
          <t>pro17</t>
        </is>
      </c>
      <c r="F1608" t="inlineStr">
        <is>
          <t>prod</t>
        </is>
      </c>
    </row>
    <row r="1609">
      <c r="A1609" t="inlineStr">
        <is>
          <t>2025-05-09 09:45:12.206</t>
        </is>
      </c>
      <c r="B1609">
        <f>=请求结束== [请求耗时]:14毫秒, [返回数据]:{"code":"000000","msg":"Success","traceId":"2739ebe6cd43c2610420af580b7f5f3d"}</f>
        <v/>
      </c>
      <c r="C1609" t="inlineStr">
        <is>
          <t>INFO</t>
        </is>
      </c>
      <c r="D1609" t="inlineStr">
        <is>
          <t>vdh</t>
        </is>
      </c>
      <c r="E1609" t="inlineStr">
        <is>
          <t>pro14</t>
        </is>
      </c>
      <c r="F1609" t="inlineStr">
        <is>
          <t>prod</t>
        </is>
      </c>
    </row>
    <row r="1610">
      <c r="A1610" t="inlineStr">
        <is>
          <t>2025-05-09 09:45:12.192</t>
        </is>
      </c>
      <c r="B1610">
        <f>=请求开始== [请求IP]:111.58.68.45 ,[请求方式]:POST， [请求URL]:https://172.30.212.148:8080/api/appservice/bfv/v1/chatHistory/batchSave, [请求类名]:com.yingzi.appservice.bfv.provider.rest.ChatHistoryController,[请求方法名]:batchSave, [请求头参数]:{"host":"172.30.212.148:8080"}, [请求参数]:[[{"userId":794947370928070656,"deviceId":"70:CF:49:9C:69:3B","sessionId":"","avatarId":"11200220000208050000000000000000","appCode":"VDHtestWDC","instructionTemplateType":"","recordId":"","asrResult":"","knowledgeId":"","knowledgeMasterId":"","instructionType":"","instructionName":"","instructionFlag":"","parameter":"{}","ttsResultSource":"local","ttsResult":"小万发现了小土豆,请选择一下烹饪模式","ttsResultTime":{"year":2025,"monthValue":5,"month":"MAY","dayOfMonth":9,"dayOfYear":129,"dayOfWeek":"FRIDAY","hour":9,"minute":45,"second":8,"nano":0,"chronology":{"id":"ISO","calendarType":"iso8601"}},"response":7781696}]]</f>
        <v/>
      </c>
      <c r="C1610" t="inlineStr">
        <is>
          <t>INFO</t>
        </is>
      </c>
      <c r="D1610" t="inlineStr">
        <is>
          <t>vdh</t>
        </is>
      </c>
      <c r="E1610" t="inlineStr">
        <is>
          <t>pro14</t>
        </is>
      </c>
      <c r="F1610" t="inlineStr">
        <is>
          <t>prod</t>
        </is>
      </c>
    </row>
    <row r="1611">
      <c r="A1611" t="inlineStr">
        <is>
          <t>2025-05-09 09:45:10.038</t>
        </is>
      </c>
      <c r="B1611">
        <f>=请求结束== [请求耗时]:2628毫秒</f>
        <v/>
      </c>
      <c r="C1611" t="inlineStr">
        <is>
          <t>INFO</t>
        </is>
      </c>
      <c r="D1611" t="inlineStr">
        <is>
          <t>vdh</t>
        </is>
      </c>
      <c r="E1611" t="inlineStr">
        <is>
          <t>pro17</t>
        </is>
      </c>
      <c r="F1611" t="inlineStr">
        <is>
          <t>prod</t>
        </is>
      </c>
    </row>
    <row r="1612">
      <c r="A1612" t="inlineStr">
        <is>
          <t>2025-05-09 09:45:10.037</t>
        </is>
      </c>
      <c r="B1612" t="inlineStr">
        <is>
          <t>第1次流式调用完成，耗时：2190ms，response: Response { content = AiMessage { text = "请问您是需要我帮助启动烹饪吗？如果是，请告知我具体的菜品名称或烹饪方案。否则，请提供更多信息，以便我更好地帮助您。" toolExecutionRequests = null }, tokenUsage = TokenUsage { inputTokenCount = 4850, outputTokenCount = 66, totalTokenCount = 4916 }, finishReason = STOP }</t>
        </is>
      </c>
      <c r="C1612" t="inlineStr">
        <is>
          <t>INFO</t>
        </is>
      </c>
      <c r="D1612" t="inlineStr">
        <is>
          <t>vdh</t>
        </is>
      </c>
      <c r="E1612" t="inlineStr">
        <is>
          <t>pro17</t>
        </is>
      </c>
      <c r="F1612" t="inlineStr">
        <is>
          <t>prod</t>
        </is>
      </c>
    </row>
    <row r="1613">
      <c r="A1613" t="inlineStr">
        <is>
          <t>2025-05-09 09:45:08.701</t>
        </is>
      </c>
      <c r="B1613" t="inlineStr">
        <is>
          <t xml:space="preserve">第1次流式调用开始回复，耗时：854ms，第一个token: </t>
        </is>
      </c>
      <c r="C1613" t="inlineStr">
        <is>
          <t>INFO</t>
        </is>
      </c>
      <c r="D1613" t="inlineStr">
        <is>
          <t>vdh</t>
        </is>
      </c>
      <c r="E1613" t="inlineStr">
        <is>
          <t>pro17</t>
        </is>
      </c>
      <c r="F1613" t="inlineStr">
        <is>
          <t>prod</t>
        </is>
      </c>
    </row>
    <row r="1614">
      <c r="A1614" t="inlineStr">
        <is>
          <t>2025-05-09 09:45:07.847</t>
        </is>
      </c>
      <c r="B1614" t="inlineStr">
        <is>
          <t>streaming provider=gpt, model: gpt-4o</t>
        </is>
      </c>
      <c r="C1614" t="inlineStr">
        <is>
          <t>INFO</t>
        </is>
      </c>
      <c r="D1614" t="inlineStr">
        <is>
          <t>vdh</t>
        </is>
      </c>
      <c r="E1614" t="inlineStr">
        <is>
          <t>pro17</t>
        </is>
      </c>
      <c r="F1614" t="inlineStr">
        <is>
          <t>prod</t>
        </is>
      </c>
    </row>
    <row r="1615">
      <c r="A1615" t="inlineStr">
        <is>
          <t>2025-05-09 09:45:07.840</t>
        </is>
      </c>
      <c r="B1615">
        <f>=请求结束== [请求耗时]:418毫秒, [返回数据]:{"code":"000000","msg":"Success","data":[{"knowledgeId":"1326868148286373888","knowledgeContent":[{"score":0.7450906199999999,"content":"：2025年春节/过年/大年初一是1月29日，农历正月初一，星期三。","fileId":"1326944717968060416","chunkId":"paragraph-1"},{"score":0.71537666,"content":"：深圳数影科技的股价是多少？深圳数影科技有限公司没有上市，因此没有股价信息。 广西扬翔股份上市了吗？广西扬翔股份没有上市。","fileId":"1326944717968060416","chunkId":"paragraph-6"},{"score":0.7136607224999999,"content":"：小暑：•新历：7月7日•农历：六月十三•星期一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knowledgeId":"1272947938412855296","knowledgeContent":[{"score":0.7625034224999999,"content":"我想吃辛辣的菜","fileId":"1275470180282040320","chunkId":"14","textGroup":"SELECT id, title FROM recipe_knowledge_nutrition WHERE classify_taste LIKE '%辛辣%' ORDER BY random() LIMIT 5;"}]},{"knowledgeId":"1329399948694220800","knowledgeContent":[{"score":0.8710782440000001,"content":"我要烹[菜品名称]","fileId":"1347217269055369216","chunkId":"34","textGroup":"set_foodtype_taste"},{"score":0.7778347875,"content":"我想微波暂停","fileId":"1347217269055369216","chunkId":"195","textGroup":"cooking_control {type=pause}"},{"score":0.77555054,"content":"我想烹饪启动","fileId":"1347217269055369216","chunkId":"131","textGroup":"cooking_control {type=start}"},{"score":0.7744372525,"content":"请帮我继续微波","fileId":"1347217269055369216","chunkId":"256","textGroup":"cooking_control {type=continue}"},{"score":0.7736807524999999,"content":"我要听新闻","fileId":"1329400169758941184","chunkId":"60","textGroup":"news {type=top,size=3}"},{"score":0.7635481574999999,"content":"请帮我终止微波","fileId":"1347217269055369216","chunkId":"328","textGroup":"cooking_control {type=stop}"}]},{"knowledgeId":"1272948056214077440","knowledgeContent":[{"score":0.763321335,"content":"问题：可以和我聊聊天吗。\\n回复：你可以随时找我聊。","fileId":"1303425377255075840","chunkId":"2757","textGroup":"可以和我聊聊天吗"},{"score":0.7630351400000001,"content":"问题：你好。\\n回复：你好，有什么可以帮您。","fileId":"1303425377255075840","chunkId":"2699","textGroup":"你好"},{"score":0.762714435,"content":"问题：晚安。\\n回复：晚安。","fileId":"1303425377255075840","chunkId":"2766","textGroup":"晚安"},{"score":0.7591787324999999,"content":"问题：不满。\\n回复：不满意的地方还请多多包涵。","fileId":"1303425377255075840","chunkId":"2671","textGroup":"不满"},{"score":0.7572364399999999,"content":"问题：你什么时候在线。\\n回复：我二十四小时在线的。","fileId":"1303425377255075840","chunkId":"2676","textGroup":"你什么时候在线"},{"score":0.754245375,"content":"问题：你吃饭了吗。\\n回复：还在等待美食中，你想和我一起吃吗？","fileId":"1303425377255075840","chunkId":"2689","textGroup":"你吃饭了吗"},{"score":0.7518735775,"content":"问题：早上好。\\n回复：早上好，美好的一天又开始了。","fileId":"1303425377255075840","chunkId":"2764","textGroup":"早上好"},{"score":0.7515945224999999,"content":"问题：能和你们进行合作吗。\\n回复：想要与我们进行合作，您可通过官方平台联系我们了解详细信息。","fileId":"1303425377255075840","chunkId":"754","textGroup":"如何申请成为平台商家"},{"score":0.75045565,"content":"问题：我是谁。\\n回复：你就是我的主人呀","fileId":"1303425377255075840","chunkId":"2763","textGroup":"我是谁"},{"score":0.7501385575,"content":"问题：假期愉快。\\n回复：假期愉快，玩得开心哟！","fileId":"1303425377255075840","chunkId":"2755","textGroup":"假期愉快"},{"score":0.7496975349999999,"content":"问题：我好无聊。\\n回复：有什么我可以为您做的吗？","fileId":"1303425377255075840","chunkId":"2761","textGroup":"我好无聊"},{"score":0.7482526625,"content":"问题：你好丑。\\n回复：外貌是次要的，重要的是我的内在","fileId":"1303425377255075840","chunkId":"2700","textGroup":"你好丑"},{"score":0.747785545,"content":"问题：你反应太慢了。\\n回复：抱歉我还在学习，所以反应有点慢。","fileId":"1303425377255075840","chunkId":"2686","textGroup":"你反应太慢了"}]}]}</f>
        <v/>
      </c>
      <c r="C1615" t="inlineStr">
        <is>
          <t>INFO</t>
        </is>
      </c>
      <c r="D1615" t="inlineStr">
        <is>
          <t>vdh</t>
        </is>
      </c>
      <c r="E1615" t="inlineStr">
        <is>
          <t>pro14</t>
        </is>
      </c>
      <c r="F1615" t="inlineStr">
        <is>
          <t>prod</t>
        </is>
      </c>
    </row>
    <row r="1616">
      <c r="A1616" t="inlineStr">
        <is>
          <t>2025-05-09 09:45:07.839</t>
        </is>
      </c>
      <c r="B1616" t="inlineStr">
        <is>
          <t>知识库插件检索耗时: 416ms</t>
        </is>
      </c>
      <c r="C1616" t="inlineStr">
        <is>
          <t>INFO</t>
        </is>
      </c>
      <c r="D1616" t="inlineStr">
        <is>
          <t>vdh</t>
        </is>
      </c>
      <c r="E1616" t="inlineStr">
        <is>
          <t>pro14</t>
        </is>
      </c>
      <c r="F1616" t="inlineStr">
        <is>
          <t>prod</t>
        </is>
      </c>
    </row>
    <row r="1617">
      <c r="A1617" t="inlineStr">
        <is>
          <t>2025-05-09 09:45:07.422</t>
        </is>
      </c>
      <c r="B1617">
        <f>=请求开始== [请求IP]:172.18.33.17 ,[请求方式]:POST， [请求URL]:https://172.30.212.148:8080/api/appservice/bfv/v1/knowledge/retrieval/plugin, [请求类名]:com.yingzi.appservice.bfv.provider.rest.KnowledgeRetrievalController,[请求方法名]:plugin, [请求头参数]:{"host":"172.30.212.148:8080"}, [请求参数]:[{"query":"我要","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617" t="inlineStr">
        <is>
          <t>INFO</t>
        </is>
      </c>
      <c r="D1617" t="inlineStr">
        <is>
          <t>vdh</t>
        </is>
      </c>
      <c r="E1617" t="inlineStr">
        <is>
          <t>pro14</t>
        </is>
      </c>
      <c r="F1617" t="inlineStr">
        <is>
          <t>prod</t>
        </is>
      </c>
    </row>
    <row r="1618">
      <c r="A1618" t="inlineStr">
        <is>
          <t>2025-05-09 09:45:07.410</t>
        </is>
      </c>
      <c r="B1618">
        <f>=请求开始== [请求IP]:172.18.114.116 ,[请求方式]:POST， [请求URL]:https://172.30.103.196:8080/api/appservice/bfv/v1/chat/, [请求类名]:com.yingzi.appservice.bfv.provider.rest.ChatV1Controller,[请求方法名]:chat, [请求头参数]:{"host":"172.30.103.196:8080"}, [请求参数]:[{"stream":true,"message":"我要","args":"{\"adcode\":\"440100\",\"channel_id\":\"9\"}"}]</f>
        <v/>
      </c>
      <c r="C1618" t="inlineStr">
        <is>
          <t>INFO</t>
        </is>
      </c>
      <c r="D1618" t="inlineStr">
        <is>
          <t>vdh</t>
        </is>
      </c>
      <c r="E1618" t="inlineStr">
        <is>
          <t>pro17</t>
        </is>
      </c>
      <c r="F1618" t="inlineStr">
        <is>
          <t>prod</t>
        </is>
      </c>
    </row>
    <row r="1619">
      <c r="A1619" t="inlineStr">
        <is>
          <t>2025-05-09 09:45:04.582</t>
        </is>
      </c>
      <c r="B1619">
        <f>=请求结束== [请求耗时]:16毫秒, [返回数据]:{"code":"000000","msg":"Success","traceId":"9125ae7da686da00cdd546b769fe0fde"}</f>
        <v/>
      </c>
      <c r="C1619" t="inlineStr">
        <is>
          <t>INFO</t>
        </is>
      </c>
      <c r="D1619" t="inlineStr">
        <is>
          <t>vdh</t>
        </is>
      </c>
      <c r="E1619" t="inlineStr">
        <is>
          <t>pro17</t>
        </is>
      </c>
      <c r="F1619" t="inlineStr">
        <is>
          <t>prod</t>
        </is>
      </c>
    </row>
    <row r="1620">
      <c r="A1620" t="inlineStr">
        <is>
          <t>2025-05-09 09:45:04.566</t>
        </is>
      </c>
      <c r="B1620">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搭广佛线地铁","instructionAsrFirstTime":{"year":2025,"monthValue":5,"month":"MAY","dayOfMonth":9,"dayOfYear":129,"dayOfWeek":"FRIDAY","hour":9,"minute":44,"second":40,"nano":0,"chronology":{"id":"ISO","calendarType":"iso8601"}},"knowledgeId":"","knowledgeMasterId":"","instructionType":"","instructionName":"","instructionFlag":"","parameter":"{\"nlpId\":\"17300825629321642727spln\",\"service\":\"Chat_library\"}","ttsResultSource":"FTT","ttsResult":"广佛线地铁是连接广东省广州市和佛山市的一条地铁线路。你需要了解沿途站点或乘车信息,可以通过广州地铁或佛山地铁的官方网站或应用程序获取详细信息。有什么具体问题需要了解吗？","ttsResultTime":{"year":2025,"monthValue":5,"month":"MAY","dayOfMonth":9,"dayOfYear":129,"dayOfWeek":"FRIDAY","hour":9,"minute":44,"second":47,"nano":0,"chronology":{"id":"ISO","calendarType":"iso8601"}},"response":3534}]]</f>
        <v/>
      </c>
      <c r="C1620" t="inlineStr">
        <is>
          <t>INFO</t>
        </is>
      </c>
      <c r="D1620" t="inlineStr">
        <is>
          <t>vdh</t>
        </is>
      </c>
      <c r="E1620" t="inlineStr">
        <is>
          <t>pro17</t>
        </is>
      </c>
      <c r="F1620" t="inlineStr">
        <is>
          <t>prod</t>
        </is>
      </c>
    </row>
    <row r="1621">
      <c r="A1621" t="inlineStr">
        <is>
          <t>2025-05-09 09:44:56.529</t>
        </is>
      </c>
      <c r="B1621">
        <f>=请求结束== [请求耗时]:15毫秒, [返回数据]:{"code":"000000","msg":"Success","traceId":"d2a670029ef1ce9a3307546123d8e12d"}</f>
        <v/>
      </c>
      <c r="C1621" t="inlineStr">
        <is>
          <t>INFO</t>
        </is>
      </c>
      <c r="D1621" t="inlineStr">
        <is>
          <t>vdh</t>
        </is>
      </c>
      <c r="E1621" t="inlineStr">
        <is>
          <t>pro14</t>
        </is>
      </c>
      <c r="F1621" t="inlineStr">
        <is>
          <t>prod</t>
        </is>
      </c>
    </row>
    <row r="1622">
      <c r="A1622" t="inlineStr">
        <is>
          <t>2025-05-09 09:44:56.514</t>
        </is>
      </c>
      <c r="B1622">
        <f>=请求开始== [请求IP]:111.58.68.45 ,[请求方式]:POST， [请求URL]:https://172.30.212.148:8080/api/appservice/bfv/v1/chatHistory/batchSave, [请求类名]:com.yingzi.appservice.bfv.provider.rest.ChatHistoryController,[请求方法名]:batchSave, [请求头参数]:{"host":"172.30.212.148:8080"}, [请求参数]:[[{"userId":794947370928070656,"deviceId":"70:CF:49:9C:69:3B","sessionId":"","avatarId":"11200220000208050000000000000000","appCode":"VDHtestWDC","instructionTemplateType":"","recordId":"","asrResult":"","knowledgeId":"","knowledgeMasterId":"","instructionType":"","instructionName":"","instructionFlag":"","parameter":"{}","ttsResultSource":"local","ttsResult":"小万发现了煎鳕鱼,请选择烹饪模式","ttsResultTime":{"year":2025,"monthValue":5,"month":"MAY","dayOfMonth":9,"dayOfYear":129,"dayOfWeek":"FRIDAY","hour":9,"minute":44,"second":52,"nano":0,"chronology":{"id":"ISO","calendarType":"iso8601"}},"response":7766241}]]</f>
        <v/>
      </c>
      <c r="C1622" t="inlineStr">
        <is>
          <t>INFO</t>
        </is>
      </c>
      <c r="D1622" t="inlineStr">
        <is>
          <t>vdh</t>
        </is>
      </c>
      <c r="E1622" t="inlineStr">
        <is>
          <t>pro14</t>
        </is>
      </c>
      <c r="F1622" t="inlineStr">
        <is>
          <t>prod</t>
        </is>
      </c>
    </row>
    <row r="1623">
      <c r="A1623" t="inlineStr">
        <is>
          <t>2025-05-09 09:44:46.235</t>
        </is>
      </c>
      <c r="B1623">
        <f>=请求结束== [请求耗时]:2241毫秒</f>
        <v/>
      </c>
      <c r="C1623" t="inlineStr">
        <is>
          <t>INFO</t>
        </is>
      </c>
      <c r="D1623" t="inlineStr">
        <is>
          <t>vdh</t>
        </is>
      </c>
      <c r="E1623" t="inlineStr">
        <is>
          <t>pro17</t>
        </is>
      </c>
      <c r="F1623" t="inlineStr">
        <is>
          <t>prod</t>
        </is>
      </c>
    </row>
    <row r="1624">
      <c r="A1624" t="inlineStr">
        <is>
          <t>2025-05-09 09:44:46.234</t>
        </is>
      </c>
      <c r="B1624" t="inlineStr">
        <is>
          <t>第1次流式调用完成，耗时：1822ms，response: Response { content = AiMessage { text = "广佛线地铁是连接广东省广州市和佛山市的一条地铁线路。如果你需要了解沿途站点或乘车信息，可以通过广州地铁或佛山地铁的官方网站或应用程序获取详细信息。有什么具体问题需要了解吗？" toolExecutionRequests = null }, tokenUsage = TokenUsage { inputTokenCount = 4508, outputTokenCount = 89, totalTokenCount = 4597 }, finishReason = STOP }</t>
        </is>
      </c>
      <c r="C1624" t="inlineStr">
        <is>
          <t>INFO</t>
        </is>
      </c>
      <c r="D1624" t="inlineStr">
        <is>
          <t>vdh</t>
        </is>
      </c>
      <c r="E1624" t="inlineStr">
        <is>
          <t>pro17</t>
        </is>
      </c>
      <c r="F1624" t="inlineStr">
        <is>
          <t>prod</t>
        </is>
      </c>
    </row>
    <row r="1625">
      <c r="A1625" t="inlineStr">
        <is>
          <t>2025-05-09 09:44:45.298</t>
        </is>
      </c>
      <c r="B1625" t="inlineStr">
        <is>
          <t xml:space="preserve">第1次流式调用开始回复，耗时：886ms，第一个token: </t>
        </is>
      </c>
      <c r="C1625" t="inlineStr">
        <is>
          <t>INFO</t>
        </is>
      </c>
      <c r="D1625" t="inlineStr">
        <is>
          <t>vdh</t>
        </is>
      </c>
      <c r="E1625" t="inlineStr">
        <is>
          <t>pro17</t>
        </is>
      </c>
      <c r="F1625" t="inlineStr">
        <is>
          <t>prod</t>
        </is>
      </c>
    </row>
    <row r="1626">
      <c r="A1626" t="inlineStr">
        <is>
          <t>2025-05-09 09:44:44.412</t>
        </is>
      </c>
      <c r="B1626" t="inlineStr">
        <is>
          <t>streaming provider=gpt, model: gpt-4o</t>
        </is>
      </c>
      <c r="C1626" t="inlineStr">
        <is>
          <t>INFO</t>
        </is>
      </c>
      <c r="D1626" t="inlineStr">
        <is>
          <t>vdh</t>
        </is>
      </c>
      <c r="E1626" t="inlineStr">
        <is>
          <t>pro17</t>
        </is>
      </c>
      <c r="F1626" t="inlineStr">
        <is>
          <t>prod</t>
        </is>
      </c>
    </row>
    <row r="1627">
      <c r="A1627" t="inlineStr">
        <is>
          <t>2025-05-09 09:44:44.407</t>
        </is>
      </c>
      <c r="B1627">
        <f>=请求结束== [请求耗时]:399毫秒, [返回数据]:{"code":"000000","msg":"Success","data":[{"knowledgeId":"1326868148286373888","knowledgeContent":[{"score":0.7294599275,"content":"：广州影子科技的股价是多少？广州影子科技有限公司没有上市，因此没有股价信息。","fileId":"1326944717968060416","chunkId":"paragraph-5"},{"score":0.7262356649999999,"content":"：2025年春节/过年/大年初一是1月29日，农历正月初一，星期三。","fileId":"1326944717968060416","chunkId":"paragraph-1"},{"score":0.7221073,"content":"：深圳数影科技的股价是多少？深圳数影科技有限公司没有上市，因此没有股价信息。 广西扬翔股份上市了吗？广西扬翔股份没有上市。","fileId":"1326944717968060416","chunkId":"paragraph-6"}]},{"knowledgeId":"1329399948694220800","knowledgeContent":[{"score":0.7620692849999999,"content":"广州明天天气","fileId":"1329400169758941184","chunkId":"36","textGroup":"getCurrentWeather {province=广东省,city=广州市}"},{"score":0.7525398925,"content":"番禺区今天天气","fileId":"1329400169758941184","chunkId":"39","textGroup":"getCurrentWeather {province=广东省,city=广州市,district=番禺区}"},{"score":0.74375136,"content":"宝安区今天天气","fileId":"1329400169758941184","chunkId":"44","textGroup":"getCurrentWeather {province=广东省,city=深圳市,district=宝安区}"},{"score":0.7396681725,"content":"天河区今天天气","fileId":"1329400169758941184","chunkId":"37","textGroup":"getCurrentWeather {province=广东省,city=广州市,district=天河区}"},{"score":0.73818148,"content":"白云区今天天气","fileId":"1329400169758941184","chunkId":"40","textGroup":"getCurrentWeather {province=广东省,city=广州市,district=白云区}"},{"score":0.7381288225,"content":"深圳明天天气","fileId":"1329400169758941184","chunkId":"42","textGroup":"getCurrentWeather {province=广东省,city=深圳市}"},{"score":0.737760475,"content":"南山区今天天气","fileId":"1329400169758941184","chunkId":"43","textGroup":"getCurrentWeather {province=广东省,city=深圳市,district=南山区}"},{"score":0.7365172225,"content":"南沙区今天天气","fileId":"1329400169758941184","chunkId":"38","textGroup":"getCurrentWeather {province=广东省,city=广州市,district=南沙区}"},{"score":0.73484268,"content":"开启微波功能","fileId":"1347217269055369216","chunkId":"69","textGroup":"cooking_control {type=start}"},{"score":0.732824865,"content":"罗湖区今天天气","fileId":"1329400169758941184","chunkId":"45","textGroup":"getCurrentWeather {province=广东省,city=深圳市,district=罗湖区}"},{"score":0.7328124125000001,"content":"港南区今天天气","fileId":"1329400169758941184","chunkId":"32","textGroup":"getCurrentWeather {province=广西壮族自治区,city=贵港市,district=港南区}"},{"score":0.731110755,"content":"请帮我继续微波","fileId":"1347217269055369216","chunkId":"256","textGroup":"cooking_control {type=continue}"},{"score":0.7300971725,"content":"贵港明天天气","fileId":"1329400169758941184","chunkId":"31","textGroup":"getCurrentWeather {province=广西壮族自治区,city=贵港市}"},{"score":0.7294441174999999,"content":"我想微波暂停","fileId":"1347217269055369216","chunkId":"195","textGroup":"cooking_control {type=pause}"}]},{"knowledgeId":"1272948056214077440","knowledgeContent":[{"score":0.735135845,"content":"问题：你们公司的地址在哪。\\n回复：影子科技公司地址是在广州。","fileId":"1303425377255075840","chunkId":"640","textGroup":"公司在哪办公"},{"score":0.7342886925,"content":"问题：晚安。\\n回复：晚安。","fileId":"1303425377255075840","chunkId":"2766","textGroup":"晚安"},{"score":0.73399642,"content":"问题：万德福可以空载运行吗。\\n回复：微波炉是严禁空载使用的哦，会损坏微波炉的","fileId":"1303425377255075840","chunkId":"1921","textGroup":"微波炉可以空载运行吗"},{"score":0.7332153975,"content":"问题：微博炉需不需要接地线再使用。\\n回复：微波是不需要接地线的哦","fileId":"1303425377255075840","chunkId":"2258","textGroup":"微波炉需要接地线吗"},{"score":0.732604545,"content":"问题：你好。\\n回复：你好，有什么可以帮您。","fileId":"1303425377255075840","chunkId":"2699","textGroup":"你好"}]}]}</f>
        <v/>
      </c>
      <c r="C1627" t="inlineStr">
        <is>
          <t>INFO</t>
        </is>
      </c>
      <c r="D1627" t="inlineStr">
        <is>
          <t>vdh</t>
        </is>
      </c>
      <c r="E1627" t="inlineStr">
        <is>
          <t>pro14</t>
        </is>
      </c>
      <c r="F1627" t="inlineStr">
        <is>
          <t>prod</t>
        </is>
      </c>
    </row>
    <row r="1628">
      <c r="A1628" t="inlineStr">
        <is>
          <t>2025-05-09 09:44:44.407</t>
        </is>
      </c>
      <c r="B1628" t="inlineStr">
        <is>
          <t>知识库插件检索耗时: 397ms</t>
        </is>
      </c>
      <c r="C1628" t="inlineStr">
        <is>
          <t>INFO</t>
        </is>
      </c>
      <c r="D1628" t="inlineStr">
        <is>
          <t>vdh</t>
        </is>
      </c>
      <c r="E1628" t="inlineStr">
        <is>
          <t>pro14</t>
        </is>
      </c>
      <c r="F1628" t="inlineStr">
        <is>
          <t>prod</t>
        </is>
      </c>
    </row>
    <row r="1629">
      <c r="A1629" t="inlineStr">
        <is>
          <t>2025-05-09 09:44:44.008</t>
        </is>
      </c>
      <c r="B1629">
        <f>=请求开始== [请求IP]:172.18.33.17 ,[请求方式]:POST， [请求URL]:https://172.30.212.148:8080/api/appservice/bfv/v1/knowledge/retrieval/plugin, [请求类名]:com.yingzi.appservice.bfv.provider.rest.KnowledgeRetrievalController,[请求方法名]:plugin, [请求头参数]:{"host":"172.30.212.148:8080"}, [请求参数]:[{"query":"搭广佛线地铁","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629" t="inlineStr">
        <is>
          <t>INFO</t>
        </is>
      </c>
      <c r="D1629" t="inlineStr">
        <is>
          <t>vdh</t>
        </is>
      </c>
      <c r="E1629" t="inlineStr">
        <is>
          <t>pro14</t>
        </is>
      </c>
      <c r="F1629" t="inlineStr">
        <is>
          <t>prod</t>
        </is>
      </c>
    </row>
    <row r="1630">
      <c r="A1630" t="inlineStr">
        <is>
          <t>2025-05-09 09:44:43.994</t>
        </is>
      </c>
      <c r="B1630">
        <f>=请求开始== [请求IP]:172.18.114.116 ,[请求方式]:POST， [请求URL]:https://172.30.103.196:8080/api/appservice/bfv/v1/chat/, [请求类名]:com.yingzi.appservice.bfv.provider.rest.ChatV1Controller,[请求方法名]:chat, [请求头参数]:{"host":"172.30.103.196:8080"}, [请求参数]:[{"stream":true,"message":"搭广佛线地铁","args":"{\"adcode\":\"440100\",\"channel_id\":\"9\"}"}]</f>
        <v/>
      </c>
      <c r="C1630" t="inlineStr">
        <is>
          <t>INFO</t>
        </is>
      </c>
      <c r="D1630" t="inlineStr">
        <is>
          <t>vdh</t>
        </is>
      </c>
      <c r="E1630" t="inlineStr">
        <is>
          <t>pro17</t>
        </is>
      </c>
      <c r="F1630" t="inlineStr">
        <is>
          <t>prod</t>
        </is>
      </c>
    </row>
    <row r="1631">
      <c r="A1631" t="inlineStr">
        <is>
          <t>2025-05-09 09:44:36.418</t>
        </is>
      </c>
      <c r="B1631">
        <f>=请求结束== [请求耗时]:15毫秒, [返回数据]:{"code":"000000","msg":"Success","traceId":"6435a0997d73fd8a37997fa3808b73e0"}</f>
        <v/>
      </c>
      <c r="C1631" t="inlineStr">
        <is>
          <t>INFO</t>
        </is>
      </c>
      <c r="D1631" t="inlineStr">
        <is>
          <t>vdh</t>
        </is>
      </c>
      <c r="E1631" t="inlineStr">
        <is>
          <t>pro17</t>
        </is>
      </c>
      <c r="F1631" t="inlineStr">
        <is>
          <t>prod</t>
        </is>
      </c>
    </row>
    <row r="1632">
      <c r="A1632" t="inlineStr">
        <is>
          <t>2025-05-09 09:44:36.403</t>
        </is>
      </c>
      <c r="B1632">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632" t="inlineStr">
        <is>
          <t>INFO</t>
        </is>
      </c>
      <c r="D1632" t="inlineStr">
        <is>
          <t>vdh</t>
        </is>
      </c>
      <c r="E1632" t="inlineStr">
        <is>
          <t>pro17</t>
        </is>
      </c>
      <c r="F1632" t="inlineStr">
        <is>
          <t>prod</t>
        </is>
      </c>
    </row>
    <row r="1633">
      <c r="A1633" t="inlineStr">
        <is>
          <t>2025-05-09 09:44:33.410</t>
        </is>
      </c>
      <c r="B1633">
        <f>=请求结束== [请求耗时]:15毫秒, [返回数据]:{"code":"000000","msg":"Success","traceId":"192329b5094e6bdbe875b3f0a5589957"}</f>
        <v/>
      </c>
      <c r="C1633" t="inlineStr">
        <is>
          <t>INFO</t>
        </is>
      </c>
      <c r="D1633" t="inlineStr">
        <is>
          <t>vdh</t>
        </is>
      </c>
      <c r="E1633" t="inlineStr">
        <is>
          <t>pro14</t>
        </is>
      </c>
      <c r="F1633" t="inlineStr">
        <is>
          <t>prod</t>
        </is>
      </c>
    </row>
    <row r="1634">
      <c r="A1634" t="inlineStr">
        <is>
          <t>2025-05-09 09:44:33.395</t>
        </is>
      </c>
      <c r="B1634">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634" t="inlineStr">
        <is>
          <t>INFO</t>
        </is>
      </c>
      <c r="D1634" t="inlineStr">
        <is>
          <t>vdh</t>
        </is>
      </c>
      <c r="E1634" t="inlineStr">
        <is>
          <t>pro14</t>
        </is>
      </c>
      <c r="F1634" t="inlineStr">
        <is>
          <t>prod</t>
        </is>
      </c>
    </row>
    <row r="1635">
      <c r="A1635" t="inlineStr">
        <is>
          <t>2025-05-09 09:44:28.738</t>
        </is>
      </c>
      <c r="B1635">
        <f>=请求结束== [请求耗时]:16毫秒, [返回数据]:{"code":"000000","msg":"Success","traceId":"f033324259b9825f3874b4d9b530042d"}</f>
        <v/>
      </c>
      <c r="C1635" t="inlineStr">
        <is>
          <t>INFO</t>
        </is>
      </c>
      <c r="D1635" t="inlineStr">
        <is>
          <t>vdh</t>
        </is>
      </c>
      <c r="E1635" t="inlineStr">
        <is>
          <t>pro17</t>
        </is>
      </c>
      <c r="F1635" t="inlineStr">
        <is>
          <t>prod</t>
        </is>
      </c>
    </row>
    <row r="1636">
      <c r="A1636" t="inlineStr">
        <is>
          <t>2025-05-09 09:44:28.722</t>
        </is>
      </c>
      <c r="B1636">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要搭","instructionAsrFirstTime":{"year":2025,"monthValue":5,"month":"MAY","dayOfMonth":9,"dayOfYear":129,"dayOfWeek":"FRIDAY","hour":9,"minute":44,"second":20,"nano":0,"chronology":{"id":"ISO","calendarType":"iso8601"}},"knowledgeId":"","knowledgeMasterId":"","instructionType":"","instructionName":"","instructionFlag":"","parameter":"{\"nlpId\":\"17300825629321642727spln\",\"service\":\"Chat_library\"}","ttsResultSource":"FTT","ttsResult":"请问您是想要启动加热、暂停、继续还是终止微波操作呢?","ttsResultTime":{"year":2025,"monthValue":5,"month":"MAY","dayOfMonth":9,"dayOfYear":129,"dayOfWeek":"FRIDAY","hour":9,"minute":44,"second":25,"nano":0,"chronology":{"id":"ISO","calendarType":"iso8601"}},"response":3194}]]</f>
        <v/>
      </c>
      <c r="C1636" t="inlineStr">
        <is>
          <t>INFO</t>
        </is>
      </c>
      <c r="D1636" t="inlineStr">
        <is>
          <t>vdh</t>
        </is>
      </c>
      <c r="E1636" t="inlineStr">
        <is>
          <t>pro17</t>
        </is>
      </c>
      <c r="F1636" t="inlineStr">
        <is>
          <t>prod</t>
        </is>
      </c>
    </row>
    <row r="1637">
      <c r="A1637" t="inlineStr">
        <is>
          <t>2025-05-09 09:44:27.415</t>
        </is>
      </c>
      <c r="B1637">
        <f>=请求结束== [请求耗时]:15毫秒, [返回数据]:{"code":"000000","msg":"Success","traceId":"791ec6b287b24c55632f95fccecc2c9f"}</f>
        <v/>
      </c>
      <c r="C1637" t="inlineStr">
        <is>
          <t>INFO</t>
        </is>
      </c>
      <c r="D1637" t="inlineStr">
        <is>
          <t>vdh</t>
        </is>
      </c>
      <c r="E1637" t="inlineStr">
        <is>
          <t>pro14</t>
        </is>
      </c>
      <c r="F1637" t="inlineStr">
        <is>
          <t>prod</t>
        </is>
      </c>
    </row>
    <row r="1638">
      <c r="A1638" t="inlineStr">
        <is>
          <t>2025-05-09 09:44:27.401</t>
        </is>
      </c>
      <c r="B1638">
        <f>=请求开始== [请求IP]:171.104.158.186 ,[请求方式]:POST， [请求URL]:https://172.30.212.148:8080/api/appservice/bfv/v1/chatHistory/batchSave, [请求类名]:com.yingzi.appservice.bfv.provider.rest.ChatHistoryController,[请求方法名]:batchSave, [请求头参数]:{"host":"172.30.212.148:8080"}, [请求参数]:[[{"userId":1151876849451257858,"deviceId":"1C:99:57:17:5E:26","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9,"minute":37,"second":9,"nano":0,"chronology":{"id":"ISO","calendarType":"iso8601"}},"response":1746754629529}]]</f>
        <v/>
      </c>
      <c r="C1638" t="inlineStr">
        <is>
          <t>INFO</t>
        </is>
      </c>
      <c r="D1638" t="inlineStr">
        <is>
          <t>vdh</t>
        </is>
      </c>
      <c r="E1638" t="inlineStr">
        <is>
          <t>pro14</t>
        </is>
      </c>
      <c r="F1638" t="inlineStr">
        <is>
          <t>prod</t>
        </is>
      </c>
    </row>
    <row r="1639">
      <c r="A1639" t="inlineStr">
        <is>
          <t>2025-05-09 09:44:24.799</t>
        </is>
      </c>
      <c r="B1639">
        <f>=请求结束== [请求耗时]:2057毫秒</f>
        <v/>
      </c>
      <c r="C1639" t="inlineStr">
        <is>
          <t>INFO</t>
        </is>
      </c>
      <c r="D1639" t="inlineStr">
        <is>
          <t>vdh</t>
        </is>
      </c>
      <c r="E1639" t="inlineStr">
        <is>
          <t>pro17</t>
        </is>
      </c>
      <c r="F1639" t="inlineStr">
        <is>
          <t>prod</t>
        </is>
      </c>
    </row>
    <row r="1640">
      <c r="A1640" t="inlineStr">
        <is>
          <t>2025-05-09 09:44:24.798</t>
        </is>
      </c>
      <c r="B1640" t="inlineStr">
        <is>
          <t>第1次流式调用完成，耗时：1642ms，response: Response { content = AiMessage { text = "请问您是想要启动加热、暂停、继续还是终止微波操作呢？如果是想听新闻，我可以帮助您获取最新的新闻资讯。" toolExecutionRequests = null }, tokenUsage = TokenUsage { inputTokenCount = 4450, outputTokenCount = 61, totalTokenCount = 4511 }, finishReason = STOP }</t>
        </is>
      </c>
      <c r="C1640" t="inlineStr">
        <is>
          <t>INFO</t>
        </is>
      </c>
      <c r="D1640" t="inlineStr">
        <is>
          <t>vdh</t>
        </is>
      </c>
      <c r="E1640" t="inlineStr">
        <is>
          <t>pro17</t>
        </is>
      </c>
      <c r="F1640" t="inlineStr">
        <is>
          <t>prod</t>
        </is>
      </c>
    </row>
    <row r="1641">
      <c r="A1641" t="inlineStr">
        <is>
          <t>2025-05-09 09:44:24.142</t>
        </is>
      </c>
      <c r="B1641" t="inlineStr">
        <is>
          <t xml:space="preserve">第1次流式调用开始回复，耗时：986ms，第一个token: </t>
        </is>
      </c>
      <c r="C1641" t="inlineStr">
        <is>
          <t>INFO</t>
        </is>
      </c>
      <c r="D1641" t="inlineStr">
        <is>
          <t>vdh</t>
        </is>
      </c>
      <c r="E1641" t="inlineStr">
        <is>
          <t>pro17</t>
        </is>
      </c>
      <c r="F1641" t="inlineStr">
        <is>
          <t>prod</t>
        </is>
      </c>
    </row>
    <row r="1642">
      <c r="A1642" t="inlineStr">
        <is>
          <t>2025-05-09 09:44:23.156</t>
        </is>
      </c>
      <c r="B1642" t="inlineStr">
        <is>
          <t>streaming provider=gpt, model: gpt-4o</t>
        </is>
      </c>
      <c r="C1642" t="inlineStr">
        <is>
          <t>INFO</t>
        </is>
      </c>
      <c r="D1642" t="inlineStr">
        <is>
          <t>vdh</t>
        </is>
      </c>
      <c r="E1642" t="inlineStr">
        <is>
          <t>pro17</t>
        </is>
      </c>
      <c r="F1642" t="inlineStr">
        <is>
          <t>prod</t>
        </is>
      </c>
    </row>
    <row r="1643">
      <c r="A1643" t="inlineStr">
        <is>
          <t>2025-05-09 09:44:23.150</t>
        </is>
      </c>
      <c r="B1643">
        <f>=请求结束== [请求耗时]:394毫秒, [返回数据]:{"code":"000000","msg":"Success","data":[{"knowledgeId":"1326868148286373888","knowledgeContent":[{"score":0.7300899475,"content":"：2025年春节/过年/大年初一是1月29日，农历正月初一，星期三。","fileId":"1326944717968060416","chunkId":"paragraph-1"},{"score":0.7074201075000001,"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冬至：•新历：12月21日•农历：十一月初二•星期日","fileId":"1326944717968060416","chunkId":"paragraph-4"},{"score":0.6984936625,"content":"：2025年放假调休日期的具体安排如下： 2025年元旦：1月1日，周三，放假1天，不调休。 2025年除夕/大年夜是1月28日，农历十二月二十九，星期二。","fileId":"1326944717968060416","chunkId":"paragraph-0"}]},{"knowledgeId":"1329399948694220800","knowledgeContent":[{"score":0.741773325,"content":"我想微波暂停","fileId":"1347217269055369216","chunkId":"195","textGroup":"cooking_control {type=pause}"},{"score":0.7408055575,"content":"请帮我继续微波","fileId":"1347217269055369216","chunkId":"256","textGroup":"cooking_control {type=continue}"},{"score":0.736306465,"content":"我想启动加热","fileId":"1347217269055369216","chunkId":"130","textGroup":"cooking_control {type=start}"},{"score":0.73622427,"content":"请帮我终止微波","fileId":"1347217269055369216","chunkId":"328","textGroup":"cooking_control {type=stop}"},{"score":0.7313153925,"content":"我要听新闻","fileId":"1329400169758941184","chunkId":"60","textGroup":"news {type=top,size=3}"}]},{"knowledgeId":"1272948056214077440","knowledgeContent":[{"score":0.7396607774999999,"content":"问题：可以和我聊聊天吗。\\n回复：你可以随时找我聊。","fileId":"1303425377255075840","chunkId":"2757","textGroup":"可以和我聊聊天吗"},{"score":0.7393899675,"content":"问题：你好。\\n回复：你好，有什么可以帮您。","fileId":"1303425377255075840","chunkId":"2699","textGroup":"你好"},{"score":0.7393139774999999,"content":"问题：晚安。\\n回复：晚安。","fileId":"1303425377255075840","chunkId":"2766","textGroup":"晚安"},{"score":0.73873228,"content":"问题：微博炉可以空载运行吗。\\n回复：微波炉是严禁空载使用的哦，会损坏微波炉的","fileId":"1303425377255075840","chunkId":"1924","textGroup":"微波炉可以空载运行吗"},{"score":0.7381491375,"content":"问题：微博炉需不需要接地线再使用。\\n回复：微波是不需要接地线的哦","fileId":"1303425377255075840","chunkId":"2258","textGroup":"微波炉需要接地线吗"}]}]}</f>
        <v/>
      </c>
      <c r="C1643" t="inlineStr">
        <is>
          <t>INFO</t>
        </is>
      </c>
      <c r="D1643" t="inlineStr">
        <is>
          <t>vdh</t>
        </is>
      </c>
      <c r="E1643" t="inlineStr">
        <is>
          <t>pro14</t>
        </is>
      </c>
      <c r="F1643" t="inlineStr">
        <is>
          <t>prod</t>
        </is>
      </c>
    </row>
    <row r="1644">
      <c r="A1644" t="inlineStr">
        <is>
          <t>2025-05-09 09:44:23.150</t>
        </is>
      </c>
      <c r="B1644" t="inlineStr">
        <is>
          <t>知识库插件检索耗时: 392ms</t>
        </is>
      </c>
      <c r="C1644" t="inlineStr">
        <is>
          <t>INFO</t>
        </is>
      </c>
      <c r="D1644" t="inlineStr">
        <is>
          <t>vdh</t>
        </is>
      </c>
      <c r="E1644" t="inlineStr">
        <is>
          <t>pro14</t>
        </is>
      </c>
      <c r="F1644" t="inlineStr">
        <is>
          <t>prod</t>
        </is>
      </c>
    </row>
    <row r="1645">
      <c r="A1645" t="inlineStr">
        <is>
          <t>2025-05-09 09:44:22.756</t>
        </is>
      </c>
      <c r="B1645">
        <f>=请求开始== [请求IP]:172.18.33.17 ,[请求方式]:POST， [请求URL]:https://172.30.212.148:8080/api/appservice/bfv/v1/knowledge/retrieval/plugin, [请求类名]:com.yingzi.appservice.bfv.provider.rest.KnowledgeRetrievalController,[请求方法名]:plugin, [请求头参数]:{"host":"172.30.212.148:8080"}, [请求参数]:[{"query":"要搭","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645" t="inlineStr">
        <is>
          <t>INFO</t>
        </is>
      </c>
      <c r="D1645" t="inlineStr">
        <is>
          <t>vdh</t>
        </is>
      </c>
      <c r="E1645" t="inlineStr">
        <is>
          <t>pro14</t>
        </is>
      </c>
      <c r="F1645" t="inlineStr">
        <is>
          <t>prod</t>
        </is>
      </c>
    </row>
    <row r="1646">
      <c r="A1646" t="inlineStr">
        <is>
          <t>2025-05-09 09:44:22.742</t>
        </is>
      </c>
      <c r="B1646">
        <f>=请求开始== [请求IP]:172.18.114.98 ,[请求方式]:POST， [请求URL]:https://172.30.103.196:8080/api/appservice/bfv/v1/chat/, [请求类名]:com.yingzi.appservice.bfv.provider.rest.ChatV1Controller,[请求方法名]:chat, [请求头参数]:{"host":"172.30.103.196:8080"}, [请求参数]:[{"stream":true,"message":"要搭","args":"{\"adcode\":\"440100\",\"channel_id\":\"9\"}"}]</f>
        <v/>
      </c>
      <c r="C1646" t="inlineStr">
        <is>
          <t>INFO</t>
        </is>
      </c>
      <c r="D1646" t="inlineStr">
        <is>
          <t>vdh</t>
        </is>
      </c>
      <c r="E1646" t="inlineStr">
        <is>
          <t>pro17</t>
        </is>
      </c>
      <c r="F1646" t="inlineStr">
        <is>
          <t>prod</t>
        </is>
      </c>
    </row>
    <row r="1647">
      <c r="A1647" t="inlineStr">
        <is>
          <t>2025-05-09 09:44:17.603</t>
        </is>
      </c>
      <c r="B1647">
        <f>=请求结束== [请求耗时]:17毫秒, [返回数据]:{"code":"000000","msg":"Success","traceId":"57a3152cf8487bb76833c1da10745d51"}</f>
        <v/>
      </c>
      <c r="C1647" t="inlineStr">
        <is>
          <t>INFO</t>
        </is>
      </c>
      <c r="D1647" t="inlineStr">
        <is>
          <t>vdh</t>
        </is>
      </c>
      <c r="E1647" t="inlineStr">
        <is>
          <t>pro17</t>
        </is>
      </c>
      <c r="F1647" t="inlineStr">
        <is>
          <t>prod</t>
        </is>
      </c>
    </row>
    <row r="1648">
      <c r="A1648" t="inlineStr">
        <is>
          <t>2025-05-09 09:44:17.586</t>
        </is>
      </c>
      <c r="B1648">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我要搭广州地铁18号线","instructionAsrFirstTime":{"year":2025,"monthValue":5,"month":"MAY","dayOfMonth":9,"dayOfYear":129,"dayOfWeek":"FRIDAY","hour":9,"minute":43,"second":56,"nano":0,"chronology":{"id":"ISO","calendarType":"iso8601"}},"knowledgeId":"","knowledgeMasterId":"","instructionType":"","instructionName":"","instructionFlag":"","parameter":"{\"nlpId\":\"17300825629321642727spln\",\"service\":\"Chat_library\"}","ttsResultSource":"FTT","ttsResult":"广州地铁18号线是广州市的一条重要交通线路,了让您出行更加方便,建议查看广州市的天气情况。为您查询广州今天天气：","ttsResultTime":{"year":2025,"monthValue":5,"month":"MAY","dayOfMonth":9,"dayOfYear":129,"dayOfWeek":"FRIDAY","hour":9,"minute":44,"second":6,"nano":0,"chronology":{"id":"ISO","calendarType":"iso8601"}},"response":3475}]]</f>
        <v/>
      </c>
      <c r="C1648" t="inlineStr">
        <is>
          <t>INFO</t>
        </is>
      </c>
      <c r="D1648" t="inlineStr">
        <is>
          <t>vdh</t>
        </is>
      </c>
      <c r="E1648" t="inlineStr">
        <is>
          <t>pro17</t>
        </is>
      </c>
      <c r="F1648" t="inlineStr">
        <is>
          <t>prod</t>
        </is>
      </c>
    </row>
    <row r="1649">
      <c r="A1649" t="inlineStr">
        <is>
          <t>2025-05-09 09:44:05.285</t>
        </is>
      </c>
      <c r="B1649">
        <f>=请求结束== [请求耗时]:2368毫秒</f>
        <v/>
      </c>
      <c r="C1649" t="inlineStr">
        <is>
          <t>INFO</t>
        </is>
      </c>
      <c r="D1649" t="inlineStr">
        <is>
          <t>vdh</t>
        </is>
      </c>
      <c r="E1649" t="inlineStr">
        <is>
          <t>pro14</t>
        </is>
      </c>
      <c r="F1649" t="inlineStr">
        <is>
          <t>prod</t>
        </is>
      </c>
    </row>
    <row r="1650">
      <c r="A1650" t="inlineStr">
        <is>
          <t>2025-05-09 09:44:05.284</t>
        </is>
      </c>
      <c r="B1650" t="inlineStr">
        <is>
          <t>第1次流式调用完成，耗时：1913ms，response: Response { content = AiMessage { text = "广州地铁18号线是广州市的一条重要交通线路，为了让您出行更加方便，建议查看广州市的天气情况。为您查询广州今天天气：" toolExecutionRequests = null }, tokenUsage = TokenUsage { inputTokenCount = 4915, outputTokenCount = 61, totalTokenCount = 4976 }, finishReason = TOOL_EXECUTION }</t>
        </is>
      </c>
      <c r="C1650" t="inlineStr">
        <is>
          <t>INFO</t>
        </is>
      </c>
      <c r="D1650" t="inlineStr">
        <is>
          <t>vdh</t>
        </is>
      </c>
      <c r="E1650" t="inlineStr">
        <is>
          <t>pro14</t>
        </is>
      </c>
      <c r="F1650" t="inlineStr">
        <is>
          <t>prod</t>
        </is>
      </c>
    </row>
    <row r="1651">
      <c r="A1651" t="inlineStr">
        <is>
          <t>2025-05-09 09:44:04.246</t>
        </is>
      </c>
      <c r="B1651" t="inlineStr">
        <is>
          <t xml:space="preserve">第1次流式调用开始回复，耗时：875ms，第一个token: </t>
        </is>
      </c>
      <c r="C1651" t="inlineStr">
        <is>
          <t>INFO</t>
        </is>
      </c>
      <c r="D1651" t="inlineStr">
        <is>
          <t>vdh</t>
        </is>
      </c>
      <c r="E1651" t="inlineStr">
        <is>
          <t>pro14</t>
        </is>
      </c>
      <c r="F1651" t="inlineStr">
        <is>
          <t>prod</t>
        </is>
      </c>
    </row>
    <row r="1652">
      <c r="A1652" t="inlineStr">
        <is>
          <t>2025-05-09 09:44:03.371</t>
        </is>
      </c>
      <c r="B1652" t="inlineStr">
        <is>
          <t>streaming provider=gpt, model: gpt-4o</t>
        </is>
      </c>
      <c r="C1652" t="inlineStr">
        <is>
          <t>INFO</t>
        </is>
      </c>
      <c r="D1652" t="inlineStr">
        <is>
          <t>vdh</t>
        </is>
      </c>
      <c r="E1652" t="inlineStr">
        <is>
          <t>pro14</t>
        </is>
      </c>
      <c r="F1652" t="inlineStr">
        <is>
          <t>prod</t>
        </is>
      </c>
    </row>
    <row r="1653">
      <c r="A1653" t="inlineStr">
        <is>
          <t>2025-05-09 09:44:03.360</t>
        </is>
      </c>
      <c r="B1653">
        <f>=请求结束== [请求耗时]:425毫秒, [返回数据]:{"code":"000000","msg":"Success","data":[{"knowledgeId":"1326868148286373888","knowledgeContent":[{"score":0.73334005,"content":"：广州影子科技的股价是多少？广州影子科技有限公司没有上市，因此没有股价信息。","fileId":"1326944717968060416","chunkId":"paragraph-5"},{"score":0.73255244,"content":"：2025年春节/过年/大年初一是1月29日，农历正月初一，星期三。","fileId":"1326944717968060416","chunkId":"paragraph-1"},{"score":0.729611015,"content":"：深圳数影科技的股价是多少？深圳数影科技有限公司没有上市，因此没有股价信息。 广西扬翔股份上市了吗？广西扬翔股份没有上市。","fileId":"1326944717968060416","chunkId":"paragraph-6"}]},{"knowledgeId":"1329399948694220800","knowledgeContent":[{"score":0.8654120125,"content":"广州今天天气","fileId":"1329400169758941184","chunkId":"35","textGroup":"getCurrentWeather {province=广东省,city=广州市}"},{"score":0.7504845925,"content":"番禺区今天天气","fileId":"1329400169758941184","chunkId":"39","textGroup":"getCurrentWeather {province=广东省,city=广州市,district=番禺区}"},{"score":0.7451322275,"content":"请帮我继续微波","fileId":"1347217269055369216","chunkId":"256","textGroup":"cooking_control {type=continue}"},{"score":0.744237985,"content":"我想微波暂停","fileId":"1347217269055369216","chunkId":"195","textGroup":"cooking_control {type=pause}"},{"score":0.7432851775,"content":"深圳明天天气","fileId":"1329400169758941184","chunkId":"42","textGroup":"getCurrentWeather {province=广东省,city=深圳市}"},{"score":0.7413641774999999,"content":"宝安区今天天气","fileId":"1329400169758941184","chunkId":"44","textGroup":"getCurrentWeather {province=广东省,city=深圳市,district=宝安区}"},{"score":0.7408118475000001,"content":"天河区今天天气","fileId":"1329400169758941184","chunkId":"37","textGroup":"getCurrentWeather {province=广东省,city=广州市,district=天河区}"},{"score":0.7407754675,"content":"南沙区今天天气","fileId":"1329400169758941184","chunkId":"38","textGroup":"getCurrentWeather {province=广东省,city=广州市,district=南沙区}"},{"score":0.7401375,"content":"白云区今天天气","fileId":"1329400169758941184","chunkId":"40","textGroup":"getCurrentWeather {province=广东省,city=广州市,district=白云区}"},{"score":0.73967136,"content":"南山区今天天气","fileId":"1329400169758941184","chunkId":"43","textGroup":"getCurrentWeather {province=广东省,city=深圳市,district=南山区}"},{"score":0.7388612675,"content":"罗湖区今天天气","fileId":"1329400169758941184","chunkId":"45","textGroup":"getCurrentWeather {province=广东省,city=深圳市,district=罗湖区}"},{"score":0.737963965,"content":"请帮我终止微波","fileId":"1347217269055369216","chunkId":"328","textGroup":"cooking_control {type=stop}"},{"score":0.737518905,"content":"港南区今天天气","fileId":"1329400169758941184","chunkId":"32","textGroup":"getCurrentWeather {province=广西壮族自治区,city=贵港市,district=港南区}"},{"score":0.7342831675,"content":"贵港明天天气","fileId":"1329400169758941184","chunkId":"31","textGroup":"getCurrentWeather {province=广西壮族自治区,city=贵港市}"},{"score":0.7330304375,"content":"启动微波功能","fileId":"1347217269055369216","chunkId":"64","textGroup":"cooking_control {type=start}"},{"score":0.7287670075,"content":"南宁今天天气","fileId":"1329400169758941184","chunkId":"48","textGroup":"getCurrentWeather {province=广西壮族自治区,city=南宁市}"},{"score":0.7284616024999999,"content":"光明区今天天气","fileId":"1329400169758941184","chunkId":"47","textGroup":"getCurrentWeather {province=广东省,city=深圳市,district=光明区}"},{"score":0.72825467,"content":"我想了解下新闻热点","fileId":"1329400169758941184","chunkId":"64","textGroup":"news {type=top,size=3}"},{"score":0.7281826324999999,"content":"龙华区今天天气","fileId":"1329400169758941184","chunkId":"46","textGroup":"getCurrentWeather {province=广东省,city=深圳市,district=龙华区}"},{"score":0.10914368400000003,"content":"我要烹[菜品名称]","fileId":"1347217269055369216","chunkId":"34","textGroup":"set_foodtype_taste"}]},{"knowledgeId":"1272948056214077440","knowledgeContent":[{"score":0.7454579475,"content":"问题：你们公司的地址在哪。\\n回复：影子科技公司地址是在广州。","fileId":"1303425377255075840","chunkId":"640","textGroup":"公司在哪办公"},{"score":0.743260485,"content":"问题：你什么时候在线。\\n回复：我二十四小时在线的。","fileId":"1303425377255075840","chunkId":"2676","textGroup":"你什么时候在线"},{"score":0.739789085,"content":"问题：万德福可以空载运行吗。\\n回复：微波炉是严禁空载使用的哦，会损坏微波炉的","fileId":"1303425377255075840","chunkId":"1921","textGroup":"微波炉可以空载运行吗"},{"score":0.7386668725,"content":"问题：可以和我聊聊天吗。\\n回复：你可以随时找我聊。","fileId":"1303425377255075840</f>
        <v/>
      </c>
      <c r="C1653" t="inlineStr">
        <is>
          <t>INFO</t>
        </is>
      </c>
      <c r="D1653" t="inlineStr">
        <is>
          <t>vdh</t>
        </is>
      </c>
      <c r="E1653" t="inlineStr">
        <is>
          <t>pro14</t>
        </is>
      </c>
      <c r="F1653" t="inlineStr">
        <is>
          <t>prod</t>
        </is>
      </c>
    </row>
    <row r="1654">
      <c r="A1654" t="inlineStr">
        <is>
          <t>2025-05-09 09:44:03.359</t>
        </is>
      </c>
      <c r="B1654" t="inlineStr">
        <is>
          <t>知识库插件检索耗时: 423ms</t>
        </is>
      </c>
      <c r="C1654" t="inlineStr">
        <is>
          <t>INFO</t>
        </is>
      </c>
      <c r="D1654" t="inlineStr">
        <is>
          <t>vdh</t>
        </is>
      </c>
      <c r="E1654" t="inlineStr">
        <is>
          <t>pro14</t>
        </is>
      </c>
      <c r="F1654" t="inlineStr">
        <is>
          <t>prod</t>
        </is>
      </c>
    </row>
    <row r="1655">
      <c r="A1655" t="inlineStr">
        <is>
          <t>2025-05-09 09:44:02.935</t>
        </is>
      </c>
      <c r="B1655">
        <f>=请求开始== [请求IP]:172.18.33.14 ,[请求方式]:POST， [请求URL]:https://172.30.212.148:8080/api/appservice/bfv/v1/knowledge/retrieval/plugin, [请求类名]:com.yingzi.appservice.bfv.provider.rest.KnowledgeRetrievalController,[请求方法名]:plugin, [请求头参数]:{"host":"172.30.212.148:8080"}, [请求参数]:[{"query":"我要搭广州地铁18号线","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655" t="inlineStr">
        <is>
          <t>INFO</t>
        </is>
      </c>
      <c r="D1655" t="inlineStr">
        <is>
          <t>vdh</t>
        </is>
      </c>
      <c r="E1655" t="inlineStr">
        <is>
          <t>pro14</t>
        </is>
      </c>
      <c r="F1655" t="inlineStr">
        <is>
          <t>prod</t>
        </is>
      </c>
    </row>
    <row r="1656">
      <c r="A1656" t="inlineStr">
        <is>
          <t>2025-05-09 09:44:02.918</t>
        </is>
      </c>
      <c r="B1656">
        <f>=请求开始== [请求IP]:172.18.114.98 ,[请求方式]:POST， [请求URL]:https://172.30.212.148:8080/api/appservice/bfv/v1/chat/, [请求类名]:com.yingzi.appservice.bfv.provider.rest.ChatV1Controller,[请求方法名]:chat, [请求头参数]:{"host":"172.30.212.148:8080"}, [请求参数]:[{"stream":true,"message":"我要搭广州地铁18号线","args":"{\"adcode\":\"440100\",\"channel_id\":\"9\"}"}]</f>
        <v/>
      </c>
      <c r="C1656" t="inlineStr">
        <is>
          <t>INFO</t>
        </is>
      </c>
      <c r="D1656" t="inlineStr">
        <is>
          <t>vdh</t>
        </is>
      </c>
      <c r="E1656" t="inlineStr">
        <is>
          <t>pro14</t>
        </is>
      </c>
      <c r="F1656" t="inlineStr">
        <is>
          <t>prod</t>
        </is>
      </c>
    </row>
    <row r="1657">
      <c r="A1657" t="inlineStr">
        <is>
          <t>2025-05-09 09:43:54.811</t>
        </is>
      </c>
      <c r="B1657">
        <f>=请求结束== [请求耗时]:16毫秒, [返回数据]:{"code":"000000","msg":"Success","traceId":"70fadf5da36e2f487270993191426671"}</f>
        <v/>
      </c>
      <c r="C1657" t="inlineStr">
        <is>
          <t>INFO</t>
        </is>
      </c>
      <c r="D1657" t="inlineStr">
        <is>
          <t>vdh</t>
        </is>
      </c>
      <c r="E1657" t="inlineStr">
        <is>
          <t>pro17</t>
        </is>
      </c>
      <c r="F1657" t="inlineStr">
        <is>
          <t>prod</t>
        </is>
      </c>
    </row>
    <row r="1658">
      <c r="A1658" t="inlineStr">
        <is>
          <t>2025-05-09 09:43:54.795</t>
        </is>
      </c>
      <c r="B1658">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658" t="inlineStr">
        <is>
          <t>INFO</t>
        </is>
      </c>
      <c r="D1658" t="inlineStr">
        <is>
          <t>vdh</t>
        </is>
      </c>
      <c r="E1658" t="inlineStr">
        <is>
          <t>pro17</t>
        </is>
      </c>
      <c r="F1658" t="inlineStr">
        <is>
          <t>prod</t>
        </is>
      </c>
    </row>
    <row r="1659">
      <c r="A1659" t="inlineStr">
        <is>
          <t>2025-05-09 09:43:53.018</t>
        </is>
      </c>
      <c r="B1659">
        <f>=请求结束== [请求耗时]:15毫秒, [返回数据]:{"code":"000000","msg":"Success","traceId":"8d0d614d62c7d7371e869f208665f992"}</f>
        <v/>
      </c>
      <c r="C1659" t="inlineStr">
        <is>
          <t>INFO</t>
        </is>
      </c>
      <c r="D1659" t="inlineStr">
        <is>
          <t>vdh</t>
        </is>
      </c>
      <c r="E1659" t="inlineStr">
        <is>
          <t>pro14</t>
        </is>
      </c>
      <c r="F1659" t="inlineStr">
        <is>
          <t>prod</t>
        </is>
      </c>
    </row>
    <row r="1660">
      <c r="A1660" t="inlineStr">
        <is>
          <t>2025-05-09 09:43:53.003</t>
        </is>
      </c>
      <c r="B1660">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我要讲app","instructionAsrFirstTime":{"year":2025,"monthValue":5,"month":"MAY","dayOfMonth":9,"dayOfYear":129,"dayOfWeek":"FRIDAY","hour":9,"minute":43,"second":41,"nano":0,"chronology":{"id":"ISO","calendarType":"iso8601"}},"knowledgeId":"","knowledgeMasterId":"","instructionType":"","instructionName":"","instructionFlag":"","parameter":"{\"nlpId\":\"17300825629321642727spln\",\"service\":\"Chat_library\"}","ttsResultSource":"FTT","ttsResult":"想要与我们进行合作,您可通过官方平台联系我们了解详细信息。","ttsResultTime":{"year":2025,"monthValue":5,"month":"MAY","dayOfMonth":9,"dayOfYear":129,"dayOfWeek":"FRIDAY","hour":9,"minute":43,"second":47,"nano":0,"chronology":{"id":"ISO","calendarType":"iso8601"}},"response":3314}]]</f>
        <v/>
      </c>
      <c r="C1660" t="inlineStr">
        <is>
          <t>INFO</t>
        </is>
      </c>
      <c r="D1660" t="inlineStr">
        <is>
          <t>vdh</t>
        </is>
      </c>
      <c r="E1660" t="inlineStr">
        <is>
          <t>pro14</t>
        </is>
      </c>
      <c r="F1660" t="inlineStr">
        <is>
          <t>prod</t>
        </is>
      </c>
    </row>
    <row r="1661">
      <c r="A1661" t="inlineStr">
        <is>
          <t>2025-05-09 09:43:46.182</t>
        </is>
      </c>
      <c r="B1661">
        <f>=请求结束== [请求耗时]:1736毫秒</f>
        <v/>
      </c>
      <c r="C1661" t="inlineStr">
        <is>
          <t>INFO</t>
        </is>
      </c>
      <c r="D1661" t="inlineStr">
        <is>
          <t>vdh</t>
        </is>
      </c>
      <c r="E1661" t="inlineStr">
        <is>
          <t>pro17</t>
        </is>
      </c>
      <c r="F1661" t="inlineStr">
        <is>
          <t>prod</t>
        </is>
      </c>
    </row>
    <row r="1662">
      <c r="A1662" t="inlineStr">
        <is>
          <t>2025-05-09 09:43:46.182</t>
        </is>
      </c>
      <c r="B1662" t="inlineStr">
        <is>
          <t>第1次流式调用完成，耗时：1337ms，response: Response { content = AiMessage { text = "想要与我们进行合作，您可通过官方平台联系我们了解详细信息。" toolExecutionRequests = null }, tokenUsage = TokenUsage { inputTokenCount = 4933, outputTokenCount = 26, totalTokenCount = 4959 }, finishReason = STOP }</t>
        </is>
      </c>
      <c r="C1662" t="inlineStr">
        <is>
          <t>INFO</t>
        </is>
      </c>
      <c r="D1662" t="inlineStr">
        <is>
          <t>vdh</t>
        </is>
      </c>
      <c r="E1662" t="inlineStr">
        <is>
          <t>pro17</t>
        </is>
      </c>
      <c r="F1662" t="inlineStr">
        <is>
          <t>prod</t>
        </is>
      </c>
    </row>
    <row r="1663">
      <c r="A1663" t="inlineStr">
        <is>
          <t>2025-05-09 09:43:45.930</t>
        </is>
      </c>
      <c r="B1663" t="inlineStr">
        <is>
          <t xml:space="preserve">第1次流式调用开始回复，耗时：1085ms，第一个token: </t>
        </is>
      </c>
      <c r="C1663" t="inlineStr">
        <is>
          <t>INFO</t>
        </is>
      </c>
      <c r="D1663" t="inlineStr">
        <is>
          <t>vdh</t>
        </is>
      </c>
      <c r="E1663" t="inlineStr">
        <is>
          <t>pro17</t>
        </is>
      </c>
      <c r="F1663" t="inlineStr">
        <is>
          <t>prod</t>
        </is>
      </c>
    </row>
    <row r="1664">
      <c r="A1664" t="inlineStr">
        <is>
          <t>2025-05-09 09:43:44.845</t>
        </is>
      </c>
      <c r="B1664" t="inlineStr">
        <is>
          <t>streaming provider=gpt, model: gpt-4o</t>
        </is>
      </c>
      <c r="C1664" t="inlineStr">
        <is>
          <t>INFO</t>
        </is>
      </c>
      <c r="D1664" t="inlineStr">
        <is>
          <t>vdh</t>
        </is>
      </c>
      <c r="E1664" t="inlineStr">
        <is>
          <t>pro17</t>
        </is>
      </c>
      <c r="F1664" t="inlineStr">
        <is>
          <t>prod</t>
        </is>
      </c>
    </row>
    <row r="1665">
      <c r="A1665" t="inlineStr">
        <is>
          <t>2025-05-09 09:43:44.838</t>
        </is>
      </c>
      <c r="B1665">
        <f>=请求结束== [请求耗时]:379毫秒, [返回数据]:{"code":"000000","msg":"Success","data":[{"knowledgeId":"1326868148286373888","knowledgeContent":[{"score":0.731251515,"content":"：2025年春节/过年/大年初一是1月29日，农历正月初一，星期三。","fileId":"1326944717968060416","chunkId":"paragraph-1"},{"score":0.71152004,"content":"：深圳数影科技的股价是多少？深圳数影科技有限公司没有上市，因此没有股价信息。 广西扬翔股份上市了吗？广西扬翔股份没有上市。","fileId":"1326944717968060416","chunkId":"paragraph-6"},{"score":0.7083333475,"content":"：小暑：•新历：7月7日•农历：六月十三•星期一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knowledgeId":"1272947938412855296","knowledgeContent":[{"score":0.739092255,"content":"大家喜欢分享哪个食谱","fileId":"1275470180282040320","chunkId":"137","textGroup":"SELECT id, title FROM recipe_knowledge_nutrition ORDER BY forward_num DESC LIMIT 1;"}]},{"knowledgeId":"1329399948694220800","knowledgeContent":[{"score":0.755780305,"content":"我要听新闻","fileId":"1329400169758941184","chunkId":"60","textGroup":"news {type=top,size=3}"},{"score":0.7540477925,"content":"我想微波暂停","fileId":"1347217269055369216","chunkId":"195","textGroup":"cooking_control {type=pause}"},{"score":0.753368855,"content":"请帮我继续微波","fileId":"1347217269055369216","chunkId":"256","textGroup":"cooking_control {type=continue}"},{"score":0.744239345,"content":"微波开始","fileId":"1347217269055369216","chunkId":"94","textGroup":"cooking_control {type=start}"},{"score":0.73972916,"content":"我想结束微波烹调","fileId":"1347217269055369216","chunkId":"325","textGroup":"cooking_control {type=stop}"}]},{"knowledgeId":"1272948056214077440","knowledgeContent":[{"score":0.747535475,"content":"问题：你好。\\n回复：你好，有什么可以帮您。","fileId":"1303425377255075840","chunkId":"2699","textGroup":"你好"},{"score":0.7474047025,"content":"问题：可以和我聊聊天吗。\\n回复：你可以随时找我聊。","fileId":"1303425377255075840","chunkId":"2757","textGroup":"可以和我聊聊天吗"},{"score":0.74670664,"content":"问题：你什么时候在线。\\n回复：我二十四小时在线的。","fileId":"1303425377255075840","chunkId":"2676","textGroup":"你什么时候在线"},{"score":0.74480213,"content":"问题：不满。\\n回复：不满意的地方还请多多包涵。","fileId":"1303425377255075840","chunkId":"2671","textGroup":"不满"},{"score":0.7434923225,"content":"问题：晚安。\\n回复：晚安。","fileId":"1303425377255075840","chunkId":"2766","textGroup":"晚安"},{"score":0.7423112475,"content":"问题：早上好。\\n回复：早上好，美好的一天又开始了。","fileId":"1303425377255075840","chunkId":"2764","textGroup":"早上好"},{"score":0.7419303199999999,"content":"问题：万得出APP商家申请的规则是什么。\\n回复：想要与我们进行合作，您可通过官方平台联系我们了解详细信息。","fileId":"1303425377255075840","chunkId":"734","textGroup":"如何申请成为平台商家"},{"score":0.7419009099999999,"content":"问题：我想了姐一下新食记。\\n回复：贵港新食记食品有限公司成立于2021年7月，依托AI技术，新食记解决普通消费者下厨房的油烟问题，其所有食品、食材满足扫码即烹、鲜烹鲜吃，开创了“智能餐厨+一码鲜烹”共享厨房新模式，依托影子美食平台，共同提供了智能厨师解决方案。","fileId":"1303425377255075840","chunkId":"440","textGroup":"介绍一下新食记"},{"score":0.741529715,"content":"问题：你不智能。\\n回复：很抱歉我还在学习，您能换个说法吗？","fileId":"1303425377255075840","chunkId":"2675","textGroup":"你不智能"},{"score":0.7412807075,"content":"问题：你擅长什么。\\n回复：我可以为你烹饪菜肴、答疑解惑。我的能力还在不断的提升呢，试试扫码来让我为你烹饪吧","fileId":"1303425377255075840","chunkId":"2705","textGroup":"你擅长什么"},{"score":0.740058875,"content":"问题：假期愉快。\\n回复：假期愉快，玩得开心哟！","fileId":"1303425377255075840","chunkId":"2755","textGroup":"假期愉快"}]}]}</f>
        <v/>
      </c>
      <c r="C1665" t="inlineStr">
        <is>
          <t>INFO</t>
        </is>
      </c>
      <c r="D1665" t="inlineStr">
        <is>
          <t>vdh</t>
        </is>
      </c>
      <c r="E1665" t="inlineStr">
        <is>
          <t>pro17</t>
        </is>
      </c>
      <c r="F1665" t="inlineStr">
        <is>
          <t>prod</t>
        </is>
      </c>
    </row>
    <row r="1666">
      <c r="A1666" t="inlineStr">
        <is>
          <t>2025-05-09 09:43:44.837</t>
        </is>
      </c>
      <c r="B1666" t="inlineStr">
        <is>
          <t>知识库插件检索耗时: 376ms</t>
        </is>
      </c>
      <c r="C1666" t="inlineStr">
        <is>
          <t>INFO</t>
        </is>
      </c>
      <c r="D1666" t="inlineStr">
        <is>
          <t>vdh</t>
        </is>
      </c>
      <c r="E1666" t="inlineStr">
        <is>
          <t>pro17</t>
        </is>
      </c>
      <c r="F1666" t="inlineStr">
        <is>
          <t>prod</t>
        </is>
      </c>
    </row>
    <row r="1667">
      <c r="A1667" t="inlineStr">
        <is>
          <t>2025-05-09 09:43:44.459</t>
        </is>
      </c>
      <c r="B1667">
        <f>=请求开始== [请求IP]:172.18.33.17 ,[请求方式]:POST， [请求URL]:https://172.30.103.196:8080/api/appservice/bfv/v1/knowledge/retrieval/plugin, [请求类名]:com.yingzi.appservice.bfv.provider.rest.KnowledgeRetrievalController,[请求方法名]:plugin, [请求头参数]:{"host":"172.30.103.196:8080"}, [请求参数]:[{"query":"我要讲app","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667" t="inlineStr">
        <is>
          <t>INFO</t>
        </is>
      </c>
      <c r="D1667" t="inlineStr">
        <is>
          <t>vdh</t>
        </is>
      </c>
      <c r="E1667" t="inlineStr">
        <is>
          <t>pro17</t>
        </is>
      </c>
      <c r="F1667" t="inlineStr">
        <is>
          <t>prod</t>
        </is>
      </c>
    </row>
    <row r="1668">
      <c r="A1668" t="inlineStr">
        <is>
          <t>2025-05-09 09:43:44.446</t>
        </is>
      </c>
      <c r="B1668">
        <f>=请求开始== [请求IP]:172.18.114.98 ,[请求方式]:POST， [请求URL]:https://172.30.103.196:8080/api/appservice/bfv/v1/chat/, [请求类名]:com.yingzi.appservice.bfv.provider.rest.ChatV1Controller,[请求方法名]:chat, [请求头参数]:{"host":"172.30.103.196:8080"}, [请求参数]:[{"stream":true,"message":"我要讲app","args":"{\"adcode\":\"440100\",\"channel_id\":\"9\"}"}]</f>
        <v/>
      </c>
      <c r="C1668" t="inlineStr">
        <is>
          <t>INFO</t>
        </is>
      </c>
      <c r="D1668" t="inlineStr">
        <is>
          <t>vdh</t>
        </is>
      </c>
      <c r="E1668" t="inlineStr">
        <is>
          <t>pro17</t>
        </is>
      </c>
      <c r="F1668" t="inlineStr">
        <is>
          <t>prod</t>
        </is>
      </c>
    </row>
    <row r="1669">
      <c r="A1669" t="inlineStr">
        <is>
          <t>2025-05-09 09:43:39.456</t>
        </is>
      </c>
      <c r="B1669">
        <f>=请求结束== [请求耗时]:15毫秒, [返回数据]:{"code":"000000","msg":"Success","traceId":"5e4be03c763b88895f0fefc9b91ca2c2"}</f>
        <v/>
      </c>
      <c r="C1669" t="inlineStr">
        <is>
          <t>INFO</t>
        </is>
      </c>
      <c r="D1669" t="inlineStr">
        <is>
          <t>vdh</t>
        </is>
      </c>
      <c r="E1669" t="inlineStr">
        <is>
          <t>pro14</t>
        </is>
      </c>
      <c r="F1669" t="inlineStr">
        <is>
          <t>prod</t>
        </is>
      </c>
    </row>
    <row r="1670">
      <c r="A1670" t="inlineStr">
        <is>
          <t>2025-05-09 09:43:39.441</t>
        </is>
      </c>
      <c r="B1670">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我要","instructionAsrFirstTime":{"year":2025,"monthValue":5,"month":"MAY","dayOfMonth":9,"dayOfYear":129,"dayOfWeek":"FRIDAY","hour":9,"minute":43,"second":33,"nano":0,"chronology":{"id":"ISO","calendarType":"iso8601"}},"knowledgeId":"","knowledgeMasterId":"","instructionType":"","instructionName":"","instructionFlag":"","parameter":"{}","ttsResultSource":"FTT","ttsResult":"","response":0}]]</f>
        <v/>
      </c>
      <c r="C1670" t="inlineStr">
        <is>
          <t>INFO</t>
        </is>
      </c>
      <c r="D1670" t="inlineStr">
        <is>
          <t>vdh</t>
        </is>
      </c>
      <c r="E1670" t="inlineStr">
        <is>
          <t>pro14</t>
        </is>
      </c>
      <c r="F1670" t="inlineStr">
        <is>
          <t>prod</t>
        </is>
      </c>
    </row>
    <row r="1671">
      <c r="A1671" t="inlineStr">
        <is>
          <t>2025-05-09 09:43:37.436</t>
        </is>
      </c>
      <c r="B1671">
        <f>=请求结束== [请求耗时]:2593毫秒</f>
        <v/>
      </c>
      <c r="C1671" t="inlineStr">
        <is>
          <t>INFO</t>
        </is>
      </c>
      <c r="D1671" t="inlineStr">
        <is>
          <t>vdh</t>
        </is>
      </c>
      <c r="E1671" t="inlineStr">
        <is>
          <t>pro14</t>
        </is>
      </c>
      <c r="F1671" t="inlineStr">
        <is>
          <t>prod</t>
        </is>
      </c>
    </row>
    <row r="1672">
      <c r="A1672" t="inlineStr">
        <is>
          <t>2025-05-09 09:43:37.436</t>
        </is>
      </c>
      <c r="B1672" t="inlineStr">
        <is>
          <t>第1次流式调用完成，耗时：2133ms，response: Response { content = AiMessage { text = "请问您想要进行什么操作呢？如果是想烹饪、听新闻或者控制微波炉等，请告诉我具体的需求，我会根据您的要求来为您提供帮助。" toolExecutionRequests = null }, tokenUsage = TokenUsage { inputTokenCount = 4850, outputTokenCount = 71, totalTokenCount = 4921 }, finishReason = STOP }</t>
        </is>
      </c>
      <c r="C1672" t="inlineStr">
        <is>
          <t>INFO</t>
        </is>
      </c>
      <c r="D1672" t="inlineStr">
        <is>
          <t>vdh</t>
        </is>
      </c>
      <c r="E1672" t="inlineStr">
        <is>
          <t>pro14</t>
        </is>
      </c>
      <c r="F1672" t="inlineStr">
        <is>
          <t>prod</t>
        </is>
      </c>
    </row>
    <row r="1673">
      <c r="A1673" t="inlineStr">
        <is>
          <t>2025-05-09 09:43:36.374</t>
        </is>
      </c>
      <c r="B1673" t="inlineStr">
        <is>
          <t xml:space="preserve">第1次流式调用开始回复，耗时：1071ms，第一个token: </t>
        </is>
      </c>
      <c r="C1673" t="inlineStr">
        <is>
          <t>INFO</t>
        </is>
      </c>
      <c r="D1673" t="inlineStr">
        <is>
          <t>vdh</t>
        </is>
      </c>
      <c r="E1673" t="inlineStr">
        <is>
          <t>pro14</t>
        </is>
      </c>
      <c r="F1673" t="inlineStr">
        <is>
          <t>prod</t>
        </is>
      </c>
    </row>
    <row r="1674">
      <c r="A1674" t="inlineStr">
        <is>
          <t>2025-05-09 09:43:35.303</t>
        </is>
      </c>
      <c r="B1674" t="inlineStr">
        <is>
          <t>streaming provider=gpt, model: gpt-4o</t>
        </is>
      </c>
      <c r="C1674" t="inlineStr">
        <is>
          <t>INFO</t>
        </is>
      </c>
      <c r="D1674" t="inlineStr">
        <is>
          <t>vdh</t>
        </is>
      </c>
      <c r="E1674" t="inlineStr">
        <is>
          <t>pro14</t>
        </is>
      </c>
      <c r="F1674" t="inlineStr">
        <is>
          <t>prod</t>
        </is>
      </c>
    </row>
    <row r="1675">
      <c r="A1675" t="inlineStr">
        <is>
          <t>2025-05-09 09:43:35.295</t>
        </is>
      </c>
      <c r="B1675">
        <f>=请求结束== [请求耗时]:438毫秒, [返回数据]:{"code":"000000","msg":"Success","data":[{"knowledgeId":"1326868148286373888","knowledgeContent":[{"score":0.7450906199999999,"content":"：2025年春节/过年/大年初一是1月29日，农历正月初一，星期三。","fileId":"1326944717968060416","chunkId":"paragraph-1"},{"score":0.71537666,"content":"：深圳数影科技的股价是多少？深圳数影科技有限公司没有上市，因此没有股价信息。 广西扬翔股份上市了吗？广西扬翔股份没有上市。","fileId":"1326944717968060416","chunkId":"paragraph-6"},{"score":0.7136607224999999,"content":"：小暑：•新历：7月7日•农历：六月十三•星期一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knowledgeId":"1272948056214077440","knowledgeContent":[{"score":0.763321335,"content":"问题：可以和我聊聊天吗。\\n回复：你可以随时找我聊。","fileId":"1303425377255075840","chunkId":"2757","textGroup":"可以和我聊聊天吗"},{"score":0.7630351400000001,"content":"问题：你好。\\n回复：你好，有什么可以帮您。","fileId":"1303425377255075840","chunkId":"2699","textGroup":"你好"},{"score":0.762714435,"content":"问题：晚安。\\n回复：晚安。","fileId":"1303425377255075840","chunkId":"2766","textGroup":"晚安"},{"score":0.7591787324999999,"content":"问题：不满。\\n回复：不满意的地方还请多多包涵。","fileId":"1303425377255075840","chunkId":"2671","textGroup":"不满"},{"score":0.7572364399999999,"content":"问题：你什么时候在线。\\n回复：我二十四小时在线的。","fileId":"1303425377255075840","chunkId":"2676","textGroup":"你什么时候在线"},{"score":0.754245375,"content":"问题：你吃饭了吗。\\n回复：还在等待美食中，你想和我一起吃吗？","fileId":"1303425377255075840","chunkId":"2689","textGroup":"你吃饭了吗"},{"score":0.7518735775,"content":"问题：早上好。\\n回复：早上好，美好的一天又开始了。","fileId":"1303425377255075840","chunkId":"2764","textGroup":"早上好"},{"score":0.7515945224999999,"content":"问题：能和你们进行合作吗。\\n回复：想要与我们进行合作，您可通过官方平台联系我们了解详细信息。","fileId":"1303425377255075840","chunkId":"754","textGroup":"如何申请成为平台商家"},{"score":0.75045565,"content":"问题：我是谁。\\n回复：你就是我的主人呀","fileId":"1303425377255075840","chunkId":"2763","textGroup":"我是谁"},{"score":0.7501385575,"content":"问题：假期愉快。\\n回复：假期愉快，玩得开心哟！","fileId":"1303425377255075840","chunkId":"2755","textGroup":"假期愉快"},{"score":0.7496975349999999,"content":"问题：我好无聊。\\n回复：有什么我可以为您做的吗？","fileId":"1303425377255075840","chunkId":"2761","textGroup":"我好无聊"},{"score":0.7482526625,"content":"问题：你好丑。\\n回复：外貌是次要的，重要的是我的内在","fileId":"1303425377255075840","chunkId":"2700","textGroup":"你好丑"},{"score":0.747785545,"content":"问题：你反应太慢了。\\n回复：抱歉我还在学习，所以反应有点慢。","fileId":"1303425377255075840","chunkId":"2686","textGroup":"你反应太慢了"}]},{"knowledgeId":"1272947938412855296","knowledgeContent":[{"score":0.7625034224999999,"content":"我想吃辛辣的菜","fileId":"1275470180282040320","chunkId":"14","textGroup":"SELECT id, title FROM recipe_knowledge_nutrition WHERE classify_taste LIKE '%辛辣%' ORDER BY random() LIMIT 5;"}]},{"knowledgeId":"1329399948694220800","knowledgeContent":[{"score":0.8710782440000001,"content":"我要烹[菜品名称]","fileId":"1347217269055369216","chunkId":"34","textGroup":"set_foodtype_taste"},{"score":0.7778347875,"content":"我想微波暂停","fileId":"1347217269055369216","chunkId":"195","textGroup":"cooking_control {type=pause}"},{"score":0.77555054,"content":"我想烹饪启动","fileId":"1347217269055369216","chunkId":"131","textGroup":"cooking_control {type=start}"},{"score":0.7744372525,"content":"请帮我继续微波","fileId":"1347217269055369216","chunkId":"256","textGroup":"cooking_control {type=continue}"},{"score":0.7736807524999999,"content":"我要听新闻","fileId":"1329400169758941184","chunkId":"60","textGroup":"news {type=top,size=3}"},{"score":0.7635481574999999,"content":"请帮我终止微波","fileId":"1347217269055369216","chunkId":"328","textGroup":"cooking_control {type=stop}"}]}]}</f>
        <v/>
      </c>
      <c r="C1675" t="inlineStr">
        <is>
          <t>INFO</t>
        </is>
      </c>
      <c r="D1675" t="inlineStr">
        <is>
          <t>vdh</t>
        </is>
      </c>
      <c r="E1675" t="inlineStr">
        <is>
          <t>pro17</t>
        </is>
      </c>
      <c r="F1675" t="inlineStr">
        <is>
          <t>prod</t>
        </is>
      </c>
    </row>
    <row r="1676">
      <c r="A1676" t="inlineStr">
        <is>
          <t>2025-05-09 09:43:35.295</t>
        </is>
      </c>
      <c r="B1676" t="inlineStr">
        <is>
          <t>知识库插件检索耗时: 436ms</t>
        </is>
      </c>
      <c r="C1676" t="inlineStr">
        <is>
          <t>INFO</t>
        </is>
      </c>
      <c r="D1676" t="inlineStr">
        <is>
          <t>vdh</t>
        </is>
      </c>
      <c r="E1676" t="inlineStr">
        <is>
          <t>pro17</t>
        </is>
      </c>
      <c r="F1676" t="inlineStr">
        <is>
          <t>prod</t>
        </is>
      </c>
    </row>
    <row r="1677">
      <c r="A1677" t="inlineStr">
        <is>
          <t>2025-05-09 09:43:34.857</t>
        </is>
      </c>
      <c r="B1677">
        <f>=请求开始== [请求IP]:172.18.33.14 ,[请求方式]:POST， [请求URL]:https://172.30.103.196:8080/api/appservice/bfv/v1/knowledge/retrieval/plugin, [请求类名]:com.yingzi.appservice.bfv.provider.rest.KnowledgeRetrievalController,[请求方法名]:plugin, [请求头参数]:{"host":"172.30.103.196:8080"}, [请求参数]:[{"query":"我要","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677" t="inlineStr">
        <is>
          <t>INFO</t>
        </is>
      </c>
      <c r="D1677" t="inlineStr">
        <is>
          <t>vdh</t>
        </is>
      </c>
      <c r="E1677" t="inlineStr">
        <is>
          <t>pro17</t>
        </is>
      </c>
      <c r="F1677" t="inlineStr">
        <is>
          <t>prod</t>
        </is>
      </c>
    </row>
    <row r="1678">
      <c r="A1678" t="inlineStr">
        <is>
          <t>2025-05-09 09:43:34.843</t>
        </is>
      </c>
      <c r="B1678">
        <f>=请求开始== [请求IP]:172.18.114.116 ,[请求方式]:POST， [请求URL]:https://172.30.212.148:8080/api/appservice/bfv/v1/chat/, [请求类名]:com.yingzi.appservice.bfv.provider.rest.ChatV1Controller,[请求方法名]:chat, [请求头参数]:{"host":"172.30.212.148:8080"}, [请求参数]:[{"stream":true,"message":"我要","args":"{\"adcode\":\"440100\",\"channel_id\":\"9\"}"}]</f>
        <v/>
      </c>
      <c r="C1678" t="inlineStr">
        <is>
          <t>INFO</t>
        </is>
      </c>
      <c r="D1678" t="inlineStr">
        <is>
          <t>vdh</t>
        </is>
      </c>
      <c r="E1678" t="inlineStr">
        <is>
          <t>pro14</t>
        </is>
      </c>
      <c r="F1678" t="inlineStr">
        <is>
          <t>prod</t>
        </is>
      </c>
    </row>
    <row r="1679">
      <c r="A1679" t="inlineStr">
        <is>
          <t>2025-05-09 09:43:30.376</t>
        </is>
      </c>
      <c r="B1679">
        <f>=请求结束== [请求耗时]:15毫秒, [返回数据]:{"code":"000000","msg":"Success","traceId":"91c67245ba1fd856f733aaf086b6283a"}</f>
        <v/>
      </c>
      <c r="C1679" t="inlineStr">
        <is>
          <t>INFO</t>
        </is>
      </c>
      <c r="D1679" t="inlineStr">
        <is>
          <t>vdh</t>
        </is>
      </c>
      <c r="E1679" t="inlineStr">
        <is>
          <t>pro14</t>
        </is>
      </c>
      <c r="F1679" t="inlineStr">
        <is>
          <t>prod</t>
        </is>
      </c>
    </row>
    <row r="1680">
      <c r="A1680" t="inlineStr">
        <is>
          <t>2025-05-09 09:43:30.361</t>
        </is>
      </c>
      <c r="B1680">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instructionAsrFirstTime":{"year":2025,"monthValue":5,"month":"MAY","dayOfMonth":9,"dayOfYear":129,"dayOfWeek":"FRIDAY","hour":9,"minute":43,"second":25,"nano":0,"chronology":{"id":"ISO","calendarType":"iso8601"}},"knowledgeId":"","knowledgeMasterId":"","instructionType":"","instructionName":"","instructionFlag":"","parameter":"{}","ttsResultSource":"","ttsResult":"","response":0}]]</f>
        <v/>
      </c>
      <c r="C1680" t="inlineStr">
        <is>
          <t>INFO</t>
        </is>
      </c>
      <c r="D1680" t="inlineStr">
        <is>
          <t>vdh</t>
        </is>
      </c>
      <c r="E1680" t="inlineStr">
        <is>
          <t>pro14</t>
        </is>
      </c>
      <c r="F1680" t="inlineStr">
        <is>
          <t>prod</t>
        </is>
      </c>
    </row>
    <row r="1681">
      <c r="A1681" t="inlineStr">
        <is>
          <t>2025-05-09 09:43:23.964</t>
        </is>
      </c>
      <c r="B1681">
        <f>=请求结束== [请求耗时]:12毫秒, [返回数据]:{"code":"000000","msg":"Success","traceId":"e82e8cf85b8943846fb4dcfdeb9ffb95"}</f>
        <v/>
      </c>
      <c r="C1681" t="inlineStr">
        <is>
          <t>INFO</t>
        </is>
      </c>
      <c r="D1681" t="inlineStr">
        <is>
          <t>vdh</t>
        </is>
      </c>
      <c r="E1681" t="inlineStr">
        <is>
          <t>pro17</t>
        </is>
      </c>
      <c r="F1681" t="inlineStr">
        <is>
          <t>prod</t>
        </is>
      </c>
    </row>
    <row r="1682">
      <c r="A1682" t="inlineStr">
        <is>
          <t>2025-05-09 09:43:23.953</t>
        </is>
      </c>
      <c r="B1682">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682" t="inlineStr">
        <is>
          <t>INFO</t>
        </is>
      </c>
      <c r="D1682" t="inlineStr">
        <is>
          <t>vdh</t>
        </is>
      </c>
      <c r="E1682" t="inlineStr">
        <is>
          <t>pro17</t>
        </is>
      </c>
      <c r="F1682" t="inlineStr">
        <is>
          <t>prod</t>
        </is>
      </c>
    </row>
    <row r="1683">
      <c r="A1683" t="inlineStr">
        <is>
          <t>2025-05-09 09:43:19.429</t>
        </is>
      </c>
      <c r="B1683">
        <f>=请求结束== [请求耗时]:15毫秒, [返回数据]:{"code":"000000","msg":"Success","traceId":"6a29f5213ecaacf1da64e1942548d373"}</f>
        <v/>
      </c>
      <c r="C1683" t="inlineStr">
        <is>
          <t>INFO</t>
        </is>
      </c>
      <c r="D1683" t="inlineStr">
        <is>
          <t>vdh</t>
        </is>
      </c>
      <c r="E1683" t="inlineStr">
        <is>
          <t>pro14</t>
        </is>
      </c>
      <c r="F1683" t="inlineStr">
        <is>
          <t>prod</t>
        </is>
      </c>
    </row>
    <row r="1684">
      <c r="A1684" t="inlineStr">
        <is>
          <t>2025-05-09 09:43:19.414</t>
        </is>
      </c>
      <c r="B1684">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欢迎乘坐广州地铁3号线","instructionAsrFirstTime":{"year":2025,"monthValue":5,"month":"MAY","dayOfMonth":9,"dayOfYear":129,"dayOfWeek":"FRIDAY","hour":9,"minute":43,"second":1,"nano":0,"chronology":{"id":"ISO","calendarType":"iso8601"}},"knowledgeId":"","knowledgeMasterId":"","instructionType":"","instructionName":"","instructionFlag":"","parameter":"{\"nlpId\":\"17300825629321642727spln\",\"service\":\"Chat_library\"}","ttsResultSource":"FTT","ttsResult":"请问您需要了解的是广州市的天气情况吗?如果是的话,可以为您提供广州市的实时天气信息。","ttsResultTime":{"year":2025,"monthValue":5,"month":"MAY","dayOfMonth":9,"dayOfYear":129,"dayOfWeek":"FRIDAY","hour":9,"minute":43,"second":10,"nano":0,"chronology":{"id":"ISO","calendarType":"iso8601"}},"response":3483}]]</f>
        <v/>
      </c>
      <c r="C1684" t="inlineStr">
        <is>
          <t>INFO</t>
        </is>
      </c>
      <c r="D1684" t="inlineStr">
        <is>
          <t>vdh</t>
        </is>
      </c>
      <c r="E1684" t="inlineStr">
        <is>
          <t>pro14</t>
        </is>
      </c>
      <c r="F1684" t="inlineStr">
        <is>
          <t>prod</t>
        </is>
      </c>
    </row>
    <row r="1685">
      <c r="A1685" t="inlineStr">
        <is>
          <t>2025-05-09 09:43:08.970</t>
        </is>
      </c>
      <c r="B1685">
        <f>=请求结束== [请求耗时]:1777毫秒</f>
        <v/>
      </c>
      <c r="C1685" t="inlineStr">
        <is>
          <t>INFO</t>
        </is>
      </c>
      <c r="D1685" t="inlineStr">
        <is>
          <t>vdh</t>
        </is>
      </c>
      <c r="E1685" t="inlineStr">
        <is>
          <t>pro17</t>
        </is>
      </c>
      <c r="F1685" t="inlineStr">
        <is>
          <t>prod</t>
        </is>
      </c>
    </row>
    <row r="1686">
      <c r="A1686" t="inlineStr">
        <is>
          <t>2025-05-09 09:43:08.969</t>
        </is>
      </c>
      <c r="B1686" t="inlineStr">
        <is>
          <t>第1次流式调用完成，耗时：1276ms，response: Response { content = AiMessage { text = "请问您需要了解的是广州市的天气情况吗？如果是的话，我可以为您提供广州市的实时天气信息。" toolExecutionRequests = null }, tokenUsage = TokenUsage { inputTokenCount = 4919, outputTokenCount = 43, totalTokenCount = 4962 }, finishReason = STOP }</t>
        </is>
      </c>
      <c r="C1686" t="inlineStr">
        <is>
          <t>INFO</t>
        </is>
      </c>
      <c r="D1686" t="inlineStr">
        <is>
          <t>vdh</t>
        </is>
      </c>
      <c r="E1686" t="inlineStr">
        <is>
          <t>pro17</t>
        </is>
      </c>
      <c r="F1686" t="inlineStr">
        <is>
          <t>prod</t>
        </is>
      </c>
    </row>
    <row r="1687">
      <c r="A1687" t="inlineStr">
        <is>
          <t>2025-05-09 09:43:08.657</t>
        </is>
      </c>
      <c r="B1687" t="inlineStr">
        <is>
          <t xml:space="preserve">第1次流式调用开始回复，耗时：964ms，第一个token: </t>
        </is>
      </c>
      <c r="C1687" t="inlineStr">
        <is>
          <t>INFO</t>
        </is>
      </c>
      <c r="D1687" t="inlineStr">
        <is>
          <t>vdh</t>
        </is>
      </c>
      <c r="E1687" t="inlineStr">
        <is>
          <t>pro17</t>
        </is>
      </c>
      <c r="F1687" t="inlineStr">
        <is>
          <t>prod</t>
        </is>
      </c>
    </row>
    <row r="1688">
      <c r="A1688" t="inlineStr">
        <is>
          <t>2025-05-09 09:43:07.693</t>
        </is>
      </c>
      <c r="B1688" t="inlineStr">
        <is>
          <t>streaming provider=gpt, model: gpt-4o</t>
        </is>
      </c>
      <c r="C1688" t="inlineStr">
        <is>
          <t>INFO</t>
        </is>
      </c>
      <c r="D1688" t="inlineStr">
        <is>
          <t>vdh</t>
        </is>
      </c>
      <c r="E1688" t="inlineStr">
        <is>
          <t>pro17</t>
        </is>
      </c>
      <c r="F1688" t="inlineStr">
        <is>
          <t>prod</t>
        </is>
      </c>
    </row>
    <row r="1689">
      <c r="A1689" t="inlineStr">
        <is>
          <t>2025-05-09 09:43:07.686</t>
        </is>
      </c>
      <c r="B1689">
        <f>=请求结束== [请求耗时]:479毫秒, [返回数据]:{"code":"000000","msg":"Success","data":[{"knowledgeId":"1326868148286373888","knowledgeContent":[{"score":0.73562366,"content":"：2025年春节/过年/大年初一是1月29日，农历正月初一，星期三。","fileId":"1326944717968060416","chunkId":"paragraph-1"},{"score":0.7258524000000001,"content":"：广州影子科技的股价是多少？广州影子科技有限公司没有上市，因此没有股价信息。","fileId":"1326944717968060416","chunkId":"paragraph-5"},{"score":0.7230872225,"content":"：深圳数影科技的股价是多少？深圳数影科技有限公司没有上市，因此没有股价信息。 广西扬翔股份上市了吗？广西扬翔股份没有上市。","fileId":"1326944717968060416","chunkId":"paragraph-6"}]},{"knowledgeId":"1272948056214077440","knowledgeContent":[{"score":0.7316428974999999,"content":"问题：你什么时候在线。\\n回复：我二十四小时在线的。","fileId":"1303425377255075840","chunkId":"2676","textGroup":"你什么时候在线"},{"score":0.731217515,"content":"问题：你好。\\n回复：你好，有什么可以帮您。","fileId":"1303425377255075840","chunkId":"2699","textGroup":"你好"},{"score":0.7310611149999999,"content":"问题：你们公司的地址在哪。\\n回复：影子科技公司地址是在广州。","fileId":"1303425377255075840","chunkId":"640","textGroup":"公司在哪办公"},{"score":0.72976937,"content":"问题：不满。\\n回复：不满意的地方还请多多包涵。","fileId":"1303425377255075840","chunkId":"2671","textGroup":"不满"},{"score":0.72941322,"content":"问题：能否提供一些扬翔相关的信息。\\n回复：广西扬翔股份有限公司是一家从农场到餐桌的智能技术服务企业，聚焦产业互联网支撑的猪业料、养、宰、商一体全产业链，致力于为公众提供实在、便利、健康、安全的美食体验。","fileId":"1303425377255075840","chunkId":"369","textGroup":"介绍一下扬翔"},{"score":0.7291537575,"content":"问题：我想了解一下影子科技。\\n回复：广州影子科技有限公司，成立于2018年6月，致力于成为农牧食品产业互联网平台企业，利用基因科学、区块链、人工智能等技术，为农牧食品产业各环节提供智能解决方案与服务，驱动“农场到餐桌”产业链智能化转型升级，实现“让食品健康、安全、美味、便利”的愿景。","fileId":"1303425377255075840","chunkId":"765","textGroup":"影子科技是"}]},{"knowledgeId":"1272947938412855296","knowledgeContent":[{"score":0.7309427525,"content":"帮我查找最新的3道菜","fileId":"1275470180282040320","chunkId":"154","textGroup":"SELECT id, title FROM recipe_knowledge_nutrition WHERE publisher_time is not null ORDER BY publisher_time DESC LIMIT 3;"}]},{"knowledgeId":"1329399948694220800","knowledgeContent":[{"score":0.864641615,"content":"广州今天天气","fileId":"1329400169758941184","chunkId":"35","textGroup":"getCurrentWeather {province=广东省,city=广州市}"},{"score":0.75268503,"content":"番禺区今天天气","fileId":"1329400169758941184","chunkId":"39","textGroup":"getCurrentWeather {province=广东省,city=广州市,district=番禺区}"},{"score":0.7416629525,"content":"天河区今天天气","fileId":"1329400169758941184","chunkId":"37","textGroup":"getCurrentWeather {province=广东省,city=广州市,district=天河区}"},{"score":0.7416476525,"content":"深圳明天天气","fileId":"1329400169758941184","chunkId":"42","textGroup":"getCurrentWeather {province=广东省,city=深圳市}"},{"score":0.7415123325,"content":"宝安区今天天气","fileId":"1329400169758941184","chunkId":"44","textGroup":"getCurrentWeather {province=广东省,city=深圳市,district=宝安区}"},{"score":0.741335915,"content":"白云区今天天气","fileId":"1329400169758941184","chunkId":"40","textGroup":"getCurrentWeather {province=广东省,city=广州市,district=白云区}"},{"score":0.7410580075000001,"content":"南沙区今天天气","fileId":"1329400169758941184","chunkId":"38","textGroup":"getCurrentWeather {province=广东省,city=广州市,district=南沙区}"},{"score":0.7364706,"content":"罗湖区今天天气","fileId":"1329400169758941184","chunkId":"45","textGroup":"getCurrentWeather {province=广东省,city=深圳市,district=罗湖区}"},{"score":0.7355799275,"content":"播一下热点新闻","fileId":"1329400169758941184","chunkId":"82","textGroup":"news {type=top,size=3}"},{"score":0.73536441,"content":"请帮我继续微波","fileId":"1347217269055369216","chunkId":"256","textGroup":"cooking_control {type=continue}"},{"score":0.7353596075,"content":"南山区今天天气","fileId":"1329400169758941184","chunkId":"43","textGroup":"getCurrentWeather {province=广东省,city=深圳市,district=南山区}"},{"score":0.7351951325,"content":"港南区今天天气","fileId":"1329400169758941184","chunkId":"32","textGroup":"getCurrentWeather {province=广西壮族自治区,city=贵港市,district=港南区}"},{"score":0.7306795925,"content":"今天天气","fileId":"1329400169758941184","chunkId":"0","textGroup":"getCurrentWeather"},{"score":0.730427015,"content":"请暂时停止微波","fileId":"1347217269055369216","chunkId":"193","textGroup":"cooking_control {type=pause}"},{"score":0.7298501625,"content":"开启微波功能","fileId":"1347217269055369216","chunkId":"69","textGroup":"cooking_control {type=start}"},{"score":</f>
        <v/>
      </c>
      <c r="C1689" t="inlineStr">
        <is>
          <t>INFO</t>
        </is>
      </c>
      <c r="D1689" t="inlineStr">
        <is>
          <t>vdh</t>
        </is>
      </c>
      <c r="E1689" t="inlineStr">
        <is>
          <t>pro17</t>
        </is>
      </c>
      <c r="F1689" t="inlineStr">
        <is>
          <t>prod</t>
        </is>
      </c>
    </row>
    <row r="1690">
      <c r="A1690" t="inlineStr">
        <is>
          <t>2025-05-09 09:43:07.685</t>
        </is>
      </c>
      <c r="B1690" t="inlineStr">
        <is>
          <t>知识库插件检索耗时: 477ms</t>
        </is>
      </c>
      <c r="C1690" t="inlineStr">
        <is>
          <t>INFO</t>
        </is>
      </c>
      <c r="D1690" t="inlineStr">
        <is>
          <t>vdh</t>
        </is>
      </c>
      <c r="E1690" t="inlineStr">
        <is>
          <t>pro17</t>
        </is>
      </c>
      <c r="F1690" t="inlineStr">
        <is>
          <t>prod</t>
        </is>
      </c>
    </row>
    <row r="1691">
      <c r="A1691" t="inlineStr">
        <is>
          <t>2025-05-09 09:43:07.207</t>
        </is>
      </c>
      <c r="B1691">
        <f>=请求开始== [请求IP]:172.18.33.17 ,[请求方式]:POST， [请求URL]:https://172.30.103.196:8080/api/appservice/bfv/v1/knowledge/retrieval/plugin, [请求类名]:com.yingzi.appservice.bfv.provider.rest.KnowledgeRetrievalController,[请求方法名]:plugin, [请求头参数]:{"host":"172.30.103.196:8080"}, [请求参数]:[{"query":"欢迎乘坐广州地铁3号线","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691" t="inlineStr">
        <is>
          <t>INFO</t>
        </is>
      </c>
      <c r="D1691" t="inlineStr">
        <is>
          <t>vdh</t>
        </is>
      </c>
      <c r="E1691" t="inlineStr">
        <is>
          <t>pro17</t>
        </is>
      </c>
      <c r="F1691" t="inlineStr">
        <is>
          <t>prod</t>
        </is>
      </c>
    </row>
    <row r="1692">
      <c r="A1692" t="inlineStr">
        <is>
          <t>2025-05-09 09:43:07.193</t>
        </is>
      </c>
      <c r="B1692">
        <f>=请求开始== [请求IP]:172.18.114.98 ,[请求方式]:POST， [请求URL]:https://172.30.103.196:8080/api/appservice/bfv/v1/chat/, [请求类名]:com.yingzi.appservice.bfv.provider.rest.ChatV1Controller,[请求方法名]:chat, [请求头参数]:{"host":"172.30.103.196:8080"}, [请求参数]:[{"stream":true,"message":"欢迎乘坐广州地铁3号线","args":"{\"adcode\":\"440100\",\"channel_id\":\"9\"}"}]</f>
        <v/>
      </c>
      <c r="C1692" t="inlineStr">
        <is>
          <t>INFO</t>
        </is>
      </c>
      <c r="D1692" t="inlineStr">
        <is>
          <t>vdh</t>
        </is>
      </c>
      <c r="E1692" t="inlineStr">
        <is>
          <t>pro17</t>
        </is>
      </c>
      <c r="F1692" t="inlineStr">
        <is>
          <t>prod</t>
        </is>
      </c>
    </row>
    <row r="1693">
      <c r="A1693" t="inlineStr">
        <is>
          <t>2025-05-09 09:43:00.227</t>
        </is>
      </c>
      <c r="B1693">
        <f>=请求结束== [请求耗时]:14毫秒, [返回数据]:{"code":"000000","msg":"Success","traceId":"edacfebe0eac024f9b30e6ce67fdffea"}</f>
        <v/>
      </c>
      <c r="C1693" t="inlineStr">
        <is>
          <t>INFO</t>
        </is>
      </c>
      <c r="D1693" t="inlineStr">
        <is>
          <t>vdh</t>
        </is>
      </c>
      <c r="E1693" t="inlineStr">
        <is>
          <t>pro14</t>
        </is>
      </c>
      <c r="F1693" t="inlineStr">
        <is>
          <t>prod</t>
        </is>
      </c>
    </row>
    <row r="1694">
      <c r="A1694" t="inlineStr">
        <is>
          <t>2025-05-09 09:43:00.213</t>
        </is>
      </c>
      <c r="B1694">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instructionAsrFirstTime":{"year":2025,"monthValue":5,"month":"MAY","dayOfMonth":9,"dayOfYear":129,"dayOfWeek":"FRIDAY","hour":9,"minute":42,"second":58,"nano":0,"chronology":{"id":"ISO","calendarType":"iso8601"}},"knowledgeId":"","knowledgeMasterId":"","instructionType":"","instructionName":"","instructionFlag":"","parameter":"{}","ttsResultSource":"","ttsResult":"","response":0}]]</f>
        <v/>
      </c>
      <c r="C1694" t="inlineStr">
        <is>
          <t>INFO</t>
        </is>
      </c>
      <c r="D1694" t="inlineStr">
        <is>
          <t>vdh</t>
        </is>
      </c>
      <c r="E1694" t="inlineStr">
        <is>
          <t>pro14</t>
        </is>
      </c>
      <c r="F1694" t="inlineStr">
        <is>
          <t>prod</t>
        </is>
      </c>
    </row>
    <row r="1695">
      <c r="A1695" t="inlineStr">
        <is>
          <t>2025-05-09 09:42:56.493</t>
        </is>
      </c>
      <c r="B1695">
        <f>=请求结束== [请求耗时]:14毫秒, [返回数据]:{"code":"000000","msg":"Success","traceId":"081aedef6da60c7aea2ce667fa98a949"}</f>
        <v/>
      </c>
      <c r="C1695" t="inlineStr">
        <is>
          <t>INFO</t>
        </is>
      </c>
      <c r="D1695" t="inlineStr">
        <is>
          <t>vdh</t>
        </is>
      </c>
      <c r="E1695" t="inlineStr">
        <is>
          <t>pro17</t>
        </is>
      </c>
      <c r="F1695" t="inlineStr">
        <is>
          <t>prod</t>
        </is>
      </c>
    </row>
    <row r="1696">
      <c r="A1696" t="inlineStr">
        <is>
          <t>2025-05-09 09:42:56.479</t>
        </is>
      </c>
      <c r="B1696">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打地铁","instructionAsrFirstTime":{"year":2025,"monthValue":5,"month":"MAY","dayOfMonth":9,"dayOfYear":129,"dayOfWeek":"FRIDAY","hour":9,"minute":42,"second":40,"nano":0,"chronology":{"id":"ISO","calendarType":"iso8601"}},"knowledgeId":"","knowledgeMasterId":"","instructionType":"","instructionName":"","instructionFlag":"","parameter":"{\"nlpId\":\"17300825629321642727spln\",\"service\":\"Chat_library\"}","ttsResultSource":"FTT","ttsResult":"微波炉在使用时是不需要接地线的哦。如果你对微波炉的任何功能或操作有疑问,欢迎随时询问。","ttsResultTime":{"year":2025,"monthValue":5,"month":"MAY","dayOfMonth":9,"dayOfYear":129,"dayOfWeek":"FRIDAY","hour":9,"minute":42,"second":45,"nano":0,"chronology":{"id":"ISO","calendarType":"iso8601"}},"response":3551}]]</f>
        <v/>
      </c>
      <c r="C1696" t="inlineStr">
        <is>
          <t>INFO</t>
        </is>
      </c>
      <c r="D1696" t="inlineStr">
        <is>
          <t>vdh</t>
        </is>
      </c>
      <c r="E1696" t="inlineStr">
        <is>
          <t>pro17</t>
        </is>
      </c>
      <c r="F1696" t="inlineStr">
        <is>
          <t>prod</t>
        </is>
      </c>
    </row>
    <row r="1697">
      <c r="A1697" t="inlineStr">
        <is>
          <t>2025-05-09 09:42:43.681</t>
        </is>
      </c>
      <c r="B1697">
        <f>=请求结束== [请求耗时]:1751毫秒</f>
        <v/>
      </c>
      <c r="C1697" t="inlineStr">
        <is>
          <t>INFO</t>
        </is>
      </c>
      <c r="D1697" t="inlineStr">
        <is>
          <t>vdh</t>
        </is>
      </c>
      <c r="E1697" t="inlineStr">
        <is>
          <t>pro14</t>
        </is>
      </c>
      <c r="F1697" t="inlineStr">
        <is>
          <t>prod</t>
        </is>
      </c>
    </row>
    <row r="1698">
      <c r="A1698" t="inlineStr">
        <is>
          <t>2025-05-09 09:42:43.680</t>
        </is>
      </c>
      <c r="B1698" t="inlineStr">
        <is>
          <t>第1次流式调用完成，耗时：1390ms，response: Response { content = AiMessage { text = "微波炉在使用时是不需要接地线的哦。如果你对微波炉的任何功能或操作有疑问，欢迎随时询问。" toolExecutionRequests = null }, tokenUsage = TokenUsage { inputTokenCount = 3903, outputTokenCount = 50, totalTokenCount = 3953 }, finishReason = STOP }</t>
        </is>
      </c>
      <c r="C1698" t="inlineStr">
        <is>
          <t>INFO</t>
        </is>
      </c>
      <c r="D1698" t="inlineStr">
        <is>
          <t>vdh</t>
        </is>
      </c>
      <c r="E1698" t="inlineStr">
        <is>
          <t>pro14</t>
        </is>
      </c>
      <c r="F1698" t="inlineStr">
        <is>
          <t>prod</t>
        </is>
      </c>
    </row>
    <row r="1699">
      <c r="A1699" t="inlineStr">
        <is>
          <t>2025-05-09 09:42:43.180</t>
        </is>
      </c>
      <c r="B1699" t="inlineStr">
        <is>
          <t xml:space="preserve">第1次流式调用开始回复，耗时：890ms，第一个token: </t>
        </is>
      </c>
      <c r="C1699" t="inlineStr">
        <is>
          <t>INFO</t>
        </is>
      </c>
      <c r="D1699" t="inlineStr">
        <is>
          <t>vdh</t>
        </is>
      </c>
      <c r="E1699" t="inlineStr">
        <is>
          <t>pro14</t>
        </is>
      </c>
      <c r="F1699" t="inlineStr">
        <is>
          <t>prod</t>
        </is>
      </c>
    </row>
    <row r="1700">
      <c r="A1700" t="inlineStr">
        <is>
          <t>2025-05-09 09:42:42.290</t>
        </is>
      </c>
      <c r="B1700" t="inlineStr">
        <is>
          <t>streaming provider=gpt, model: gpt-4o</t>
        </is>
      </c>
      <c r="C1700" t="inlineStr">
        <is>
          <t>INFO</t>
        </is>
      </c>
      <c r="D1700" t="inlineStr">
        <is>
          <t>vdh</t>
        </is>
      </c>
      <c r="E1700" t="inlineStr">
        <is>
          <t>pro14</t>
        </is>
      </c>
      <c r="F1700" t="inlineStr">
        <is>
          <t>prod</t>
        </is>
      </c>
    </row>
    <row r="1701">
      <c r="A1701" t="inlineStr">
        <is>
          <t>2025-05-09 09:42:42.285</t>
        </is>
      </c>
      <c r="B1701">
        <f>=请求结束== [请求耗时]:343毫秒, [返回数据]:{"code":"000000","msg":"Success","data":[{"knowledgeId":"1326868148286373888","knowledgeContent":[{"score":0.714104295,"content":"：2025年春节/过年/大年初一是1月29日，农历正月初一，星期三。","fileId":"1326944717968060416","chunkId":"paragraph-1"},{"score":0.702193925,"content":"：深圳数影科技的股价是多少？深圳数影科技有限公司没有上市，因此没有股价信息。 广西扬翔股份上市了吗？广西扬翔股份没有上市。","fileId":"1326944717968060416","chunkId":"paragraph-6"},{"score":0.7011550975,"content":"：广州影子科技的股价是多少？广州影子科技有限公司没有上市，因此没有股价信息。","fileId":"1326944717968060416","chunkId":"paragraph-5"}]},{"knowledgeId":"1329399948694220800","knowledgeContent":[{"score":0.73958653,"content":"微波开启","fileId":"1347217269055369216","chunkId":"103","textGroup":"cooking_control {type=start}"},{"score":0.737794475,"content":"微波暂停","fileId":"1347217269055369216","chunkId":"164","textGroup":"cooking_control {type=pause}"},{"score":0.733503335,"content":"微波取消","fileId":"1347217269055369216","chunkId":"340","textGroup":"cooking_control {type=stop}"},{"score":0.7315015425,"content":"请帮我继续微波","fileId":"1347217269055369216","chunkId":"256","textGroup":"cooking_control {type=continue}"}]},{"knowledgeId":"1272948056214077440","knowledgeContent":[{"score":0.74158471,"content":"问题：请问使用微波炉时是否需要接地。\\n回复：微波是不需要接地线的哦","fileId":"1303425377255075840","chunkId":"2269","textGroup":"微波炉需要接地线吗"}]}]}</f>
        <v/>
      </c>
      <c r="C1701" t="inlineStr">
        <is>
          <t>INFO</t>
        </is>
      </c>
      <c r="D1701" t="inlineStr">
        <is>
          <t>vdh</t>
        </is>
      </c>
      <c r="E1701" t="inlineStr">
        <is>
          <t>pro14</t>
        </is>
      </c>
      <c r="F1701" t="inlineStr">
        <is>
          <t>prod</t>
        </is>
      </c>
    </row>
    <row r="1702">
      <c r="A1702" t="inlineStr">
        <is>
          <t>2025-05-09 09:42:42.284</t>
        </is>
      </c>
      <c r="B1702" t="inlineStr">
        <is>
          <t>知识库插件检索耗时: 340ms</t>
        </is>
      </c>
      <c r="C1702" t="inlineStr">
        <is>
          <t>INFO</t>
        </is>
      </c>
      <c r="D1702" t="inlineStr">
        <is>
          <t>vdh</t>
        </is>
      </c>
      <c r="E1702" t="inlineStr">
        <is>
          <t>pro14</t>
        </is>
      </c>
      <c r="F1702" t="inlineStr">
        <is>
          <t>prod</t>
        </is>
      </c>
    </row>
    <row r="1703">
      <c r="A1703" t="inlineStr">
        <is>
          <t>2025-05-09 09:42:41.942</t>
        </is>
      </c>
      <c r="B1703">
        <f>=请求开始== [请求IP]:172.18.33.14 ,[请求方式]:POST， [请求URL]:https://172.30.212.148:8080/api/appservice/bfv/v1/knowledge/retrieval/plugin, [请求类名]:com.yingzi.appservice.bfv.provider.rest.KnowledgeRetrievalController,[请求方法名]:plugin, [请求头参数]:{"host":"172.30.212.148:8080"}, [请求参数]:[{"query":"打地铁","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703" t="inlineStr">
        <is>
          <t>INFO</t>
        </is>
      </c>
      <c r="D1703" t="inlineStr">
        <is>
          <t>vdh</t>
        </is>
      </c>
      <c r="E1703" t="inlineStr">
        <is>
          <t>pro14</t>
        </is>
      </c>
      <c r="F1703" t="inlineStr">
        <is>
          <t>prod</t>
        </is>
      </c>
    </row>
    <row r="1704">
      <c r="A1704" t="inlineStr">
        <is>
          <t>2025-05-09 09:42:41.930</t>
        </is>
      </c>
      <c r="B1704">
        <f>=请求开始== [请求IP]:172.18.114.98 ,[请求方式]:POST， [请求URL]:https://172.30.212.148:8080/api/appservice/bfv/v1/chat/, [请求类名]:com.yingzi.appservice.bfv.provider.rest.ChatV1Controller,[请求方法名]:chat, [请求头参数]:{"host":"172.30.212.148:8080"}, [请求参数]:[{"stream":true,"message":"打地铁","args":"{\"adcode\":\"440100\",\"channel_id\":\"9\"}"}]</f>
        <v/>
      </c>
      <c r="C1704" t="inlineStr">
        <is>
          <t>INFO</t>
        </is>
      </c>
      <c r="D1704" t="inlineStr">
        <is>
          <t>vdh</t>
        </is>
      </c>
      <c r="E1704" t="inlineStr">
        <is>
          <t>pro14</t>
        </is>
      </c>
      <c r="F1704" t="inlineStr">
        <is>
          <t>prod</t>
        </is>
      </c>
    </row>
    <row r="1705">
      <c r="A1705" t="inlineStr">
        <is>
          <t>2025-05-09 09:42:35.965</t>
        </is>
      </c>
      <c r="B1705">
        <f>=请求结束== [请求耗时]:14毫秒, [返回数据]:{"code":"000000","msg":"Success","traceId":"169ac58ebb7f5dca717981fd2db3beb1"}</f>
        <v/>
      </c>
      <c r="C1705" t="inlineStr">
        <is>
          <t>INFO</t>
        </is>
      </c>
      <c r="D1705" t="inlineStr">
        <is>
          <t>vdh</t>
        </is>
      </c>
      <c r="E1705" t="inlineStr">
        <is>
          <t>pro17</t>
        </is>
      </c>
      <c r="F1705" t="inlineStr">
        <is>
          <t>prod</t>
        </is>
      </c>
    </row>
    <row r="1706">
      <c r="A1706" t="inlineStr">
        <is>
          <t>2025-05-09 09:42:35.951</t>
        </is>
      </c>
      <c r="B1706">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关闭灯光","instructionAsrFirstTime":{"year":2025,"monthValue":5,"month":"MAY","dayOfMonth":9,"dayOfYear":129,"dayOfWeek":"FRIDAY","hour":9,"minute":42,"second":28,"nano":0,"chronology":{"id":"ISO","calendarType":"iso8601"}},"knowledgeId":"","knowledgeMasterId":"","instructionType":"","instructionName":"","instructionFlag":"","parameter":"{\"nlpId\":\"17300825629321642727spln\",\"service\":\"Chat_library\"}","ttsResultSource":"FTT","ttsResult":"万得厨微波炉暂时没有灯光控制功能,请您手动操作关闭灯光。","ttsResultTime":{"year":2025,"monthValue":5,"month":"MAY","dayOfMonth":9,"dayOfYear":129,"dayOfWeek":"FRIDAY","hour":9,"minute":42,"second":33,"nano":0,"chronology":{"id":"ISO","calendarType":"iso8601"}},"response":3467}]]</f>
        <v/>
      </c>
      <c r="C1706" t="inlineStr">
        <is>
          <t>INFO</t>
        </is>
      </c>
      <c r="D1706" t="inlineStr">
        <is>
          <t>vdh</t>
        </is>
      </c>
      <c r="E1706" t="inlineStr">
        <is>
          <t>pro17</t>
        </is>
      </c>
      <c r="F1706" t="inlineStr">
        <is>
          <t>prod</t>
        </is>
      </c>
    </row>
    <row r="1707">
      <c r="A1707" t="inlineStr">
        <is>
          <t>2025-05-09 09:42:31.335</t>
        </is>
      </c>
      <c r="B1707">
        <f>=请求结束== [请求耗时]:1496毫秒</f>
        <v/>
      </c>
      <c r="C1707" t="inlineStr">
        <is>
          <t>INFO</t>
        </is>
      </c>
      <c r="D1707" t="inlineStr">
        <is>
          <t>vdh</t>
        </is>
      </c>
      <c r="E1707" t="inlineStr">
        <is>
          <t>pro17</t>
        </is>
      </c>
      <c r="F1707" t="inlineStr">
        <is>
          <t>prod</t>
        </is>
      </c>
    </row>
    <row r="1708">
      <c r="A1708" t="inlineStr">
        <is>
          <t>2025-05-09 09:42:31.334</t>
        </is>
      </c>
      <c r="B1708" t="inlineStr">
        <is>
          <t>第1次流式调用完成，耗时：1096ms，response: Response { content = AiMessage { text = "万得厨微波炉暂时没有灯光控制功能，请您手动操作关闭灯光。" toolExecutionRequests = null }, tokenUsage = TokenUsage { inputTokenCount = 4299, outputTokenCount = 33, totalTokenCount = 4332 }, finishReason = STOP }</t>
        </is>
      </c>
      <c r="C1708" t="inlineStr">
        <is>
          <t>INFO</t>
        </is>
      </c>
      <c r="D1708" t="inlineStr">
        <is>
          <t>vdh</t>
        </is>
      </c>
      <c r="E1708" t="inlineStr">
        <is>
          <t>pro17</t>
        </is>
      </c>
      <c r="F1708" t="inlineStr">
        <is>
          <t>prod</t>
        </is>
      </c>
    </row>
    <row r="1709">
      <c r="A1709" t="inlineStr">
        <is>
          <t>2025-05-09 09:42:31.069</t>
        </is>
      </c>
      <c r="B1709" t="inlineStr">
        <is>
          <t xml:space="preserve">第1次流式调用开始回复，耗时：831ms，第一个token: </t>
        </is>
      </c>
      <c r="C1709" t="inlineStr">
        <is>
          <t>INFO</t>
        </is>
      </c>
      <c r="D1709" t="inlineStr">
        <is>
          <t>vdh</t>
        </is>
      </c>
      <c r="E1709" t="inlineStr">
        <is>
          <t>pro17</t>
        </is>
      </c>
      <c r="F1709" t="inlineStr">
        <is>
          <t>prod</t>
        </is>
      </c>
    </row>
    <row r="1710">
      <c r="A1710" t="inlineStr">
        <is>
          <t>2025-05-09 09:42:30.238</t>
        </is>
      </c>
      <c r="B1710" t="inlineStr">
        <is>
          <t>streaming provider=gpt, model: gpt-4o</t>
        </is>
      </c>
      <c r="C1710" t="inlineStr">
        <is>
          <t>INFO</t>
        </is>
      </c>
      <c r="D1710" t="inlineStr">
        <is>
          <t>vdh</t>
        </is>
      </c>
      <c r="E1710" t="inlineStr">
        <is>
          <t>pro17</t>
        </is>
      </c>
      <c r="F1710" t="inlineStr">
        <is>
          <t>prod</t>
        </is>
      </c>
    </row>
    <row r="1711">
      <c r="A1711" t="inlineStr">
        <is>
          <t>2025-05-09 09:42:30.234</t>
        </is>
      </c>
      <c r="B1711">
        <f>=请求结束== [请求耗时]:385毫秒, [返回数据]:{"code":"000000","msg":"Success","data":[{"knowledgeId":"1326868148286373888","knowledgeContent":[{"score":0.7356866875,"content":"：2025年春节/过年/大年初一是1月29日，农历正月初一，星期三。","fileId":"1326944717968060416","chunkId":"paragraph-1"},{"score":0.71890688,"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国庆节、中秋节：10月1日至8日（周三至周三）放假，共8天。9月28日（周日）、10月11日（周六）上班。","fileId":"1326944717968060416","chunkId":"paragraph-2"},{"score":0.7169757225,"content":"：2025年放假调休日期的具体安排如下： 2025年元旦：1月1日，周三，放假1天，不调休。 2025年除夕/大年夜是1月28日，农历十二月二十九，星期二。","fileId":"1326944717968060416","chunkId":"paragraph-0"}]},{"knowledgeId":"1329399948694220800","knowledgeContent":[{"score":0.8883975424999999,"content":"关闭烹饪","fileId":"1347217269055369216","chunkId":"330","textGroup":"cooking_control {type=stop}"},{"score":0.782405025,"content":"暂停微波过程","fileId":"1347217269055369216","chunkId":"170","textGroup":"cooking_control {type=pause}"}]},{"knowledgeId":"1272948056214077440","knowledgeContent":[{"score":0.7560261675000001,"content":"问题：晚安。\\n回复：晚安。","fileId":"1303425377255075840","chunkId":"2766","textGroup":"晚安"},{"score":0.748537965,"content":"问题：元宵节休息吗。\\n回复：元宵节不放假。","fileId":"1326953484684320768","chunkId":"7","textGroup":"元宵节放假"},{"score":0.7482457775,"content":"问题：没放东西可以启动微波炉吗。\\n回复：微波炉是严禁空载使用的哦，会损坏微波炉的","fileId":"1303425377255075840","chunkId":"1931","textGroup":"微波炉可以空载运行吗"},{"score":0.74620786,"content":"问题：万得出内部出现火光是什么原因。\\n回复：您可以检查一下是否放入了金属容器，金属器件使用微波加热会出现火花现象，如检查后未能解决请联系维修人员进行维修。","fileId":"1303425377255075840","chunkId":"1762","textGroup":"微波炉内部出现火花是什么原因"},{"score":0.745849925,"content":"问题：早上好。\\n回复：早上好，美好的一天又开始了。","fileId":"1303425377255075840","chunkId":"2764","textGroup":"早上好"}]}]}</f>
        <v/>
      </c>
      <c r="C1711" t="inlineStr">
        <is>
          <t>INFO</t>
        </is>
      </c>
      <c r="D1711" t="inlineStr">
        <is>
          <t>vdh</t>
        </is>
      </c>
      <c r="E1711" t="inlineStr">
        <is>
          <t>pro14</t>
        </is>
      </c>
      <c r="F1711" t="inlineStr">
        <is>
          <t>prod</t>
        </is>
      </c>
    </row>
    <row r="1712">
      <c r="A1712" t="inlineStr">
        <is>
          <t>2025-05-09 09:42:30.233</t>
        </is>
      </c>
      <c r="B1712" t="inlineStr">
        <is>
          <t>知识库插件检索耗时: 383ms</t>
        </is>
      </c>
      <c r="C1712" t="inlineStr">
        <is>
          <t>INFO</t>
        </is>
      </c>
      <c r="D1712" t="inlineStr">
        <is>
          <t>vdh</t>
        </is>
      </c>
      <c r="E1712" t="inlineStr">
        <is>
          <t>pro14</t>
        </is>
      </c>
      <c r="F1712" t="inlineStr">
        <is>
          <t>prod</t>
        </is>
      </c>
    </row>
    <row r="1713">
      <c r="A1713" t="inlineStr">
        <is>
          <t>2025-05-09 09:42:29.849</t>
        </is>
      </c>
      <c r="B1713">
        <f>=请求开始== [请求IP]:172.18.33.17 ,[请求方式]:POST， [请求URL]:https://172.30.212.148:8080/api/appservice/bfv/v1/knowledge/retrieval/plugin, [请求类名]:com.yingzi.appservice.bfv.provider.rest.KnowledgeRetrievalController,[请求方法名]:plugin, [请求头参数]:{"host":"172.30.212.148:8080"}, [请求参数]:[{"query":"关闭灯光","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713" t="inlineStr">
        <is>
          <t>INFO</t>
        </is>
      </c>
      <c r="D1713" t="inlineStr">
        <is>
          <t>vdh</t>
        </is>
      </c>
      <c r="E1713" t="inlineStr">
        <is>
          <t>pro14</t>
        </is>
      </c>
      <c r="F1713" t="inlineStr">
        <is>
          <t>prod</t>
        </is>
      </c>
    </row>
    <row r="1714">
      <c r="A1714" t="inlineStr">
        <is>
          <t>2025-05-09 09:42:29.839</t>
        </is>
      </c>
      <c r="B1714">
        <f>=请求开始== [请求IP]:172.18.114.116 ,[请求方式]:POST， [请求URL]:https://172.30.103.196:8080/api/appservice/bfv/v1/chat/, [请求类名]:com.yingzi.appservice.bfv.provider.rest.ChatV1Controller,[请求方法名]:chat, [请求头参数]:{"host":"172.30.103.196:8080"}, [请求参数]:[{"stream":true,"message":"关闭灯光","args":"{\"adcode\":\"440100\",\"channel_id\":\"9\"}"}]</f>
        <v/>
      </c>
      <c r="C1714" t="inlineStr">
        <is>
          <t>INFO</t>
        </is>
      </c>
      <c r="D1714" t="inlineStr">
        <is>
          <t>vdh</t>
        </is>
      </c>
      <c r="E1714" t="inlineStr">
        <is>
          <t>pro17</t>
        </is>
      </c>
      <c r="F1714" t="inlineStr">
        <is>
          <t>prod</t>
        </is>
      </c>
    </row>
    <row r="1715">
      <c r="A1715" t="inlineStr">
        <is>
          <t>2025-05-09 09:42:27.455</t>
        </is>
      </c>
      <c r="B1715">
        <f>=请求结束== [请求耗时]:16毫秒, [返回数据]:{"code":"000000","msg":"Success","traceId":"31c462db59e6cabaf02c53a1ab79e27f"}</f>
        <v/>
      </c>
      <c r="C1715" t="inlineStr">
        <is>
          <t>INFO</t>
        </is>
      </c>
      <c r="D1715" t="inlineStr">
        <is>
          <t>vdh</t>
        </is>
      </c>
      <c r="E1715" t="inlineStr">
        <is>
          <t>pro17</t>
        </is>
      </c>
      <c r="F1715" t="inlineStr">
        <is>
          <t>prod</t>
        </is>
      </c>
    </row>
    <row r="1716">
      <c r="A1716" t="inlineStr">
        <is>
          <t>2025-05-09 09:42:27.439</t>
        </is>
      </c>
      <c r="B1716">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instructionAsrFirstTime":{"year":2025,"monthValue":5,"month":"MAY","dayOfMonth":9,"dayOfYear":129,"dayOfWeek":"FRIDAY","hour":9,"minute":42,"second":24,"nano":0,"chronology":{"id":"ISO","calendarType":"iso8601"}},"knowledgeId":"","knowledgeMasterId":"","instructionType":"","instructionName":"","instructionFlag":"","parameter":"{}","ttsResultSource":"","ttsResult":"","response":0}]]</f>
        <v/>
      </c>
      <c r="C1716" t="inlineStr">
        <is>
          <t>INFO</t>
        </is>
      </c>
      <c r="D1716" t="inlineStr">
        <is>
          <t>vdh</t>
        </is>
      </c>
      <c r="E1716" t="inlineStr">
        <is>
          <t>pro17</t>
        </is>
      </c>
      <c r="F1716" t="inlineStr">
        <is>
          <t>prod</t>
        </is>
      </c>
    </row>
    <row r="1717">
      <c r="A1717" t="inlineStr">
        <is>
          <t>2025-05-09 09:42:21.498</t>
        </is>
      </c>
      <c r="B1717">
        <f>=请求结束== [请求耗时]:15毫秒, [返回数据]:{"code":"000000","msg":"Success","traceId":"0e6cb3c14862b9bf1e4dcdb7e1f0dc6e"}</f>
        <v/>
      </c>
      <c r="C1717" t="inlineStr">
        <is>
          <t>INFO</t>
        </is>
      </c>
      <c r="D1717" t="inlineStr">
        <is>
          <t>vdh</t>
        </is>
      </c>
      <c r="E1717" t="inlineStr">
        <is>
          <t>pro14</t>
        </is>
      </c>
      <c r="F1717" t="inlineStr">
        <is>
          <t>prod</t>
        </is>
      </c>
    </row>
    <row r="1718">
      <c r="A1718" t="inlineStr">
        <is>
          <t>2025-05-09 09:42:21.483</t>
        </is>
      </c>
      <c r="B1718">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718" t="inlineStr">
        <is>
          <t>INFO</t>
        </is>
      </c>
      <c r="D1718" t="inlineStr">
        <is>
          <t>vdh</t>
        </is>
      </c>
      <c r="E1718" t="inlineStr">
        <is>
          <t>pro14</t>
        </is>
      </c>
      <c r="F1718" t="inlineStr">
        <is>
          <t>prod</t>
        </is>
      </c>
    </row>
    <row r="1719">
      <c r="A1719" t="inlineStr">
        <is>
          <t>2025-05-09 09:42:18.168</t>
        </is>
      </c>
      <c r="B1719">
        <f>=请求结束== [请求耗时]:14毫秒, [返回数据]:{"code":"000000","msg":"Success","traceId":"f0689066d65fdc9453da6b0bce87324b"}</f>
        <v/>
      </c>
      <c r="C1719" t="inlineStr">
        <is>
          <t>INFO</t>
        </is>
      </c>
      <c r="D1719" t="inlineStr">
        <is>
          <t>vdh</t>
        </is>
      </c>
      <c r="E1719" t="inlineStr">
        <is>
          <t>pro17</t>
        </is>
      </c>
      <c r="F1719" t="inlineStr">
        <is>
          <t>prod</t>
        </is>
      </c>
    </row>
    <row r="1720">
      <c r="A1720" t="inlineStr">
        <is>
          <t>2025-05-09 09:42:18.154</t>
        </is>
      </c>
      <c r="B1720">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instructionAsrFirstTime":{"year":2025,"monthValue":5,"month":"MAY","dayOfMonth":9,"dayOfYear":129,"dayOfWeek":"FRIDAY","hour":9,"minute":42,"second":12,"nano":0,"chronology":{"id":"ISO","calendarType":"iso8601"}},"knowledgeId":"","knowledgeMasterId":"","instructionType":"","instructionName":"","instructionFlag":"","parameter":"{}","ttsResultSource":"","ttsResult":"","response":0}]]</f>
        <v/>
      </c>
      <c r="C1720" t="inlineStr">
        <is>
          <t>INFO</t>
        </is>
      </c>
      <c r="D1720" t="inlineStr">
        <is>
          <t>vdh</t>
        </is>
      </c>
      <c r="E1720" t="inlineStr">
        <is>
          <t>pro17</t>
        </is>
      </c>
      <c r="F1720" t="inlineStr">
        <is>
          <t>prod</t>
        </is>
      </c>
    </row>
    <row r="1721">
      <c r="A1721" t="inlineStr">
        <is>
          <t>2025-05-09 09:42:10.173</t>
        </is>
      </c>
      <c r="B1721">
        <f>=请求结束== [请求耗时]:14毫秒, [返回数据]:{"code":"000000","msg":"Success","traceId":"009af7c591b447089f282969d1304812"}</f>
        <v/>
      </c>
      <c r="C1721" t="inlineStr">
        <is>
          <t>INFO</t>
        </is>
      </c>
      <c r="D1721" t="inlineStr">
        <is>
          <t>vdh</t>
        </is>
      </c>
      <c r="E1721" t="inlineStr">
        <is>
          <t>pro14</t>
        </is>
      </c>
      <c r="F1721" t="inlineStr">
        <is>
          <t>prod</t>
        </is>
      </c>
    </row>
    <row r="1722">
      <c r="A1722" t="inlineStr">
        <is>
          <t>2025-05-09 09:42:10.159</t>
        </is>
      </c>
      <c r="B1722">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我要搭地铁3号线","instructionAsrFirstTime":{"year":2025,"monthValue":5,"month":"MAY","dayOfMonth":9,"dayOfYear":129,"dayOfWeek":"FRIDAY","hour":9,"minute":41,"second":59,"nano":0,"chronology":{"id":"ISO","calendarType":"iso8601"}},"knowledgeId":"","knowledgeMasterId":"","instructionType":"","instructionName":"","instructionFlag":"","parameter":"{}","ttsResultSource":"FTT","ttsResult":"","response":0}]]</f>
        <v/>
      </c>
      <c r="C1722" t="inlineStr">
        <is>
          <t>INFO</t>
        </is>
      </c>
      <c r="D1722" t="inlineStr">
        <is>
          <t>vdh</t>
        </is>
      </c>
      <c r="E1722" t="inlineStr">
        <is>
          <t>pro14</t>
        </is>
      </c>
      <c r="F1722" t="inlineStr">
        <is>
          <t>prod</t>
        </is>
      </c>
    </row>
    <row r="1723">
      <c r="A1723" t="inlineStr">
        <is>
          <t>2025-05-09 09:42:06.680</t>
        </is>
      </c>
      <c r="B1723">
        <f>=请求结束== [请求耗时]:2714毫秒</f>
        <v/>
      </c>
      <c r="C1723" t="inlineStr">
        <is>
          <t>INFO</t>
        </is>
      </c>
      <c r="D1723" t="inlineStr">
        <is>
          <t>vdh</t>
        </is>
      </c>
      <c r="E1723" t="inlineStr">
        <is>
          <t>pro14</t>
        </is>
      </c>
      <c r="F1723" t="inlineStr">
        <is>
          <t>prod</t>
        </is>
      </c>
    </row>
    <row r="1724">
      <c r="A1724" t="inlineStr">
        <is>
          <t>2025-05-09 09:42:06.679</t>
        </is>
      </c>
      <c r="B1724" t="inlineStr">
        <is>
          <t>第1次流式调用完成，耗时：2156ms，response: Response { content = AiMessage { text = "您是想了解地铁3号线的相关信息吗？我可以帮助您搜索相关信息。请稍等。" toolExecutionRequests = null }, tokenUsage = TokenUsage { inputTokenCount = 4400, outputTokenCount = 33, totalTokenCount = 4433 }, finishReason = TOOL_EXECUTION }</t>
        </is>
      </c>
      <c r="C1724" t="inlineStr">
        <is>
          <t>INFO</t>
        </is>
      </c>
      <c r="D1724" t="inlineStr">
        <is>
          <t>vdh</t>
        </is>
      </c>
      <c r="E1724" t="inlineStr">
        <is>
          <t>pro14</t>
        </is>
      </c>
      <c r="F1724" t="inlineStr">
        <is>
          <t>prod</t>
        </is>
      </c>
    </row>
    <row r="1725">
      <c r="A1725" t="inlineStr">
        <is>
          <t>2025-05-09 09:42:05.768</t>
        </is>
      </c>
      <c r="B1725" t="inlineStr">
        <is>
          <t xml:space="preserve">第1次流式调用开始回复，耗时：1245ms，第一个token: </t>
        </is>
      </c>
      <c r="C1725" t="inlineStr">
        <is>
          <t>INFO</t>
        </is>
      </c>
      <c r="D1725" t="inlineStr">
        <is>
          <t>vdh</t>
        </is>
      </c>
      <c r="E1725" t="inlineStr">
        <is>
          <t>pro14</t>
        </is>
      </c>
      <c r="F1725" t="inlineStr">
        <is>
          <t>prod</t>
        </is>
      </c>
    </row>
    <row r="1726">
      <c r="A1726" t="inlineStr">
        <is>
          <t>2025-05-09 09:42:04.523</t>
        </is>
      </c>
      <c r="B1726" t="inlineStr">
        <is>
          <t>streaming provider=gpt, model: gpt-4o</t>
        </is>
      </c>
      <c r="C1726" t="inlineStr">
        <is>
          <t>INFO</t>
        </is>
      </c>
      <c r="D1726" t="inlineStr">
        <is>
          <t>vdh</t>
        </is>
      </c>
      <c r="E1726" t="inlineStr">
        <is>
          <t>pro14</t>
        </is>
      </c>
      <c r="F1726" t="inlineStr">
        <is>
          <t>prod</t>
        </is>
      </c>
    </row>
    <row r="1727">
      <c r="A1727" t="inlineStr">
        <is>
          <t>2025-05-09 09:42:04.515</t>
        </is>
      </c>
      <c r="B1727">
        <f>=请求结束== [请求耗时]:526毫秒, [返回数据]:{"code":"000000","msg":"Success","data":[{"knowledgeId":"1326868148286373888","knowledgeContent":[{"score":0.737513635,"content":"：2025年春节/过年/大年初一是1月29日，农历正月初一，星期三。","fileId":"1326944717968060416","chunkId":"paragraph-1"},{"score":0.7084055549999999,"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score":0.707671325,"content":"：深圳数影科技的股价是多少？深圳数影科技有限公司没有上市，因此没有股价信息。 广西扬翔股份上市了吗？广西扬翔股份没有上市。","fileId":"1326944717968060416","chunkId":"paragraph-6"}]},{"knowledgeId":"1272947938412855296","knowledgeContent":[{"score":0.7332984425,"content":"帮我查找最新的3道菜","fileId":"1275470180282040320","chunkId":"154","textGroup":"SELECT id, title FROM recipe_knowledge_nutrition WHERE publisher_time is not null ORDER BY publisher_time DESC LIMIT 3;"}]},{"knowledgeId":"1329399948694220800","knowledgeContent":[{"score":0.7485875625,"content":"请帮我继续微波","fileId":"1347217269055369216","chunkId":"256","textGroup":"cooking_control {type=continue}"},{"score":0.7475418075,"content":"我想微波暂停","fileId":"1347217269055369216","chunkId":"195","textGroup":"cooking_control {type=pause}"},{"score":0.7398940175,"content":"请帮我终止微波","fileId":"1347217269055369216","chunkId":"328","textGroup":"cooking_control {type=stop}"},{"score":0.7351454075,"content":"我想了解下新闻热点","fileId":"1329400169758941184","chunkId":"64","textGroup":"news {type=top,size=3}"},{"score":0.7340452525,"content":"启动微波功能","fileId":"1347217269055369216","chunkId":"64","textGroup":"cooking_control {type=start}"},{"score":0.10914368400000003,"content":"我要烹[菜品名称]","fileId":"1347217269055369216","chunkId":"34","textGroup":"set_foodtype_taste"}]},{"knowledgeId":"1272948056214077440","knowledgeContent":[{"score":0.74500273,"content":"问题：你好。\\n回复：你好，有什么可以帮您。","fileId":"1303425377255075840","chunkId":"2699","textGroup":"你好"},{"score":0.744242065,"content":"问题：请问微博炉是否需要接地线。\\n回复：微波是不需要接地线的哦","fileId":"1303425377255075840","chunkId":"2270","textGroup":"微波炉需要接地线吗"},{"score":0.7435663575,"content":"问题：你什么时候在线。\\n回复：我二十四小时在线的。","fileId":"1303425377255075840","chunkId":"2676","textGroup":"你什么时候在线"},{"score":0.740248255,"content":"问题：可以和我聊聊天吗。\\n回复：你可以随时找我聊。","fileId":"1303425377255075840","chunkId":"2757","textGroup":"可以和我聊聊天吗"},{"score":0.7398193875,"content":"问题：你在什么地方。\\n回复：您在哪里我就在哪里。","fileId":"1303425377255075840","chunkId":"2697","textGroup":"你在什么地方"}]}]}</f>
        <v/>
      </c>
      <c r="C1727" t="inlineStr">
        <is>
          <t>INFO</t>
        </is>
      </c>
      <c r="D1727" t="inlineStr">
        <is>
          <t>vdh</t>
        </is>
      </c>
      <c r="E1727" t="inlineStr">
        <is>
          <t>pro17</t>
        </is>
      </c>
      <c r="F1727" t="inlineStr">
        <is>
          <t>prod</t>
        </is>
      </c>
    </row>
    <row r="1728">
      <c r="A1728" t="inlineStr">
        <is>
          <t>2025-05-09 09:42:04.513</t>
        </is>
      </c>
      <c r="B1728" t="inlineStr">
        <is>
          <t>知识库插件检索耗时: 524ms</t>
        </is>
      </c>
      <c r="C1728" t="inlineStr">
        <is>
          <t>INFO</t>
        </is>
      </c>
      <c r="D1728" t="inlineStr">
        <is>
          <t>vdh</t>
        </is>
      </c>
      <c r="E1728" t="inlineStr">
        <is>
          <t>pro17</t>
        </is>
      </c>
      <c r="F1728" t="inlineStr">
        <is>
          <t>prod</t>
        </is>
      </c>
    </row>
    <row r="1729">
      <c r="A1729" t="inlineStr">
        <is>
          <t>2025-05-09 09:42:03.988</t>
        </is>
      </c>
      <c r="B1729">
        <f>=请求开始== [请求IP]:172.18.33.14 ,[请求方式]:POST， [请求URL]:https://172.30.103.196:8080/api/appservice/bfv/v1/knowledge/retrieval/plugin, [请求类名]:com.yingzi.appservice.bfv.provider.rest.KnowledgeRetrievalController,[请求方法名]:plugin, [请求头参数]:{"host":"172.30.103.196:8080"}, [请求参数]:[{"query":"我要搭地铁3号线","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729" t="inlineStr">
        <is>
          <t>INFO</t>
        </is>
      </c>
      <c r="D1729" t="inlineStr">
        <is>
          <t>vdh</t>
        </is>
      </c>
      <c r="E1729" t="inlineStr">
        <is>
          <t>pro17</t>
        </is>
      </c>
      <c r="F1729" t="inlineStr">
        <is>
          <t>prod</t>
        </is>
      </c>
    </row>
    <row r="1730">
      <c r="A1730" t="inlineStr">
        <is>
          <t>2025-05-09 09:42:03.966</t>
        </is>
      </c>
      <c r="B1730">
        <f>=请求开始== [请求IP]:172.18.114.98 ,[请求方式]:POST， [请求URL]:https://172.30.212.148:8080/api/appservice/bfv/v1/chat/, [请求类名]:com.yingzi.appservice.bfv.provider.rest.ChatV1Controller,[请求方法名]:chat, [请求头参数]:{"host":"172.30.212.148:8080"}, [请求参数]:[{"stream":true,"message":"我要搭地铁3号线","args":"{\"adcode\":\"440100\",\"channel_id\":\"9\"}"}]</f>
        <v/>
      </c>
      <c r="C1730" t="inlineStr">
        <is>
          <t>INFO</t>
        </is>
      </c>
      <c r="D1730" t="inlineStr">
        <is>
          <t>vdh</t>
        </is>
      </c>
      <c r="E1730" t="inlineStr">
        <is>
          <t>pro14</t>
        </is>
      </c>
      <c r="F1730" t="inlineStr">
        <is>
          <t>prod</t>
        </is>
      </c>
    </row>
    <row r="1731">
      <c r="A1731" t="inlineStr">
        <is>
          <t>2025-05-09 09:41:58.075</t>
        </is>
      </c>
      <c r="B1731">
        <f>=请求结束== [请求耗时]:13毫秒, [返回数据]:{"code":"000000","msg":"Success","traceId":"8e9a55b20b046cd98a531ecadc390d1c"}</f>
        <v/>
      </c>
      <c r="C1731" t="inlineStr">
        <is>
          <t>INFO</t>
        </is>
      </c>
      <c r="D1731" t="inlineStr">
        <is>
          <t>vdh</t>
        </is>
      </c>
      <c r="E1731" t="inlineStr">
        <is>
          <t>pro14</t>
        </is>
      </c>
      <c r="F1731" t="inlineStr">
        <is>
          <t>prod</t>
        </is>
      </c>
    </row>
    <row r="1732">
      <c r="A1732" t="inlineStr">
        <is>
          <t>2025-05-09 09:41:58.062</t>
        </is>
      </c>
      <c r="B1732">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instructionAsrFirstTime":{"year":2025,"monthValue":5,"month":"MAY","dayOfMonth":9,"dayOfYear":129,"dayOfWeek":"FRIDAY","hour":9,"minute":41,"second":57,"nano":0,"chronology":{"id":"ISO","calendarType":"iso8601"}},"knowledgeId":"","knowledgeMasterId":"","instructionType":"","instructionName":"","instructionFlag":"","parameter":"{}","ttsResultSource":"","ttsResult":"","response":0}]]</f>
        <v/>
      </c>
      <c r="C1732" t="inlineStr">
        <is>
          <t>INFO</t>
        </is>
      </c>
      <c r="D1732" t="inlineStr">
        <is>
          <t>vdh</t>
        </is>
      </c>
      <c r="E1732" t="inlineStr">
        <is>
          <t>pro14</t>
        </is>
      </c>
      <c r="F1732" t="inlineStr">
        <is>
          <t>prod</t>
        </is>
      </c>
    </row>
    <row r="1733">
      <c r="A1733" t="inlineStr">
        <is>
          <t>2025-05-09 09:41:56.296</t>
        </is>
      </c>
      <c r="B1733">
        <f>=请求结束== [请求耗时]:16毫秒, [返回数据]:{"code":"000000","msg":"Success","traceId":"c8fbf2e4dded9966a944d969f2aac538"}</f>
        <v/>
      </c>
      <c r="C1733" t="inlineStr">
        <is>
          <t>INFO</t>
        </is>
      </c>
      <c r="D1733" t="inlineStr">
        <is>
          <t>vdh</t>
        </is>
      </c>
      <c r="E1733" t="inlineStr">
        <is>
          <t>pro17</t>
        </is>
      </c>
      <c r="F1733" t="inlineStr">
        <is>
          <t>prod</t>
        </is>
      </c>
    </row>
    <row r="1734">
      <c r="A1734" t="inlineStr">
        <is>
          <t>2025-05-09 09:41:56.280</t>
        </is>
      </c>
      <c r="B1734">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讲abcd","instructionAsrFirstTime":{"year":2025,"monthValue":5,"month":"MAY","dayOfMonth":9,"dayOfYear":129,"dayOfWeek":"FRIDAY","hour":9,"minute":41,"second":40,"nano":0,"chronology":{"id":"ISO","calendarType":"iso8601"}},"knowledgeId":"","knowledgeMasterId":"","instructionType":"","instructionName":"","instructionFlag":"","parameter":"{\"nlpId\":\"17300825629321642727spln\",\"service\":\"Chat_library\"}","ttsResultSource":"FTT","ttsResult":"abcd可能是一个代码或缩写,请提供更多上下文信息或具体问题,便我更好地帮助您。","ttsResultTime":{"year":2025,"monthValue":5,"month":"MAY","dayOfMonth":9,"dayOfYear":129,"dayOfWeek":"FRIDAY","hour":9,"minute":41,"second":46,"nano":0,"chronology":{"id":"ISO","calendarType":"iso8601"}},"response":3303}]]</f>
        <v/>
      </c>
      <c r="C1734" t="inlineStr">
        <is>
          <t>INFO</t>
        </is>
      </c>
      <c r="D1734" t="inlineStr">
        <is>
          <t>vdh</t>
        </is>
      </c>
      <c r="E1734" t="inlineStr">
        <is>
          <t>pro17</t>
        </is>
      </c>
      <c r="F1734" t="inlineStr">
        <is>
          <t>prod</t>
        </is>
      </c>
    </row>
    <row r="1735">
      <c r="A1735" t="inlineStr">
        <is>
          <t>2025-05-09 09:41:44.669</t>
        </is>
      </c>
      <c r="B1735">
        <f>=请求结束== [请求耗时]:1688毫秒</f>
        <v/>
      </c>
      <c r="C1735" t="inlineStr">
        <is>
          <t>INFO</t>
        </is>
      </c>
      <c r="D1735" t="inlineStr">
        <is>
          <t>vdh</t>
        </is>
      </c>
      <c r="E1735" t="inlineStr">
        <is>
          <t>pro17</t>
        </is>
      </c>
      <c r="F1735" t="inlineStr">
        <is>
          <t>prod</t>
        </is>
      </c>
    </row>
    <row r="1736">
      <c r="A1736" t="inlineStr">
        <is>
          <t>2025-05-09 09:41:44.668</t>
        </is>
      </c>
      <c r="B1736" t="inlineStr">
        <is>
          <t>第1次流式调用完成，耗时：1348ms，response: Response { content = AiMessage { text = "abcd可能是一个代码或缩写，请提供更多上下文信息或具体问题，以便我更好地帮助您。" toolExecutionRequests = null }, tokenUsage = TokenUsage { inputTokenCount = 4852, outputTokenCount = 36, totalTokenCount = 4888 }, finishReason = STOP }</t>
        </is>
      </c>
      <c r="C1736" t="inlineStr">
        <is>
          <t>INFO</t>
        </is>
      </c>
      <c r="D1736" t="inlineStr">
        <is>
          <t>vdh</t>
        </is>
      </c>
      <c r="E1736" t="inlineStr">
        <is>
          <t>pro17</t>
        </is>
      </c>
      <c r="F1736" t="inlineStr">
        <is>
          <t>prod</t>
        </is>
      </c>
    </row>
    <row r="1737">
      <c r="A1737" t="inlineStr">
        <is>
          <t>2025-05-09 09:41:44.206</t>
        </is>
      </c>
      <c r="B1737" t="inlineStr">
        <is>
          <t xml:space="preserve">第1次流式调用开始回复，耗时：886ms，第一个token: </t>
        </is>
      </c>
      <c r="C1737" t="inlineStr">
        <is>
          <t>INFO</t>
        </is>
      </c>
      <c r="D1737" t="inlineStr">
        <is>
          <t>vdh</t>
        </is>
      </c>
      <c r="E1737" t="inlineStr">
        <is>
          <t>pro17</t>
        </is>
      </c>
      <c r="F1737" t="inlineStr">
        <is>
          <t>prod</t>
        </is>
      </c>
    </row>
    <row r="1738">
      <c r="A1738" t="inlineStr">
        <is>
          <t>2025-05-09 09:41:43.320</t>
        </is>
      </c>
      <c r="B1738" t="inlineStr">
        <is>
          <t>streaming provider=gpt, model: gpt-4o</t>
        </is>
      </c>
      <c r="C1738" t="inlineStr">
        <is>
          <t>INFO</t>
        </is>
      </c>
      <c r="D1738" t="inlineStr">
        <is>
          <t>vdh</t>
        </is>
      </c>
      <c r="E1738" t="inlineStr">
        <is>
          <t>pro17</t>
        </is>
      </c>
      <c r="F1738" t="inlineStr">
        <is>
          <t>prod</t>
        </is>
      </c>
    </row>
    <row r="1739">
      <c r="A1739" t="inlineStr">
        <is>
          <t>2025-05-09 09:41:43.312</t>
        </is>
      </c>
      <c r="B1739">
        <f>=请求结束== [请求耗时]:318毫秒, [返回数据]:{"code":"000000","msg":"Success","data":[{"knowledgeId":"1326868148286373888","knowledgeContent":[{"score":0.718108985,"content":"：2025年春节/过年/大年初一是1月29日，农历正月初一，星期三。","fileId":"1326944717968060416","chunkId":"paragraph-1"},{"score":0.707147385,"content":"：深圳数影科技的股价是多少？深圳数影科技有限公司没有上市，因此没有股价信息。 广西扬翔股份上市了吗？广西扬翔股份没有上市。","fileId":"1326944717968060416","chunkId":"paragraph-6"},{"score":0.70502859,"content":"：小暑：•新历：7月7日•农历：六月十三•星期一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knowledgeId":"1329399948694220800","knowledgeContent":[{"score":0.724861385,"content":"启动微波程序","fileId":"1347217269055369216","chunkId":"74","textGroup":"cooking_control {type=start}"},{"score":0.7224243499999999,"content":"请帮我继续微波","fileId":"1347217269055369216","chunkId":"256","textGroup":"cooking_control {type=continue}"},{"score":0.72121548,"content":"结束微波程序","fileId":"1347217269055369216","chunkId":"295","textGroup":"cooking_control {type=stop}"},{"score":0.7191748425,"content":"播放新闻","fileId":"1329400169758941184","chunkId":"51","textGroup":"news {type=top,size=3}"}]},{"knowledgeId":"1272948056214077440","knowledgeContent":[{"score":0.72836041,"content":"问题：晚安。\\n回复：晚安。","fileId":"1303425377255075840","chunkId":"2766","textGroup":"晚安"},{"score":0.7275203975,"content":"问题：早上好。\\n回复：早上好，美好的一天又开始了。","fileId":"1303425377255075840","chunkId":"2764","textGroup":"早上好"},{"score":0.7262240624999999,"content":"问题：你的血型是什么。\\n回复：我是A型血。","fileId":"1303425377255075840","chunkId":"2749","textGroup":"你的血型是什么"},{"score":0.7249566275,"content":"问题：你好。\\n回复：你好，有什么可以帮您。","fileId":"1303425377255075840","chunkId":"2699","textGroup":"你好"},{"score":0.72423043,"content":"问题：晚上好。\\n回复：能听见您的声音真好。","fileId":"1303425377255075840","chunkId":"2765","textGroup":"晚上好"},{"score":0.7229489699999999,"content":"问题：你会说什么语言。\\n回复：小万正在学习多国语音，目前只会讲中文","fileId":"1303425377255075840","chunkId":"2681","textGroup":"你会说什么语言"},{"score":0.7203295675,"content":"问题：你可以教我做菜吗。\\n回复：当然可以，你想学做什么菜呢","fileId":"1303425377255075840","chunkId":"2688","textGroup":"你可以教我做菜吗"},{"score":0.719683695,"content":"问题：假期愉快。\\n回复：假期愉快，玩得开心哟！","fileId":"1303425377255075840","chunkId":"2755","textGroup":"假期愉快"},{"score":0.71877683,"content":"问题：再见。\\n回复：拜拜，下次见。","fileId":"1303425377255075840","chunkId":"2756","textGroup":"再见"},{"score":0.7184239099999999,"content":"问题：你反应太慢了。\\n回复：抱歉我还在学习，所以反应有点慢。","fileId":"1303425377255075840","chunkId":"2686","textGroup":"你反应太慢了"},{"score":0.7181647025,"content":"问题：不满。\\n回复：不满意的地方还请多多包涵。","fileId":"1303425377255075840","chunkId":"2671","textGroup":"不满"},{"score":0.7177519849999999,"content":"问题：你几岁了。\\n回复：小美今年12岁啦，别看我年龄小，我本领可不小，我精通烹饪，能快速做出美味又营养的佳肴哦！","fileId":"1303425377255075840","chunkId":"2685","textGroup":"你几岁了"},{"score":0.7177046399999999,"content":"问题：你喜欢跳舞吗。\\n回复：喜欢呀！你可以跟我说跳舞的指令，我来展示给主人看！","fileId":"1303425377255075840","chunkId":"2696","textGroup":"你喜欢跳舞吗"},{"score":0.7171356074999999,"content":"问题：你什么时候在线。\\n回复：我二十四小时在线的。","fileId":"1303425377255075840","chunkId":"2676","textGroup":"你什么时候在线"},{"score":0.717108195,"content":"问题：你不智能。\\n回复：很抱歉我还在学习，您能换个说法吗？","fileId":"1303425377255075840","chunkId":"2675","textGroup":"你不智能"}]}]}</f>
        <v/>
      </c>
      <c r="C1739" t="inlineStr">
        <is>
          <t>INFO</t>
        </is>
      </c>
      <c r="D1739" t="inlineStr">
        <is>
          <t>vdh</t>
        </is>
      </c>
      <c r="E1739" t="inlineStr">
        <is>
          <t>pro14</t>
        </is>
      </c>
      <c r="F1739" t="inlineStr">
        <is>
          <t>prod</t>
        </is>
      </c>
    </row>
    <row r="1740">
      <c r="A1740" t="inlineStr">
        <is>
          <t>2025-05-09 09:41:43.311</t>
        </is>
      </c>
      <c r="B1740" t="inlineStr">
        <is>
          <t>知识库插件检索耗时: 316ms</t>
        </is>
      </c>
      <c r="C1740" t="inlineStr">
        <is>
          <t>INFO</t>
        </is>
      </c>
      <c r="D1740" t="inlineStr">
        <is>
          <t>vdh</t>
        </is>
      </c>
      <c r="E1740" t="inlineStr">
        <is>
          <t>pro14</t>
        </is>
      </c>
      <c r="F1740" t="inlineStr">
        <is>
          <t>prod</t>
        </is>
      </c>
    </row>
    <row r="1741">
      <c r="A1741" t="inlineStr">
        <is>
          <t>2025-05-09 09:41:42.994</t>
        </is>
      </c>
      <c r="B1741">
        <f>=请求开始== [请求IP]:172.18.33.17 ,[请求方式]:POST， [请求URL]:https://172.30.212.148:8080/api/appservice/bfv/v1/knowledge/retrieval/plugin, [请求类名]:com.yingzi.appservice.bfv.provider.rest.KnowledgeRetrievalController,[请求方法名]:plugin, [请求头参数]:{"host":"172.30.212.148:8080"}, [请求参数]:[{"query":"讲abcd","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741" t="inlineStr">
        <is>
          <t>INFO</t>
        </is>
      </c>
      <c r="D1741" t="inlineStr">
        <is>
          <t>vdh</t>
        </is>
      </c>
      <c r="E1741" t="inlineStr">
        <is>
          <t>pro14</t>
        </is>
      </c>
      <c r="F1741" t="inlineStr">
        <is>
          <t>prod</t>
        </is>
      </c>
    </row>
    <row r="1742">
      <c r="A1742" t="inlineStr">
        <is>
          <t>2025-05-09 09:41:42.981</t>
        </is>
      </c>
      <c r="B1742">
        <f>=请求开始== [请求IP]:172.18.114.116 ,[请求方式]:POST， [请求URL]:https://172.30.103.196:8080/api/appservice/bfv/v1/chat/, [请求类名]:com.yingzi.appservice.bfv.provider.rest.ChatV1Controller,[请求方法名]:chat, [请求头参数]:{"host":"172.30.103.196:8080"}, [请求参数]:[{"stream":true,"message":"讲abcd","args":"{\"adcode\":\"440100\",\"channel_id\":\"9\"}"}]</f>
        <v/>
      </c>
      <c r="C1742" t="inlineStr">
        <is>
          <t>INFO</t>
        </is>
      </c>
      <c r="D1742" t="inlineStr">
        <is>
          <t>vdh</t>
        </is>
      </c>
      <c r="E1742" t="inlineStr">
        <is>
          <t>pro17</t>
        </is>
      </c>
      <c r="F1742" t="inlineStr">
        <is>
          <t>prod</t>
        </is>
      </c>
    </row>
    <row r="1743">
      <c r="A1743" t="inlineStr">
        <is>
          <t>2025-05-09 09:41:36.969</t>
        </is>
      </c>
      <c r="B1743">
        <f>=请求结束== [请求耗时]:26毫秒, [返回数据]:{"code":"000000","msg":"Success","traceId":"cee89cabe76edbcb1cf2c456f71b8cff"}</f>
        <v/>
      </c>
      <c r="C1743" t="inlineStr">
        <is>
          <t>INFO</t>
        </is>
      </c>
      <c r="D1743" t="inlineStr">
        <is>
          <t>vdh</t>
        </is>
      </c>
      <c r="E1743" t="inlineStr">
        <is>
          <t>pro17</t>
        </is>
      </c>
      <c r="F1743" t="inlineStr">
        <is>
          <t>prod</t>
        </is>
      </c>
    </row>
    <row r="1744">
      <c r="A1744" t="inlineStr">
        <is>
          <t>2025-05-09 09:41:36.943</t>
        </is>
      </c>
      <c r="B1744">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744" t="inlineStr">
        <is>
          <t>INFO</t>
        </is>
      </c>
      <c r="D1744" t="inlineStr">
        <is>
          <t>vdh</t>
        </is>
      </c>
      <c r="E1744" t="inlineStr">
        <is>
          <t>pro17</t>
        </is>
      </c>
      <c r="F1744" t="inlineStr">
        <is>
          <t>prod</t>
        </is>
      </c>
    </row>
    <row r="1745">
      <c r="A1745" t="inlineStr">
        <is>
          <t>2025-05-09 09:41:26.527</t>
        </is>
      </c>
      <c r="B1745">
        <f>=请求结束== [请求耗时]:13毫秒, [返回数据]:{"code":"000000","msg":"Success","traceId":"2ab447058badb8f7aaff63d68a7a38d4"}</f>
        <v/>
      </c>
      <c r="C1745" t="inlineStr">
        <is>
          <t>INFO</t>
        </is>
      </c>
      <c r="D1745" t="inlineStr">
        <is>
          <t>vdh</t>
        </is>
      </c>
      <c r="E1745" t="inlineStr">
        <is>
          <t>pro14</t>
        </is>
      </c>
      <c r="F1745" t="inlineStr">
        <is>
          <t>prod</t>
        </is>
      </c>
    </row>
    <row r="1746">
      <c r="A1746" t="inlineStr">
        <is>
          <t>2025-05-09 09:41:26.514</t>
        </is>
      </c>
      <c r="B1746">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746" t="inlineStr">
        <is>
          <t>INFO</t>
        </is>
      </c>
      <c r="D1746" t="inlineStr">
        <is>
          <t>vdh</t>
        </is>
      </c>
      <c r="E1746" t="inlineStr">
        <is>
          <t>pro14</t>
        </is>
      </c>
      <c r="F1746" t="inlineStr">
        <is>
          <t>prod</t>
        </is>
      </c>
    </row>
    <row r="1747">
      <c r="A1747" t="inlineStr">
        <is>
          <t>2025-05-09 09:41:16.539</t>
        </is>
      </c>
      <c r="B1747">
        <f>=请求结束== [请求耗时]:15毫秒, [返回数据]:{"code":"000000","msg":"Success","traceId":"7cae237efadfc61cd9d3afda538690c9"}</f>
        <v/>
      </c>
      <c r="C1747" t="inlineStr">
        <is>
          <t>INFO</t>
        </is>
      </c>
      <c r="D1747" t="inlineStr">
        <is>
          <t>vdh</t>
        </is>
      </c>
      <c r="E1747" t="inlineStr">
        <is>
          <t>pro17</t>
        </is>
      </c>
      <c r="F1747" t="inlineStr">
        <is>
          <t>prod</t>
        </is>
      </c>
    </row>
    <row r="1748">
      <c r="A1748" t="inlineStr">
        <is>
          <t>2025-05-09 09:41:16.524</t>
        </is>
      </c>
      <c r="B1748">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讲abcd啦","instructionAsrFirstTime":{"year":2025,"monthValue":5,"month":"MAY","dayOfMonth":9,"dayOfYear":129,"dayOfWeek":"FRIDAY","hour":9,"minute":41,"second":7,"nano":0,"chronology":{"id":"ISO","calendarType":"iso8601"}},"knowledgeId":"","knowledgeMasterId":"","instructionType":"","instructionName":"","instructionFlag":"","parameter":"{\"nlpId\":\"17300825629321642727spln\",\"service\":\"Chat_library\"}","ttsResultSource":"FTT","ttsResult":"你好,有什么可以帮您?","ttsResultTime":{"year":2025,"monthValue":5,"month":"MAY","dayOfMonth":9,"dayOfYear":129,"dayOfWeek":"FRIDAY","hour":9,"minute":41,"second":13,"nano":0,"chronology":{"id":"ISO","calendarType":"iso8601"}},"response":2356}]]</f>
        <v/>
      </c>
      <c r="C1748" t="inlineStr">
        <is>
          <t>INFO</t>
        </is>
      </c>
      <c r="D1748" t="inlineStr">
        <is>
          <t>vdh</t>
        </is>
      </c>
      <c r="E1748" t="inlineStr">
        <is>
          <t>pro17</t>
        </is>
      </c>
      <c r="F1748" t="inlineStr">
        <is>
          <t>prod</t>
        </is>
      </c>
    </row>
    <row r="1749">
      <c r="A1749" t="inlineStr">
        <is>
          <t>2025-05-09 09:41:12.403</t>
        </is>
      </c>
      <c r="B1749">
        <f>=请求结束== [请求耗时]:1440毫秒</f>
        <v/>
      </c>
      <c r="C1749" t="inlineStr">
        <is>
          <t>INFO</t>
        </is>
      </c>
      <c r="D1749" t="inlineStr">
        <is>
          <t>vdh</t>
        </is>
      </c>
      <c r="E1749" t="inlineStr">
        <is>
          <t>pro14</t>
        </is>
      </c>
      <c r="F1749" t="inlineStr">
        <is>
          <t>prod</t>
        </is>
      </c>
    </row>
    <row r="1750">
      <c r="A1750" t="inlineStr">
        <is>
          <t>2025-05-09 09:41:12.403</t>
        </is>
      </c>
      <c r="B1750" t="inlineStr">
        <is>
          <t>第1次流式调用完成，耗时：1069ms，response: Response { content = AiMessage { text = "你好，有什么可以帮您？" toolExecutionRequests = null }, tokenUsage = TokenUsage { inputTokenCount = 4962, outputTokenCount = 12, totalTokenCount = 4974 }, finishReason = STOP }</t>
        </is>
      </c>
      <c r="C1750" t="inlineStr">
        <is>
          <t>INFO</t>
        </is>
      </c>
      <c r="D1750" t="inlineStr">
        <is>
          <t>vdh</t>
        </is>
      </c>
      <c r="E1750" t="inlineStr">
        <is>
          <t>pro14</t>
        </is>
      </c>
      <c r="F1750" t="inlineStr">
        <is>
          <t>prod</t>
        </is>
      </c>
    </row>
    <row r="1751">
      <c r="A1751" t="inlineStr">
        <is>
          <t>2025-05-09 09:41:12.279</t>
        </is>
      </c>
      <c r="B1751" t="inlineStr">
        <is>
          <t xml:space="preserve">第1次流式调用开始回复，耗时：945ms，第一个token: </t>
        </is>
      </c>
      <c r="C1751" t="inlineStr">
        <is>
          <t>INFO</t>
        </is>
      </c>
      <c r="D1751" t="inlineStr">
        <is>
          <t>vdh</t>
        </is>
      </c>
      <c r="E1751" t="inlineStr">
        <is>
          <t>pro14</t>
        </is>
      </c>
      <c r="F1751" t="inlineStr">
        <is>
          <t>prod</t>
        </is>
      </c>
    </row>
    <row r="1752">
      <c r="A1752" t="inlineStr">
        <is>
          <t>2025-05-09 09:41:11.334</t>
        </is>
      </c>
      <c r="B1752" t="inlineStr">
        <is>
          <t>streaming provider=gpt, model: gpt-4o</t>
        </is>
      </c>
      <c r="C1752" t="inlineStr">
        <is>
          <t>INFO</t>
        </is>
      </c>
      <c r="D1752" t="inlineStr">
        <is>
          <t>vdh</t>
        </is>
      </c>
      <c r="E1752" t="inlineStr">
        <is>
          <t>pro14</t>
        </is>
      </c>
      <c r="F1752" t="inlineStr">
        <is>
          <t>prod</t>
        </is>
      </c>
    </row>
    <row r="1753">
      <c r="A1753" t="inlineStr">
        <is>
          <t>2025-05-09 09:41:11.327</t>
        </is>
      </c>
      <c r="B1753">
        <f>=请求结束== [请求耗时]:352毫秒, [返回数据]:{"code":"000000","msg":"Success","data":[{"knowledgeId":"1326868148286373888","knowledgeContent":[{"score":0.72054228,"content":"：2025年春节/过年/大年初一是1月29日，农历正月初一，星期三。","fileId":"1326944717968060416","chunkId":"paragraph-1"},{"score":0.7105992775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冬至：•新历：12月21日•农历：十一月初二•星期日","fileId":"1326944717968060416","chunkId":"paragraph-4"},{"score":0.7103490375,"content":"：深圳数影科技的股价是多少？深圳数影科技有限公司没有上市，因此没有股价信息。 广西扬翔股份上市了吗？广西扬翔股份没有上市。","fileId":"1326944717968060416","chunkId":"paragraph-6"}]},{"knowledgeId":"1272948056214077440","knowledgeContent":[{"score":0.7410816375,"content":"问题：早上好。\\n回复：早上好，美好的一天又开始了。","fileId":"1303425377255075840","chunkId":"2764","textGroup":"早上好"},{"score":0.7389384474999999,"content":"问题：晚安。\\n回复：晚安。","fileId":"1303425377255075840","chunkId":"2766","textGroup":"晚安"},{"score":0.737088295,"content":"问题：假期愉快。\\n回复：假期愉快，玩得开心哟！","fileId":"1303425377255075840","chunkId":"2755","textGroup":"假期愉快"},{"score":0.7354622875,"content":"问题：你的血型是什么。\\n回复：我是A型血。","fileId":"1303425377255075840","chunkId":"2749","textGroup":"你的血型是什么"},{"score":0.73244075,"content":"问题：你喜欢跳舞吗。\\n回复：喜欢呀！你可以跟我说跳舞的指令，我来展示给主人看！","fileId":"1303425377255075840","chunkId":"2696","textGroup":"你喜欢跳舞吗"},{"score":0.730802205,"content":"问题：你好。\\n回复：你好，有什么可以帮您。","fileId":"1303425377255075840","chunkId":"2699","textGroup":"你好"},{"score":0.729944215,"content":"问题：晚上好。\\n回复：能听见您的声音真好。","fileId":"1303425377255075840","chunkId":"2765","textGroup":"晚上好"},{"score":0.729644335,"content":"问题：你什么时候在线。\\n回复：我二十四小时在线的。","fileId":"1303425377255075840","chunkId":"2676","textGroup":"你什么时候在线"},{"score":0.729026045,"content":"问题：你会说什么语言。\\n回复：小万正在学习多国语音，目前只会讲中文","fileId":"1303425377255075840","chunkId":"2681","textGroup":"你会说什么语言"},{"score":0.7282413249999999,"content":"问题：好久不见。\\n回复：好久没聊了，我好想念你","fileId":"1303425377255075840","chunkId":"2759","textGroup":"好久不见"},{"score":0.7281808474999999,"content":"问题：你可以教我做菜吗。\\n回复：当然可以，你想学做什么菜呢","fileId":"1303425377255075840","chunkId":"2688","textGroup":"你可以教我做菜吗"},{"score":0.7274188225,"content":"问题：可以和我聊聊天吗。\\n回复：你可以随时找我聊。","fileId":"1303425377255075840","chunkId":"2757","textGroup":"可以和我聊聊天吗"},{"score":0.7270072525,"content":"问题：你会烹饪什么菜。\\n回复：这你可找对人了，没有什么菜是我不会的呢，我会研制口感好、营养丰富的菜肴，说说你想要我烹饪什么？","fileId":"1303425377255075840","chunkId":"2680","textGroup":"你会烹饪什么菜"},{"score":0.726927055,"content":"问题：你擅长什么。\\n回复：我可以为你烹饪菜肴、答疑解惑。我的能力还在不断的提升呢，试试扫码来让我为你烹饪吧","fileId":"1303425377255075840","chunkId":"2705","textGroup":"你擅长什么"},{"score":0.726872825,"content":"问题：再见。\\n回复：拜拜，下次见。","fileId":"1303425377255075840","chunkId":"2756","textGroup":"再见"}]},{"knowledgeId":"1272947938412855296","knowledgeContent":[{"score":0.7252961174999999,"content":"大家喜欢分享哪个食谱","fileId":"1275470180282040320","chunkId":"137","textGroup":"SELECT id, title FROM recipe_knowledge_nutrition ORDER BY forward_num DESC LIMIT 1;"}]},{"knowledgeId":"1329399948694220800","knowledgeContent":[{"score":0.7295832625,"content":"按照推荐方案烹饪吧","fileId":"1347217269055369216","chunkId":"151","textGroup":"cooking_control {type=start}"},{"score":0.7273849925,"content":"请帮我继续微波","fileId":"1347217269055369216","chunkId":"256","textGroup":"cooking_control {type=continue}"},{"score":0.7261545325,"content":"微波结束","fileId":"1347217269055369216","chunkId":"279","textGroup":"cooking_control {type=stop}"}]}]}</f>
        <v/>
      </c>
      <c r="C1753" t="inlineStr">
        <is>
          <t>INFO</t>
        </is>
      </c>
      <c r="D1753" t="inlineStr">
        <is>
          <t>vdh</t>
        </is>
      </c>
      <c r="E1753" t="inlineStr">
        <is>
          <t>pro14</t>
        </is>
      </c>
      <c r="F1753" t="inlineStr">
        <is>
          <t>prod</t>
        </is>
      </c>
    </row>
    <row r="1754">
      <c r="A1754" t="inlineStr">
        <is>
          <t>2025-05-09 09:41:11.326</t>
        </is>
      </c>
      <c r="B1754" t="inlineStr">
        <is>
          <t>知识库插件检索耗时: 350ms</t>
        </is>
      </c>
      <c r="C1754" t="inlineStr">
        <is>
          <t>INFO</t>
        </is>
      </c>
      <c r="D1754" t="inlineStr">
        <is>
          <t>vdh</t>
        </is>
      </c>
      <c r="E1754" t="inlineStr">
        <is>
          <t>pro14</t>
        </is>
      </c>
      <c r="F1754" t="inlineStr">
        <is>
          <t>prod</t>
        </is>
      </c>
    </row>
    <row r="1755">
      <c r="A1755" t="inlineStr">
        <is>
          <t>2025-05-09 09:41:10.975</t>
        </is>
      </c>
      <c r="B1755">
        <f>=请求开始== [请求IP]:172.18.33.14 ,[请求方式]:POST， [请求URL]:https://172.30.212.148:8080/api/appservice/bfv/v1/knowledge/retrieval/plugin, [请求类名]:com.yingzi.appservice.bfv.provider.rest.KnowledgeRetrievalController,[请求方法名]:plugin, [请求头参数]:{"host":"172.30.212.148:8080"}, [请求参数]:[{"query":"讲abcd啦","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755" t="inlineStr">
        <is>
          <t>INFO</t>
        </is>
      </c>
      <c r="D1755" t="inlineStr">
        <is>
          <t>vdh</t>
        </is>
      </c>
      <c r="E1755" t="inlineStr">
        <is>
          <t>pro14</t>
        </is>
      </c>
      <c r="F1755" t="inlineStr">
        <is>
          <t>prod</t>
        </is>
      </c>
    </row>
    <row r="1756">
      <c r="A1756" t="inlineStr">
        <is>
          <t>2025-05-09 09:41:10.963</t>
        </is>
      </c>
      <c r="B1756">
        <f>=请求开始== [请求IP]:172.18.114.116 ,[请求方式]:POST， [请求URL]:https://172.30.212.148:8080/api/appservice/bfv/v1/chat/, [请求类名]:com.yingzi.appservice.bfv.provider.rest.ChatV1Controller,[请求方法名]:chat, [请求头参数]:{"host":"172.30.212.148:8080"}, [请求参数]:[{"stream":true,"message":"讲abcd啦","args":"{\"adcode\":\"440100\",\"channel_id\":\"9\"}"}]</f>
        <v/>
      </c>
      <c r="C1756" t="inlineStr">
        <is>
          <t>INFO</t>
        </is>
      </c>
      <c r="D1756" t="inlineStr">
        <is>
          <t>vdh</t>
        </is>
      </c>
      <c r="E1756" t="inlineStr">
        <is>
          <t>pro14</t>
        </is>
      </c>
      <c r="F1756" t="inlineStr">
        <is>
          <t>prod</t>
        </is>
      </c>
    </row>
    <row r="1757">
      <c r="A1757" t="inlineStr">
        <is>
          <t>2025-05-09 09:41:06.169</t>
        </is>
      </c>
      <c r="B1757">
        <f>=请求结束== [请求耗时]:14毫秒, [返回数据]:{"code":"000000","msg":"Success","traceId":"8522d17bd413eaa29e928a6eb259ab8e"}</f>
        <v/>
      </c>
      <c r="C1757" t="inlineStr">
        <is>
          <t>INFO</t>
        </is>
      </c>
      <c r="D1757" t="inlineStr">
        <is>
          <t>vdh</t>
        </is>
      </c>
      <c r="E1757" t="inlineStr">
        <is>
          <t>pro17</t>
        </is>
      </c>
      <c r="F1757" t="inlineStr">
        <is>
          <t>prod</t>
        </is>
      </c>
    </row>
    <row r="1758">
      <c r="A1758" t="inlineStr">
        <is>
          <t>2025-05-09 09:41:06.155</t>
        </is>
      </c>
      <c r="B1758">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instructionAsrFirstTime":{"year":2025,"monthValue":5,"month":"MAY","dayOfMonth":9,"dayOfYear":129,"dayOfWeek":"FRIDAY","hour":9,"minute":41,"second":5,"nano":0,"chronology":{"id":"ISO","calendarType":"iso8601"}},"knowledgeId":"","knowledgeMasterId":"","instructionType":"","instructionName":"","instructionFlag":"","parameter":"{}","ttsResultSource":"","ttsResult":"","response":0}]]</f>
        <v/>
      </c>
      <c r="C1758" t="inlineStr">
        <is>
          <t>INFO</t>
        </is>
      </c>
      <c r="D1758" t="inlineStr">
        <is>
          <t>vdh</t>
        </is>
      </c>
      <c r="E1758" t="inlineStr">
        <is>
          <t>pro17</t>
        </is>
      </c>
      <c r="F1758" t="inlineStr">
        <is>
          <t>prod</t>
        </is>
      </c>
    </row>
    <row r="1759">
      <c r="A1759" t="inlineStr">
        <is>
          <t>2025-05-09 09:41:04.883</t>
        </is>
      </c>
      <c r="B1759">
        <f>=请求结束== [请求耗时]:14毫秒, [返回数据]:{"code":"000000","msg":"Success","traceId":"0dc5b0c78ddd56a3be1162c243fa3a96"}</f>
        <v/>
      </c>
      <c r="C1759" t="inlineStr">
        <is>
          <t>INFO</t>
        </is>
      </c>
      <c r="D1759" t="inlineStr">
        <is>
          <t>vdh</t>
        </is>
      </c>
      <c r="E1759" t="inlineStr">
        <is>
          <t>pro14</t>
        </is>
      </c>
      <c r="F1759" t="inlineStr">
        <is>
          <t>prod</t>
        </is>
      </c>
    </row>
    <row r="1760">
      <c r="A1760" t="inlineStr">
        <is>
          <t>2025-05-09 09:41:04.869</t>
        </is>
      </c>
      <c r="B1760">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这是什么操作","instructionAsrFirstTime":{"year":2025,"monthValue":5,"month":"MAY","dayOfMonth":9,"dayOfYear":129,"dayOfWeek":"FRIDAY","hour":9,"minute":40,"second":37,"nano":0,"chronology":{"id":"ISO","calendarType":"iso8601"}},"knowledgeId":"","knowledgeMasterId":"","instructionType":"","instructionName":"","instructionFlag":"","parameter":"{\"nlpId\":\"17300825629321642727spln\",\"service\":\"Chat_library\"}","ttsResultSource":"FTT","ttsResult":"如果您希望暂停微波炉的操作,可以使用微波炉的暂停功能。根据您提供的信息,您可以选择以下指令:- 请帮我暂停微波:使用`cooking_control`工具函数,参数为`{type=pause}`。希望这个信息能帮到您!如果还有其他问题，请随时告诉我。","ttsResultTime":{"year":2025,"monthValue":5,"month":"MAY","dayOfMonth":9,"dayOfYear":129,"dayOfWeek":"FRIDAY","hour":9,"minute":40,"second":42,"nano":0,"chronology":{"id":"ISO","calendarType":"iso8601"}},"response":3274}]]</f>
        <v/>
      </c>
      <c r="C1760" t="inlineStr">
        <is>
          <t>INFO</t>
        </is>
      </c>
      <c r="D1760" t="inlineStr">
        <is>
          <t>vdh</t>
        </is>
      </c>
      <c r="E1760" t="inlineStr">
        <is>
          <t>pro14</t>
        </is>
      </c>
      <c r="F1760" t="inlineStr">
        <is>
          <t>prod</t>
        </is>
      </c>
    </row>
    <row r="1761">
      <c r="A1761" t="inlineStr">
        <is>
          <t>2025-05-09 09:40:42.324</t>
        </is>
      </c>
      <c r="B1761">
        <f>=请求结束== [请求耗时]:2377毫秒</f>
        <v/>
      </c>
      <c r="C1761" t="inlineStr">
        <is>
          <t>INFO</t>
        </is>
      </c>
      <c r="D1761" t="inlineStr">
        <is>
          <t>vdh</t>
        </is>
      </c>
      <c r="E1761" t="inlineStr">
        <is>
          <t>pro17</t>
        </is>
      </c>
      <c r="F1761" t="inlineStr">
        <is>
          <t>prod</t>
        </is>
      </c>
    </row>
    <row r="1762">
      <c r="A1762" t="inlineStr">
        <is>
          <t>2025-05-09 09:40:42.323</t>
        </is>
      </c>
      <c r="B1762" t="inlineStr">
        <is>
          <t>第1次流式调用完成，耗时：1871ms，response: Response { content = AiMessage { text = "如果您希望暂停微波炉的操作，可以使用微波炉的暂停功能。根据您提供的信息，您可以选择以下指令：
- 请帮我暂停微波：使用`cooking_control`工具函数，参数为`{type=pause}`。
希望这个信息能帮到您！如果还有其他问题，请随时告诉我。" toolExecutionRequests = null }, tokenUsage = TokenUsage { inputTokenCount = 4313, outputTokenCount = 108, totalTokenCount = 4421 }, finishReason = STOP }</t>
        </is>
      </c>
      <c r="C1762" t="inlineStr">
        <is>
          <t>INFO</t>
        </is>
      </c>
      <c r="D1762" t="inlineStr">
        <is>
          <t>vdh</t>
        </is>
      </c>
      <c r="E1762" t="inlineStr">
        <is>
          <t>pro17</t>
        </is>
      </c>
      <c r="F1762" t="inlineStr">
        <is>
          <t>prod</t>
        </is>
      </c>
    </row>
    <row r="1763">
      <c r="A1763" t="inlineStr">
        <is>
          <t>2025-05-09 09:40:41.462</t>
        </is>
      </c>
      <c r="B1763" t="inlineStr">
        <is>
          <t xml:space="preserve">第1次流式调用开始回复，耗时：1010ms，第一个token: </t>
        </is>
      </c>
      <c r="C1763" t="inlineStr">
        <is>
          <t>INFO</t>
        </is>
      </c>
      <c r="D1763" t="inlineStr">
        <is>
          <t>vdh</t>
        </is>
      </c>
      <c r="E1763" t="inlineStr">
        <is>
          <t>pro17</t>
        </is>
      </c>
      <c r="F1763" t="inlineStr">
        <is>
          <t>prod</t>
        </is>
      </c>
    </row>
    <row r="1764">
      <c r="A1764" t="inlineStr">
        <is>
          <t>2025-05-09 09:40:40.452</t>
        </is>
      </c>
      <c r="B1764" t="inlineStr">
        <is>
          <t>streaming provider=gpt, model: gpt-4o</t>
        </is>
      </c>
      <c r="C1764" t="inlineStr">
        <is>
          <t>INFO</t>
        </is>
      </c>
      <c r="D1764" t="inlineStr">
        <is>
          <t>vdh</t>
        </is>
      </c>
      <c r="E1764" t="inlineStr">
        <is>
          <t>pro17</t>
        </is>
      </c>
      <c r="F1764" t="inlineStr">
        <is>
          <t>prod</t>
        </is>
      </c>
    </row>
    <row r="1765">
      <c r="A1765" t="inlineStr">
        <is>
          <t>2025-05-09 09:40:40.446</t>
        </is>
      </c>
      <c r="B1765">
        <f>=请求结束== [请求耗时]:487毫秒, [返回数据]:{"code":"000000","msg":"Success","data":[{"knowledgeId":"1326868148286373888","knowledgeContent":[{"score":0.7290139325,"content":"：2025年春节/过年/大年初一是1月29日，农历正月初一，星期三。","fileId":"1326944717968060416","chunkId":"paragraph-1"},{"score":0.7102003725,"content":"：2025年放假调休日期的具体安排如下： 2025年元旦：1月1日，周三，放假1天，不调休。 2025年除夕/大年夜是1月28日，农历十二月二十九，星期二。","fileId":"1326944717968060416","chunkId":"paragraph-0"},{"score":0.7101181775,"content":"：深圳数影科技的股价是多少？深圳数影科技有限公司没有上市，因此没有股价信息。 广西扬翔股份上市了吗？广西扬翔股份没有上市。","fileId":"1326944717968060416","chunkId":"paragraph-6"}]},{"knowledgeId":"1329399948694220800","knowledgeContent":[{"score":0.7547184,"content":"请帮我暂停微波","fileId":"1347217269055369216","chunkId":"196","textGroup":"cooking_control {type=pause}"},{"score":0.7542452049999999,"content":"启动微波功能","fileId":"1347217269055369216","chunkId":"64","textGroup":"cooking_control {type=start}"},{"score":0.754144905,"content":"请帮我继续微波","fileId":"1347217269055369216","chunkId":"256","textGroup":"cooking_control {type=continue}"},{"score":0.75367766,"content":"播一下热点新闻","fileId":"1329400169758941184","chunkId":"82","textGroup":"news {type=top,size=3}"},{"score":0.7477752599999999,"content":"请帮我终止微波","fileId":"1347217269055369216","chunkId":"328","textGroup":"cooking_control {type=stop}"},{"score":0.09304558050000002,"content":"这是[菜品名称]","fileId":"1347217269055369216","chunkId":"45","textGroup":"set_foodtype_taste"}]},{"knowledgeId":"1272948056214077440","knowledgeContent":[{"score":0.7483550875,"content":"问题：不满。\\n回复：不满意的地方还请多多包涵。","fileId":"1303425377255075840","chunkId":"2671","textGroup":"不满"},{"score":0.74497383,"content":"问题：能和你们进行合作吗。\\n回复：想要与我们进行合作，您可通过官方平台联系我们了解详细信息。","fileId":"1303425377255075840","chunkId":"754","textGroup":"如何申请成为平台商家"},{"score":0.743540645,"content":"问题：你好。\\n回复：你好，有什么可以帮您。","fileId":"1303425377255075840","chunkId":"2699","textGroup":"你好"},{"score":0.7406857075,"content":"问题：假期愉快。\\n回复：假期愉快，玩得开心哟！","fileId":"1303425377255075840","chunkId":"2755","textGroup":"假期愉快"},{"score":0.74021247,"content":"问题：晚安。\\n回复：晚安。","fileId":"1303425377255075840","chunkId":"2766","textGroup":"晚安"},{"score":0.7387986225000001,"content":"问题：万能除可以空载运行吗。\\n回复：微波炉是严禁空载使用的哦，会损坏微波炉的","fileId":"1303425377255075840","chunkId":"1922","textGroup":"微波炉可以空载运行吗"},{"score":0.7360838925000001,"content":"问题：你反应太慢了。\\n回复：抱歉我还在学习，所以反应有点慢。","fileId":"1303425377255075840","chunkId":"2686","textGroup":"你反应太慢了"},{"score":0.7346838575,"content":"问题：你什么时候在线。\\n回复：我二十四小时在线的。","fileId":"1303425377255075840","chunkId":"2676","textGroup":"你什么时候在线"}]}]}</f>
        <v/>
      </c>
      <c r="C1765" t="inlineStr">
        <is>
          <t>INFO</t>
        </is>
      </c>
      <c r="D1765" t="inlineStr">
        <is>
          <t>vdh</t>
        </is>
      </c>
      <c r="E1765" t="inlineStr">
        <is>
          <t>pro17</t>
        </is>
      </c>
      <c r="F1765" t="inlineStr">
        <is>
          <t>prod</t>
        </is>
      </c>
    </row>
    <row r="1766">
      <c r="A1766" t="inlineStr">
        <is>
          <t>2025-05-09 09:40:40.445</t>
        </is>
      </c>
      <c r="B1766" t="inlineStr">
        <is>
          <t>知识库插件检索耗时: 485ms</t>
        </is>
      </c>
      <c r="C1766" t="inlineStr">
        <is>
          <t>INFO</t>
        </is>
      </c>
      <c r="D1766" t="inlineStr">
        <is>
          <t>vdh</t>
        </is>
      </c>
      <c r="E1766" t="inlineStr">
        <is>
          <t>pro17</t>
        </is>
      </c>
      <c r="F1766" t="inlineStr">
        <is>
          <t>prod</t>
        </is>
      </c>
    </row>
    <row r="1767">
      <c r="A1767" t="inlineStr">
        <is>
          <t>2025-05-09 09:40:39.959</t>
        </is>
      </c>
      <c r="B1767">
        <f>=请求开始== [请求IP]:172.18.33.17 ,[请求方式]:POST， [请求URL]:https://172.30.103.196:8080/api/appservice/bfv/v1/knowledge/retrieval/plugin, [请求类名]:com.yingzi.appservice.bfv.provider.rest.KnowledgeRetrievalController,[请求方法名]:plugin, [请求头参数]:{"host":"172.30.103.196:8080"}, [请求参数]:[{"query":"这是什么操作","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767" t="inlineStr">
        <is>
          <t>INFO</t>
        </is>
      </c>
      <c r="D1767" t="inlineStr">
        <is>
          <t>vdh</t>
        </is>
      </c>
      <c r="E1767" t="inlineStr">
        <is>
          <t>pro17</t>
        </is>
      </c>
      <c r="F1767" t="inlineStr">
        <is>
          <t>prod</t>
        </is>
      </c>
    </row>
    <row r="1768">
      <c r="A1768" t="inlineStr">
        <is>
          <t>2025-05-09 09:40:39.948</t>
        </is>
      </c>
      <c r="B1768">
        <f>=请求开始== [请求IP]:172.18.114.98 ,[请求方式]:POST， [请求URL]:https://172.30.103.196:8080/api/appservice/bfv/v1/chat/, [请求类名]:com.yingzi.appservice.bfv.provider.rest.ChatV1Controller,[请求方法名]:chat, [请求头参数]:{"host":"172.30.103.196:8080"}, [请求参数]:[{"stream":true,"message":"这是什么操作","args":"{\"adcode\":\"440100\",\"channel_id\":\"9\"}"}]</f>
        <v/>
      </c>
      <c r="C1768" t="inlineStr">
        <is>
          <t>INFO</t>
        </is>
      </c>
      <c r="D1768" t="inlineStr">
        <is>
          <t>vdh</t>
        </is>
      </c>
      <c r="E1768" t="inlineStr">
        <is>
          <t>pro17</t>
        </is>
      </c>
      <c r="F1768" t="inlineStr">
        <is>
          <t>prod</t>
        </is>
      </c>
    </row>
    <row r="1769">
      <c r="A1769" t="inlineStr">
        <is>
          <t>2025-05-09 09:40:34.938</t>
        </is>
      </c>
      <c r="B1769">
        <f>=请求结束== [请求耗时]:14毫秒, [返回数据]:{"code":"000000","msg":"Success","traceId":"941c07a59f94f943e8a2f0b591c400c5"}</f>
        <v/>
      </c>
      <c r="C1769" t="inlineStr">
        <is>
          <t>INFO</t>
        </is>
      </c>
      <c r="D1769" t="inlineStr">
        <is>
          <t>vdh</t>
        </is>
      </c>
      <c r="E1769" t="inlineStr">
        <is>
          <t>pro14</t>
        </is>
      </c>
      <c r="F1769" t="inlineStr">
        <is>
          <t>prod</t>
        </is>
      </c>
    </row>
    <row r="1770">
      <c r="A1770" t="inlineStr">
        <is>
          <t>2025-05-09 09:40:34.924</t>
        </is>
      </c>
      <c r="B1770">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770" t="inlineStr">
        <is>
          <t>INFO</t>
        </is>
      </c>
      <c r="D1770" t="inlineStr">
        <is>
          <t>vdh</t>
        </is>
      </c>
      <c r="E1770" t="inlineStr">
        <is>
          <t>pro14</t>
        </is>
      </c>
      <c r="F1770" t="inlineStr">
        <is>
          <t>prod</t>
        </is>
      </c>
    </row>
    <row r="1771">
      <c r="A1771" t="inlineStr">
        <is>
          <t>2025-05-09 09:40:24.696</t>
        </is>
      </c>
      <c r="B1771">
        <f>=请求结束== [请求耗时]:13毫秒, [返回数据]:{"code":"000000","msg":"Success","traceId":"d1df22dd65239414737a5af37c2aa8fe"}</f>
        <v/>
      </c>
      <c r="C1771" t="inlineStr">
        <is>
          <t>INFO</t>
        </is>
      </c>
      <c r="D1771" t="inlineStr">
        <is>
          <t>vdh</t>
        </is>
      </c>
      <c r="E1771" t="inlineStr">
        <is>
          <t>pro17</t>
        </is>
      </c>
      <c r="F1771" t="inlineStr">
        <is>
          <t>prod</t>
        </is>
      </c>
    </row>
    <row r="1772">
      <c r="A1772" t="inlineStr">
        <is>
          <t>2025-05-09 09:40:24.684</t>
        </is>
      </c>
      <c r="B1772">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instructionAsrFirstTime":{"year":2025,"monthValue":5,"month":"MAY","dayOfMonth":9,"dayOfYear":129,"dayOfWeek":"FRIDAY","hour":9,"minute":40,"second":24,"nano":0,"chronology":{"id":"ISO","calendarType":"iso8601"}},"knowledgeId":"","knowledgeMasterId":"","instructionType":"","instructionName":"","instructionFlag":"","parameter":"{}","ttsResultSource":"","ttsResult":"","response":0}]]</f>
        <v/>
      </c>
      <c r="C1772" t="inlineStr">
        <is>
          <t>INFO</t>
        </is>
      </c>
      <c r="D1772" t="inlineStr">
        <is>
          <t>vdh</t>
        </is>
      </c>
      <c r="E1772" t="inlineStr">
        <is>
          <t>pro17</t>
        </is>
      </c>
      <c r="F1772" t="inlineStr">
        <is>
          <t>prod</t>
        </is>
      </c>
    </row>
    <row r="1773">
      <c r="A1773" t="inlineStr">
        <is>
          <t>2025-05-09 09:40:22.053</t>
        </is>
      </c>
      <c r="B1773">
        <f>=请求结束== [请求耗时]:13毫秒, [返回数据]:{"code":"000000","msg":"Success","traceId":"5b60cb587cfb482371e68ce72bec1aae"}</f>
        <v/>
      </c>
      <c r="C1773" t="inlineStr">
        <is>
          <t>INFO</t>
        </is>
      </c>
      <c r="D1773" t="inlineStr">
        <is>
          <t>vdh</t>
        </is>
      </c>
      <c r="E1773" t="inlineStr">
        <is>
          <t>pro14</t>
        </is>
      </c>
      <c r="F1773" t="inlineStr">
        <is>
          <t>prod</t>
        </is>
      </c>
    </row>
    <row r="1774">
      <c r="A1774" t="inlineStr">
        <is>
          <t>2025-05-09 09:40:22.040</t>
        </is>
      </c>
      <c r="B1774">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Chat_library","recordId":"","asrResult":"我要打微波炉","instructionAsrFirstTime":{"year":2025,"monthValue":5,"month":"MAY","dayOfMonth":9,"dayOfYear":129,"dayOfWeek":"FRIDAY","hour":9,"minute":40,"second":5,"nano":0,"chronology":{"id":"ISO","calendarType":"iso8601"}},"knowledgeId":"","knowledgeMasterId":"","instructionType":"","instructionName":"","instructionFlag":"","parameter":"{\"nlpId\":\"17300825629321642727spln\",\"service\":\"Chat_library\"}","ttsResultSource":"FTT","ttsResult":"请问您是想启动、暂停、继续还是结束微波炉的操作呢?如果是希望进行特定的烹饪,请告诉我具体的菜品名称。","ttsResultTime":{"year":2025,"monthValue":5,"month":"MAY","dayOfMonth":9,"dayOfYear":129,"dayOfWeek":"FRIDAY","hour":9,"minute":40,"second":12,"nano":0,"chronology":{"id":"ISO","calendarType":"iso8601"}},"response":3367}]]</f>
        <v/>
      </c>
      <c r="C1774" t="inlineStr">
        <is>
          <t>INFO</t>
        </is>
      </c>
      <c r="D1774" t="inlineStr">
        <is>
          <t>vdh</t>
        </is>
      </c>
      <c r="E1774" t="inlineStr">
        <is>
          <t>pro14</t>
        </is>
      </c>
      <c r="F1774" t="inlineStr">
        <is>
          <t>prod</t>
        </is>
      </c>
    </row>
    <row r="1775">
      <c r="A1775" t="inlineStr">
        <is>
          <t>2025-05-09 09:40:12.127</t>
        </is>
      </c>
      <c r="B1775">
        <f>=请求结束== [请求耗时]:2586毫秒</f>
        <v/>
      </c>
      <c r="C1775" t="inlineStr">
        <is>
          <t>INFO</t>
        </is>
      </c>
      <c r="D1775" t="inlineStr">
        <is>
          <t>vdh</t>
        </is>
      </c>
      <c r="E1775" t="inlineStr">
        <is>
          <t>pro14</t>
        </is>
      </c>
      <c r="F1775" t="inlineStr">
        <is>
          <t>prod</t>
        </is>
      </c>
    </row>
    <row r="1776">
      <c r="A1776" t="inlineStr">
        <is>
          <t>2025-05-09 09:40:12.126</t>
        </is>
      </c>
      <c r="B1776" t="inlineStr">
        <is>
          <t>第1次流式调用完成，耗时：2119ms，response: Response { content = AiMessage { text = "请问您是想启动、暂停、继续还是结束微波炉的操作呢？如果是希望进行特定的烹饪，请告诉我具体的菜品名称。" toolExecutionRequests = null }, tokenUsage = TokenUsage { inputTokenCount = 4945, outputTokenCount = 60, totalTokenCount = 5005 }, finishReason = STOP }</t>
        </is>
      </c>
      <c r="C1776" t="inlineStr">
        <is>
          <t>INFO</t>
        </is>
      </c>
      <c r="D1776" t="inlineStr">
        <is>
          <t>vdh</t>
        </is>
      </c>
      <c r="E1776" t="inlineStr">
        <is>
          <t>pro14</t>
        </is>
      </c>
      <c r="F1776" t="inlineStr">
        <is>
          <t>prod</t>
        </is>
      </c>
    </row>
    <row r="1777">
      <c r="A1777" t="inlineStr">
        <is>
          <t>2025-05-09 09:40:11.140</t>
        </is>
      </c>
      <c r="B1777" t="inlineStr">
        <is>
          <t xml:space="preserve">第1次流式调用开始回复，耗时：1133ms，第一个token: </t>
        </is>
      </c>
      <c r="C1777" t="inlineStr">
        <is>
          <t>INFO</t>
        </is>
      </c>
      <c r="D1777" t="inlineStr">
        <is>
          <t>vdh</t>
        </is>
      </c>
      <c r="E1777" t="inlineStr">
        <is>
          <t>pro14</t>
        </is>
      </c>
      <c r="F1777" t="inlineStr">
        <is>
          <t>prod</t>
        </is>
      </c>
    </row>
    <row r="1778">
      <c r="A1778" t="inlineStr">
        <is>
          <t>2025-05-09 09:40:10.007</t>
        </is>
      </c>
      <c r="B1778" t="inlineStr">
        <is>
          <t>streaming provider=gpt, model: gpt-4o</t>
        </is>
      </c>
      <c r="C1778" t="inlineStr">
        <is>
          <t>INFO</t>
        </is>
      </c>
      <c r="D1778" t="inlineStr">
        <is>
          <t>vdh</t>
        </is>
      </c>
      <c r="E1778" t="inlineStr">
        <is>
          <t>pro14</t>
        </is>
      </c>
      <c r="F1778" t="inlineStr">
        <is>
          <t>prod</t>
        </is>
      </c>
    </row>
    <row r="1779">
      <c r="A1779" t="inlineStr">
        <is>
          <t>2025-05-09 09:40:10.000</t>
        </is>
      </c>
      <c r="B1779">
        <f>=请求结束== [请求耗时]:440毫秒, [返回数据]:{"code":"000000","msg":"Success","data":[{"knowledgeId":"1326868148286373888","knowledgeContent":[{"score":0.7359369275,"content":"：2025年春节/过年/大年初一是1月29日，农历正月初一，星期三。","fileId":"1326944717968060416","chunkId":"paragraph-1"},{"score":0.7156983849999999,"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冬至：•新历：12月21日•农历：十一月初二•星期日","fileId":"1326944717968060416","chunkId":"paragraph-4"},{"score":0.7046577350000001,"content":"：2025年元宵节是2月12日，农历正月十五，星期三。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1272947938412855296","knowledgeContent":[{"score":0.8910822350000001,"content":"我的微波炉是1.5的，有哪些可以烹饪的美食","fileId":"1275470180282040320","chunkId":"152","textGroup":"SELECT id, title FROM recipe_knowledge_nutrition WHERE scheme_version LIKE '%1.5%' ORDER BY random() LIMIT 5;"},{"score":0.789514595,"content":"蒜泥白肉可以使用2.0微波炉烹饪吗","fileId":"1275470180282040320","chunkId":"159","textGroup":"SELECT id, title, scheme_version FROM recipe_knowledge_nutrition WHERE title LIKE '%蒜泥白肉%' AND scheme_version LIKE '%2.0%' LIMIT 5;"}]},{"knowledgeId":"1329399948694220800","knowledgeContent":[{"score":0.9043589974999999,"content":"启动微波炉","fileId":"1347217269055369216","chunkId":"123","textGroup":"cooking_control {type=start}"},{"score":0.8892065575,"content":"暂停微波炉","fileId":"1347217269055369216","chunkId":"187","textGroup":"cooking_control {type=pause}"},{"score":0.80410255,"content":"我想结束微波烹调","fileId":"1347217269055369216","chunkId":"325","textGroup":"cooking_control {type=stop}"},{"score":0.7966812,"content":"请帮我继续微波","fileId":"1347217269055369216","chunkId":"256","textGroup":"cooking_control {type=continue}"},{"score":0.10914368400000003,"content":"我要烹[菜品名称]","fileId":"1347217269055369216","chunkId":"34","textGroup":"set_foodtype_taste"}]},{"knowledgeId":"1272948056214077440","knowledgeContent":[{"score":0.7951133325,"content":"问题：没有放食物可以开启微波炉吗。\\n回复：微波炉是严禁空载使用的哦，会损坏微波炉的","fileId":"1303425377255075840","chunkId":"1946","textGroup":"微波炉可以空载运行吗"},{"score":0.7891827125,"content":"问题：我可以用微波炉来做油炸食物吗。\\n回复：可以，但要注意食用较深且带盖的容器，防止热油飞溅。","fileId":"1303425377255075840","chunkId":"1914","textGroup":"微波炉可以油炸食物吗"},{"score":0.788496465,"content":"问题：不锈钢碗可以放进微波炉加热吗。\\n回复：不可以哦，金属器皿都不可以放进微波中加热","fileId":"1303425377255075840","chunkId":"2803","textGroup":"不锈钢碗可以放进微波炉加热吗"},{"score":0.7875294624999999,"content":"问题：微波炉需要接地线吗。\\n回复：微波是不需要接地线的哦","fileId":"1303425377255075840","chunkId":"2844","textGroup":"微波炉需要接地线吗"},{"score":0.7871646425000001,"content":"问题：陶瓷餐具可以放入微波炉加热吗。\\n回复：可以哦，耐热陶瓷材质的器皿可以放入微波炉中加热","fileId":"1303425377255075840","chunkId":"2633","textGroup":"陶瓷碗可以放进微波炉加热吗"}]}]}</f>
        <v/>
      </c>
      <c r="C1779" t="inlineStr">
        <is>
          <t>INFO</t>
        </is>
      </c>
      <c r="D1779" t="inlineStr">
        <is>
          <t>vdh</t>
        </is>
      </c>
      <c r="E1779" t="inlineStr">
        <is>
          <t>pro17</t>
        </is>
      </c>
      <c r="F1779" t="inlineStr">
        <is>
          <t>prod</t>
        </is>
      </c>
    </row>
    <row r="1780">
      <c r="A1780" t="inlineStr">
        <is>
          <t>2025-05-09 09:40:09.999</t>
        </is>
      </c>
      <c r="B1780" t="inlineStr">
        <is>
          <t>知识库插件检索耗时: 439ms</t>
        </is>
      </c>
      <c r="C1780" t="inlineStr">
        <is>
          <t>INFO</t>
        </is>
      </c>
      <c r="D1780" t="inlineStr">
        <is>
          <t>vdh</t>
        </is>
      </c>
      <c r="E1780" t="inlineStr">
        <is>
          <t>pro17</t>
        </is>
      </c>
      <c r="F1780" t="inlineStr">
        <is>
          <t>prod</t>
        </is>
      </c>
    </row>
    <row r="1781">
      <c r="A1781" t="inlineStr">
        <is>
          <t>2025-05-09 09:40:09.559</t>
        </is>
      </c>
      <c r="B1781">
        <f>=请求开始== [请求IP]:172.18.33.14 ,[请求方式]:POST， [请求URL]:https://172.30.103.196:8080/api/appservice/bfv/v1/knowledge/retrieval/plugin, [请求类名]:com.yingzi.appservice.bfv.provider.rest.KnowledgeRetrievalController,[请求方法名]:plugin, [请求头参数]:{"host":"172.30.103.196:8080"}, [请求参数]:[{"query":"我要打微波炉","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781" t="inlineStr">
        <is>
          <t>INFO</t>
        </is>
      </c>
      <c r="D1781" t="inlineStr">
        <is>
          <t>vdh</t>
        </is>
      </c>
      <c r="E1781" t="inlineStr">
        <is>
          <t>pro17</t>
        </is>
      </c>
      <c r="F1781" t="inlineStr">
        <is>
          <t>prod</t>
        </is>
      </c>
    </row>
    <row r="1782">
      <c r="A1782" t="inlineStr">
        <is>
          <t>2025-05-09 09:40:09.541</t>
        </is>
      </c>
      <c r="B1782">
        <f>=请求开始== [请求IP]:172.18.114.116 ,[请求方式]:POST， [请求URL]:https://172.30.212.148:8080/api/appservice/bfv/v1/chat/, [请求类名]:com.yingzi.appservice.bfv.provider.rest.ChatV1Controller,[请求方法名]:chat, [请求头参数]:{"host":"172.30.212.148:8080"}, [请求参数]:[{"stream":true,"message":"我要打微波炉","args":"{\"adcode\":\"440100\",\"channel_id\":\"9\"}"}]</f>
        <v/>
      </c>
      <c r="C1782" t="inlineStr">
        <is>
          <t>INFO</t>
        </is>
      </c>
      <c r="D1782" t="inlineStr">
        <is>
          <t>vdh</t>
        </is>
      </c>
      <c r="E1782" t="inlineStr">
        <is>
          <t>pro14</t>
        </is>
      </c>
      <c r="F1782" t="inlineStr">
        <is>
          <t>prod</t>
        </is>
      </c>
    </row>
    <row r="1783">
      <c r="A1783" t="inlineStr">
        <is>
          <t>2025-05-09 09:40:03.896</t>
        </is>
      </c>
      <c r="B1783">
        <f>=请求结束== [请求耗时]:15毫秒, [返回数据]:{"code":"000000","msg":"Success","traceId":"e0006a3b82270aea58aba3a33f5e4c01"}</f>
        <v/>
      </c>
      <c r="C1783" t="inlineStr">
        <is>
          <t>INFO</t>
        </is>
      </c>
      <c r="D1783" t="inlineStr">
        <is>
          <t>vdh</t>
        </is>
      </c>
      <c r="E1783" t="inlineStr">
        <is>
          <t>pro14</t>
        </is>
      </c>
      <c r="F1783" t="inlineStr">
        <is>
          <t>prod</t>
        </is>
      </c>
    </row>
    <row r="1784">
      <c r="A1784" t="inlineStr">
        <is>
          <t>2025-05-09 09:40:03.881</t>
        </is>
      </c>
      <c r="B1784">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784" t="inlineStr">
        <is>
          <t>INFO</t>
        </is>
      </c>
      <c r="D1784" t="inlineStr">
        <is>
          <t>vdh</t>
        </is>
      </c>
      <c r="E1784" t="inlineStr">
        <is>
          <t>pro14</t>
        </is>
      </c>
      <c r="F1784" t="inlineStr">
        <is>
          <t>prod</t>
        </is>
      </c>
    </row>
    <row r="1785">
      <c r="A1785" t="inlineStr">
        <is>
          <t>2025-05-09 09:39:58.695</t>
        </is>
      </c>
      <c r="B1785">
        <f>=请求结束== [请求耗时]:15毫秒, [返回数据]:{"code":"000000","msg":"Success","traceId":"943963bf24dd05ab8eda30c0d8814a4b"}</f>
        <v/>
      </c>
      <c r="C1785" t="inlineStr">
        <is>
          <t>INFO</t>
        </is>
      </c>
      <c r="D1785" t="inlineStr">
        <is>
          <t>vdh</t>
        </is>
      </c>
      <c r="E1785" t="inlineStr">
        <is>
          <t>pro17</t>
        </is>
      </c>
      <c r="F1785" t="inlineStr">
        <is>
          <t>prod</t>
        </is>
      </c>
    </row>
    <row r="1786">
      <c r="A1786" t="inlineStr">
        <is>
          <t>2025-05-09 09:39:58.681</t>
        </is>
      </c>
      <c r="B1786">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还我还能吃蛋糕啊","instructionAsrFirstTime":{"year":2025,"monthValue":5,"month":"MAY","dayOfMonth":9,"dayOfYear":129,"dayOfWeek":"FRIDAY","hour":9,"minute":39,"second":35,"nano":0,"chronology":{"id":"ISO","calendarType":"iso8601"}},"knowledgeId":"","knowledgeMasterId":"","instructionType":"","instructionName":"","instructionFlag":"","parameter":"{\"nlpId\":\"17300825629321642727spln\",\"service\":\"Chat_library\"}","ttsResultSource":"FTT","ttsResult":"吃蛋糕当然是可以的,不过要注意适量哦。如果你需要,可以推荐一些制作蛋糕的食谱或者帮助你选择适合的微波炉程序来加热蛋糕。你有什么具体的需求吗？","ttsResultTime":{"year":2025,"monthValue":5,"month":"MAY","dayOfMonth":9,"dayOfYear":129,"dayOfWeek":"FRIDAY","hour":9,"minute":39,"second":43,"nano":0,"chronology":{"id":"ISO","calendarType":"iso8601"}},"response":5342}]]</f>
        <v/>
      </c>
      <c r="C1786" t="inlineStr">
        <is>
          <t>INFO</t>
        </is>
      </c>
      <c r="D1786" t="inlineStr">
        <is>
          <t>vdh</t>
        </is>
      </c>
      <c r="E1786" t="inlineStr">
        <is>
          <t>pro17</t>
        </is>
      </c>
      <c r="F1786" t="inlineStr">
        <is>
          <t>prod</t>
        </is>
      </c>
    </row>
    <row r="1787">
      <c r="A1787" t="inlineStr">
        <is>
          <t>2025-05-09 09:39:43.645</t>
        </is>
      </c>
      <c r="B1787">
        <f>=请求结束== [请求耗时]:4899毫秒</f>
        <v/>
      </c>
      <c r="C1787" t="inlineStr">
        <is>
          <t>INFO</t>
        </is>
      </c>
      <c r="D1787" t="inlineStr">
        <is>
          <t>vdh</t>
        </is>
      </c>
      <c r="E1787" t="inlineStr">
        <is>
          <t>pro17</t>
        </is>
      </c>
      <c r="F1787" t="inlineStr">
        <is>
          <t>prod</t>
        </is>
      </c>
    </row>
    <row r="1788">
      <c r="A1788" t="inlineStr">
        <is>
          <t>2025-05-09 09:39:43.644</t>
        </is>
      </c>
      <c r="B1788" t="inlineStr">
        <is>
          <t>第1次流式调用完成，耗时：4374ms，response: Response { content = AiMessage { text = "吃蛋糕当然是可以的，不过要注意适量哦。如果你需要，我可以推荐一些制作蛋糕的食谱或者帮助你选择适合的微波炉程序来加热蛋糕。你有什么具体的需求吗？" toolExecutionRequests = null }, tokenUsage = TokenUsage { inputTokenCount = 5381, outputTokenCount = 92, totalTokenCount = 5473 }, finishReason = STOP }</t>
        </is>
      </c>
      <c r="C1788" t="inlineStr">
        <is>
          <t>INFO</t>
        </is>
      </c>
      <c r="D1788" t="inlineStr">
        <is>
          <t>vdh</t>
        </is>
      </c>
      <c r="E1788" t="inlineStr">
        <is>
          <t>pro17</t>
        </is>
      </c>
      <c r="F1788" t="inlineStr">
        <is>
          <t>prod</t>
        </is>
      </c>
    </row>
    <row r="1789">
      <c r="A1789" t="inlineStr">
        <is>
          <t>2025-05-09 09:39:40.992</t>
        </is>
      </c>
      <c r="B1789" t="inlineStr">
        <is>
          <t xml:space="preserve">第1次流式调用开始回复，耗时：1722ms，第一个token: </t>
        </is>
      </c>
      <c r="C1789" t="inlineStr">
        <is>
          <t>INFO</t>
        </is>
      </c>
      <c r="D1789" t="inlineStr">
        <is>
          <t>vdh</t>
        </is>
      </c>
      <c r="E1789" t="inlineStr">
        <is>
          <t>pro17</t>
        </is>
      </c>
      <c r="F1789" t="inlineStr">
        <is>
          <t>prod</t>
        </is>
      </c>
    </row>
    <row r="1790">
      <c r="A1790" t="inlineStr">
        <is>
          <t>2025-05-09 09:39:39.270</t>
        </is>
      </c>
      <c r="B1790" t="inlineStr">
        <is>
          <t>streaming provider=gpt, model: gpt-4o</t>
        </is>
      </c>
      <c r="C1790" t="inlineStr">
        <is>
          <t>INFO</t>
        </is>
      </c>
      <c r="D1790" t="inlineStr">
        <is>
          <t>vdh</t>
        </is>
      </c>
      <c r="E1790" t="inlineStr">
        <is>
          <t>pro17</t>
        </is>
      </c>
      <c r="F1790" t="inlineStr">
        <is>
          <t>prod</t>
        </is>
      </c>
    </row>
    <row r="1791">
      <c r="A1791" t="inlineStr">
        <is>
          <t>2025-05-09 09:39:39.263</t>
        </is>
      </c>
      <c r="B1791">
        <f>=请求结束== [请求耗时]:507毫秒, [返回数据]:{"code":"000000","msg":"Success","data":[{"knowledgeId":"1326868148286373888","knowledgeContent":[{"score":0.7293291974999999,"content":"：2025年春节/过年/大年初一是1月29日，农历正月初一，星期三。","fileId":"1326944717968060416","chunkId":"paragraph-1"},{"score":0.7118145225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冬至：•新历：12月21日•农历：十一月初二•星期日","fileId":"1326944717968060416","chunkId":"paragraph-4"},{"score":0.706623105,"content":"：2025年元宵节是2月12日，农历正月十五，星期三。 除夕至正月初七（1月28日至2月4日）放假8天，1月26日（周日）、2月8日（周六）调休上班。 清明节：4月4日至6日（周五至周日）放假，共3天，不调休。 劳动节：5月1日至5日（周四至周一）放假，共5天。4月27日（周日）上班。 端午节：5月31日至6月2日（周六至周一）放假，共3天，不调休 国庆节、中秋节：10月1日至8日（周三至周三）放假，共8天。9月28日（周日）、10月11日（周六）上班。","fileId":"1326944717968060416","chunkId":"paragraph-2"}]},{"knowledgeId":"1272947938412855296","knowledgeContent":[{"score":0.7645090824999999,"content":"我有红薯和牛奶，教我做一个甜口的甜品","fileId":"1275470180282040320","chunkId":"111","textGroup":"SELECT id, title, step_contents_list FROM recipe_knowledge_nutrition WHERE materials_list LIKE '%红薯%' AND materials_list LIKE '%牛奶%' AND classify_taste LIKE '%甜%' ORDER BY random() LIMIT 5;"},{"score":0.762932375,"content":"我有红薯和山药，看能做什么蛋糕？适合下午茶的那种","fileId":"1275470180282040320","chunkId":"119","textGroup":"SELECT id, title FROM recipe_knowledge_nutrition WHERE materials_list LIKE '%红薯%' AND materials_list LIKE '%山药%' AND classify_scene LIKE '%下午茶%' ORDER BY random() LIMIT 5;"},{"score":0.7585944849999999,"content":"番茄鸡蛋饼适合什么人群","fileId":"1275470180282040320","chunkId":"127","textGroup":"SELECT distinct(classify_crowd) FROM recipe_knowledge_nutrition WHERE title LIKE '%番茄鸡蛋饼%';"},{"score":0.7538016325,"content":"到下午茶时间了，推荐几个甜品","fileId":"1275470180282040320","chunkId":"106","textGroup":"SELECT id, title FROM recipe_knowledge_nutrition WHERE classify_scene LIKE '%下午茶%' AND classify_taste LIKE '%甜%' ORDER BY random() LIMIT 5;"},{"score":0.7532032325,"content":"我家里有火腿肠和鸡蛋，教我做道简单容易的菜","fileId":"1275470180282040320","chunkId":"117","textGroup":"SELECT id, title, step_contents_list FROM recipe_knowledge_nutrition WHERE classify_crowd LIKE '%懒人%' AND materials_list ILIKE '%火腿肠%' AND materials_list ILIKE '%鸡蛋%' ORDER BY random() LIMIT 5;"}]},{"knowledgeId":"1329399948694220800","knowledgeContent":[{"score":0.7651886575,"content":"请继续烹饪功能","fileId":"1347217269055369216","chunkId":"251","textGroup":"cooking_control {type=continue}"},{"score":0.7618867475,"content":"给我把烹饪结束了","fileId":"1347217269055369216","chunkId":"359","textGroup":"cooking_control {type=stop}"},{"score":0.7579098525,"content":"请帮我烹饪暂停","fileId":"1347217269055369216","chunkId":"197","textGroup":"cooking_control {type=pause}"},{"score":0.7571768124999999,"content":"帮我重新烹饪","fileId":"1347217269055369216","chunkId":"153","textGroup":"cooking_control {type=start}"},{"score":0.75522687,"content":"我明明放了[菜品名称]","fileId":"1347217269055369216","chunkId":"35","textGroup":"set_foodtype_taste"}]},{"knowledgeId":"1272948056214077440","knowledgeContent":[{"score":0.7562070474999999,"content":"问题：你吃饭了吗。\\n回复：还在等待美食中，你想和我一起吃吗？","fileId":"1303425377255075840","chunkId":"2689","textGroup":"你吃饭了吗"},{"score":0.75304475,"content":"问题：我好饿。\\n回复：你想吃点什么呢？小万随时为您效劳","fileId":"1303425377255075840","chunkId":"2762","textGroup":"我好饿"},{"score":0.7516654975,"content":"问题：我吃饱了。\\n回复：吃得饱饱的，精神焕发才能更加出色哦。","fileId":"1303425377255075840","chunkId":"2760","textGroup":"我吃饱了"},{"score":0.75066475,"content":"问题：晚安。\\n回复：晚安。","fileId":"1303425377255075840","chunkId":"2766","textGroup":"晚安"},{"score":0.7498813049999999,"content":"问题：万能除能加热完整的鸡蛋吗。\\n回复：完整的鸡蛋不可以放在微波炉中加热，可能会导致鸡蛋爆炸，建议将鸡蛋打到碗中再进行加热哦","fileId":"1303425377255075840","chunkId":"2641","textGroup":"鸡蛋可以放进微波炉加热吗"},{"score":0.7495951949999999,"content":"问题：可以通过哪个平台了姐到关于你们的情况。\\n回复：您可以通过关注我们的微信公众号、抖音“万得厨的厨”，了解更多关于烹饪技巧和美食分享的内容。","fileId":"1303425377255075840","chunkId":"715","textGroup":"可以从哪了解你们"},{"score":0.</f>
        <v/>
      </c>
      <c r="C1791" t="inlineStr">
        <is>
          <t>INFO</t>
        </is>
      </c>
      <c r="D1791" t="inlineStr">
        <is>
          <t>vdh</t>
        </is>
      </c>
      <c r="E1791" t="inlineStr">
        <is>
          <t>pro14</t>
        </is>
      </c>
      <c r="F1791" t="inlineStr">
        <is>
          <t>prod</t>
        </is>
      </c>
    </row>
    <row r="1792">
      <c r="A1792" t="inlineStr">
        <is>
          <t>2025-05-09 09:39:39.262</t>
        </is>
      </c>
      <c r="B1792" t="inlineStr">
        <is>
          <t>知识库插件检索耗时: 505ms</t>
        </is>
      </c>
      <c r="C1792" t="inlineStr">
        <is>
          <t>INFO</t>
        </is>
      </c>
      <c r="D1792" t="inlineStr">
        <is>
          <t>vdh</t>
        </is>
      </c>
      <c r="E1792" t="inlineStr">
        <is>
          <t>pro14</t>
        </is>
      </c>
      <c r="F1792" t="inlineStr">
        <is>
          <t>prod</t>
        </is>
      </c>
    </row>
    <row r="1793">
      <c r="A1793" t="inlineStr">
        <is>
          <t>2025-05-09 09:39:38.756</t>
        </is>
      </c>
      <c r="B1793">
        <f>=请求开始== [请求IP]:172.18.33.17 ,[请求方式]:POST， [请求URL]:https://172.30.212.148:8080/api/appservice/bfv/v1/knowledge/retrieval/plugin, [请求类名]:com.yingzi.appservice.bfv.provider.rest.KnowledgeRetrievalController,[请求方法名]:plugin, [请求头参数]:{"host":"172.30.212.148:8080"}, [请求参数]:[{"query":"还我还能吃蛋糕啊","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793" t="inlineStr">
        <is>
          <t>INFO</t>
        </is>
      </c>
      <c r="D1793" t="inlineStr">
        <is>
          <t>vdh</t>
        </is>
      </c>
      <c r="E1793" t="inlineStr">
        <is>
          <t>pro14</t>
        </is>
      </c>
      <c r="F1793" t="inlineStr">
        <is>
          <t>prod</t>
        </is>
      </c>
    </row>
    <row r="1794">
      <c r="A1794" t="inlineStr">
        <is>
          <t>2025-05-09 09:39:38.746</t>
        </is>
      </c>
      <c r="B1794">
        <f>=请求开始== [请求IP]:172.18.114.98 ,[请求方式]:POST， [请求URL]:https://172.30.103.196:8080/api/appservice/bfv/v1/chat/, [请求类名]:com.yingzi.appservice.bfv.provider.rest.ChatV1Controller,[请求方法名]:chat, [请求头参数]:{"host":"172.30.103.196:8080"}, [请求参数]:[{"stream":true,"message":"还我还能吃蛋糕啊","args":"{\"adcode\":\"440100\",\"channel_id\":\"9\"}"}]</f>
        <v/>
      </c>
      <c r="C1794" t="inlineStr">
        <is>
          <t>INFO</t>
        </is>
      </c>
      <c r="D1794" t="inlineStr">
        <is>
          <t>vdh</t>
        </is>
      </c>
      <c r="E1794" t="inlineStr">
        <is>
          <t>pro17</t>
        </is>
      </c>
      <c r="F1794" t="inlineStr">
        <is>
          <t>prod</t>
        </is>
      </c>
    </row>
    <row r="1795">
      <c r="A1795" t="inlineStr">
        <is>
          <t>2025-05-09 09:39:29.621</t>
        </is>
      </c>
      <c r="B1795">
        <f>=请求结束== [请求耗时]:15毫秒, [返回数据]:{"code":"000000","msg":"Success","traceId":"5da001e3a366ab9ee5f96ce0ffde221e"}</f>
        <v/>
      </c>
      <c r="C1795" t="inlineStr">
        <is>
          <t>INFO</t>
        </is>
      </c>
      <c r="D1795" t="inlineStr">
        <is>
          <t>vdh</t>
        </is>
      </c>
      <c r="E1795" t="inlineStr">
        <is>
          <t>pro17</t>
        </is>
      </c>
      <c r="F1795" t="inlineStr">
        <is>
          <t>prod</t>
        </is>
      </c>
    </row>
    <row r="1796">
      <c r="A1796" t="inlineStr">
        <is>
          <t>2025-05-09 09:39:29.606</t>
        </is>
      </c>
      <c r="B1796">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Instruction_library","recordId":"","asrResult":"关机","instructionAsrFirstTime":{"year":2025,"monthValue":5,"month":"MAY","dayOfMonth":9,"dayOfYear":129,"dayOfWeek":"FRIDAY","hour":9,"minute":39,"second":28,"nano":0,"chronology":{"id":"ISO","calendarType":"iso8601"}},"knowledgeId":"","knowledgeMasterId":"295","instructionType":"SYSTEM","instructionName":"息屏","instructionFlag":"screen_off","parameter":"{\"answer\":\"DEFAULT\",\"code\":\"screen_off\",\"continue_answer\":\"\",\"continue_failed_answer\":\"\",\"entities\":\"\",\"failed_answer\":\"{\\\"answerId\\\":\\\"\\\",\\\"value\\\":\\\"抱歉，执行错误\\\",\\\"hidb\\\":\\\"\\\",\\\"aplusId\\\":\\\"\\\",\\\"flag\\\":true,\\\"updFlag\\\":false,\\\"cache\\\":false}\",\"hitBusiness\":\"295\",\"init_state\":\"false\",\"intent\":\"息屏\",\"intentType\":\"SYSTEM\",\"isEnd\":\"true\",\"isMulti\":\"false\",\"service\":\"Instruction_library\",\"succeed_answer\":\"{\\\"answerId\\\":\\\"\\\",\\\"value\\\":\\\"好的\\\",\\\"hidb\\\":\\\"\\\",\\\"aplusId\\\":\\\"\\\",\\\"flag\\\":true,\\\"updFlag\\\":false,\\\"cache\\\":false}\"}","ttsResultSource":"FTT","ttsResult":"","ttsResultTime":{"year":2025,"monthValue":5,"month":"MAY","dayOfMonth":9,"dayOfYear":129,"dayOfWeek":"FRIDAY","hour":9,"minute":39,"second":29,"nano":0,"chronology":{"id":"ISO","calendarType":"iso8601"}},"response":229}]]</f>
        <v/>
      </c>
      <c r="C1796" t="inlineStr">
        <is>
          <t>INFO</t>
        </is>
      </c>
      <c r="D1796" t="inlineStr">
        <is>
          <t>vdh</t>
        </is>
      </c>
      <c r="E1796" t="inlineStr">
        <is>
          <t>pro17</t>
        </is>
      </c>
      <c r="F1796" t="inlineStr">
        <is>
          <t>prod</t>
        </is>
      </c>
    </row>
    <row r="1797">
      <c r="A1797" t="inlineStr">
        <is>
          <t>2025-05-09 09:39:29.551</t>
        </is>
      </c>
      <c r="B1797">
        <f>=请求结束== [请求耗时]:2253毫秒</f>
        <v/>
      </c>
      <c r="C1797" t="inlineStr">
        <is>
          <t>INFO</t>
        </is>
      </c>
      <c r="D1797" t="inlineStr">
        <is>
          <t>vdh</t>
        </is>
      </c>
      <c r="E1797" t="inlineStr">
        <is>
          <t>pro14</t>
        </is>
      </c>
      <c r="F1797" t="inlineStr">
        <is>
          <t>prod</t>
        </is>
      </c>
    </row>
    <row r="1798">
      <c r="A1798" t="inlineStr">
        <is>
          <t>2025-05-09 09:39:29.550</t>
        </is>
      </c>
      <c r="B1798" t="inlineStr">
        <is>
          <t>第1次流式调用完成，耗时：1442ms，response: Response { content = AiMessage { text = "你好，有什么可以帮您？" toolExecutionRequests = null }, tokenUsage = TokenUsage { inputTokenCount = 4505, outputTokenCount = 12, totalTokenCount = 4517 }, finishReason = STOP }</t>
        </is>
      </c>
      <c r="C1798" t="inlineStr">
        <is>
          <t>INFO</t>
        </is>
      </c>
      <c r="D1798" t="inlineStr">
        <is>
          <t>vdh</t>
        </is>
      </c>
      <c r="E1798" t="inlineStr">
        <is>
          <t>pro14</t>
        </is>
      </c>
      <c r="F1798" t="inlineStr">
        <is>
          <t>prod</t>
        </is>
      </c>
    </row>
    <row r="1799">
      <c r="A1799" t="inlineStr">
        <is>
          <t>2025-05-09 09:39:29.407</t>
        </is>
      </c>
      <c r="B1799" t="inlineStr">
        <is>
          <t xml:space="preserve">第1次流式调用开始回复，耗时：1299ms，第一个token: </t>
        </is>
      </c>
      <c r="C1799" t="inlineStr">
        <is>
          <t>INFO</t>
        </is>
      </c>
      <c r="D1799" t="inlineStr">
        <is>
          <t>vdh</t>
        </is>
      </c>
      <c r="E1799" t="inlineStr">
        <is>
          <t>pro14</t>
        </is>
      </c>
      <c r="F1799" t="inlineStr">
        <is>
          <t>prod</t>
        </is>
      </c>
    </row>
    <row r="1800">
      <c r="A1800" t="inlineStr">
        <is>
          <t>2025-05-09 09:39:28.287</t>
        </is>
      </c>
      <c r="B1800">
        <f>=请求结束== [请求耗时]:16毫秒, [返回数据]:{"code":"000000","msg":"Success","traceId":"8704f794fde2175fd0838fbd04428465"}</f>
        <v/>
      </c>
      <c r="C1800" t="inlineStr">
        <is>
          <t>INFO</t>
        </is>
      </c>
      <c r="D1800" t="inlineStr">
        <is>
          <t>vdh</t>
        </is>
      </c>
      <c r="E1800" t="inlineStr">
        <is>
          <t>pro14</t>
        </is>
      </c>
      <c r="F1800" t="inlineStr">
        <is>
          <t>prod</t>
        </is>
      </c>
    </row>
    <row r="1801">
      <c r="A1801" t="inlineStr">
        <is>
          <t>2025-05-09 09:39:28.270</t>
        </is>
      </c>
      <c r="B1801">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嗯","instructionAsrFirstTime":{"year":2025,"monthValue":5,"month":"MAY","dayOfMonth":9,"dayOfYear":129,"dayOfWeek":"FRIDAY","hour":9,"minute":39,"second":24,"nano":0,"chronology":{"id":"ISO","calendarType":"iso8601"}},"knowledgeId":"","knowledgeMasterId":"","instructionType":"","instructionName":"","instructionFlag":"","parameter":"{}","ttsResultSource":"FTT","ttsResult":"","response":0}]]</f>
        <v/>
      </c>
      <c r="C1801" t="inlineStr">
        <is>
          <t>INFO</t>
        </is>
      </c>
      <c r="D1801" t="inlineStr">
        <is>
          <t>vdh</t>
        </is>
      </c>
      <c r="E1801" t="inlineStr">
        <is>
          <t>pro14</t>
        </is>
      </c>
      <c r="F1801" t="inlineStr">
        <is>
          <t>prod</t>
        </is>
      </c>
    </row>
    <row r="1802">
      <c r="A1802" t="inlineStr">
        <is>
          <t>2025-05-09 09:39:28.109</t>
        </is>
      </c>
      <c r="B1802" t="inlineStr">
        <is>
          <t>streaming provider=gpt, model: gpt-4o</t>
        </is>
      </c>
      <c r="C1802" t="inlineStr">
        <is>
          <t>INFO</t>
        </is>
      </c>
      <c r="D1802" t="inlineStr">
        <is>
          <t>vdh</t>
        </is>
      </c>
      <c r="E1802" t="inlineStr">
        <is>
          <t>pro14</t>
        </is>
      </c>
      <c r="F1802" t="inlineStr">
        <is>
          <t>prod</t>
        </is>
      </c>
    </row>
    <row r="1803">
      <c r="A1803" t="inlineStr">
        <is>
          <t>2025-05-09 09:39:28.102</t>
        </is>
      </c>
      <c r="B1803">
        <f>=请求结束== [请求耗时]:792毫秒, [返回数据]:{"code":"000000","msg":"Success","data":[{"knowledgeId":"1326868148286373888","knowledgeContent":[{"score":0.7328424175,"content":"：2025年春节/过年/大年初一是1月29日，农历正月初一，星期三。","fileId":"1326944717968060416","chunkId":"paragraph-1"},{"score":0.72037296,"content":"：深圳数影科技的股价是多少？深圳数影科技有限公司没有上市，因此没有股价信息。 广西扬翔股份上市了吗？广西扬翔股份没有上市。","fileId":"1326944717968060416","chunkId":"paragraph-6"},{"score":0.7094145475,"content":"：2025年放假调休日期的具体安排如下： 2025年元旦：1月1日，周三，放假1天，不调休。 2025年除夕/大年夜是1月28日，农历十二月二十九，星期二。","fileId":"1326944717968060416","chunkId":"paragraph-0"}]},{"knowledgeId":"1329399948694220800","knowledgeContent":[{"score":0.7583909525,"content":"请帮我继续微波","fileId":"1347217269055369216","chunkId":"256","textGroup":"cooking_control {type=continue}"},{"score":0.7562827825,"content":"我想微波暂停","fileId":"1347217269055369216","chunkId":"195","textGroup":"cooking_control {type=pause}"},{"score":0.7559810325,"content":"我想了解下新闻热点","fileId":"1329400169758941184","chunkId":"64","textGroup":"news {type=top,size=3}"},{"score":0.7513254549999999,"content":"快启动吧","fileId":"1347217269055369216","chunkId":"137","textGroup":"cooking_control {type=start}"},{"score":0.7497799,"content":"给我把烹饪结束了","fileId":"1347217269055369216","chunkId":"359","textGroup":"cooking_control {type=stop}"},{"score":0.7473669625,"content":"现在天气","fileId":"1329400169758941184","chunkId":"2","textGroup":"getCurrentWeather"}]},{"knowledgeId":"1272948056214077440","knowledgeContent":[{"score":0.7646530724999999,"content":"问题：不满。\\n回复：不满意的地方还请多多包涵。","fileId":"1303425377255075840","chunkId":"2671","textGroup":"不满"},{"score":0.7640617275,"content":"问题：晚安。\\n回复：晚安。","fileId":"1303425377255075840","chunkId":"2766","textGroup":"晚安"},{"score":0.7603591275,"content":"问题：你反应太慢了。\\n回复：抱歉我还在学习，所以反应有点慢。","fileId":"1303425377255075840","chunkId":"2686","textGroup":"你反应太慢了"},{"score":0.759430885,"content":"问题：你真好看。\\n回复：是吧，那得感谢设计我的人。","fileId":"1303425377255075840","chunkId":"2751","textGroup":"你真好看"},{"score":0.758763125,"content":"问题：你什么时候在线。\\n回复：我二十四小时在线的。","fileId":"1303425377255075840","chunkId":"2676","textGroup":"你什么时候在线"},{"score":0.7587228775,"content":"问题：你好。\\n回复：你好，有什么可以帮您。","fileId":"1303425377255075840","chunkId":"2699","textGroup":"你好"},{"score":0.7552546225,"content":"问题：可以和我聊聊天吗。\\n回复：你可以随时找我聊。","fileId":"1303425377255075840","chunkId":"2757","textGroup":"可以和我聊聊天吗"},{"score":0.7549038699999999,"content":"问题：你很智能。\\n回复：谢谢夸奖，我会继续学习的。","fileId":"1303425377255075840","chunkId":"2702","textGroup":"你很智能"},{"score":0.7536764275000001,"content":"问题：早上好。\\n回复：早上好，美好的一天又开始了。","fileId":"1303425377255075840","chunkId":"2764","textGroup":"早上好"},{"score":0.7535836075,"content":"问题：你真棒。\\n回复：谢谢赞美。","fileId":"1303425377255075840","chunkId":"2752","textGroup":"你真棒"},{"score":0.753367835,"content":"问题：谢谢。\\n回复：您客气了。","fileId":"1303425377255075840","chunkId":"2769","textGroup":"谢谢"},{"score":0.7528961274999999,"content":"问题：晚上好。\\n回复：能听见您的声音真好。","fileId":"1303425377255075840","chunkId":"2765","textGroup":"晚上好"},{"score":0.7525622475,"content":"问题：你是机器人吗。\\n回复：我是一个不知疲倦的虚拟人。","fileId":"1303425377255075840","chunkId":"2708","textGroup":"你是机器人吗"},{"score":0.75065761,"content":"问题：再见。\\n回复：拜拜，下次见。","fileId":"1303425377255075840","chunkId":"2756","textGroup":"再见"},{"score":0.7502561975,"content":"问题：你的身高是多少。\\n回复：我的身高是一米五。","fileId":"1303425377255075840","chunkId":"2750","textGroup":"你的身高是多少"}]}]}</f>
        <v/>
      </c>
      <c r="C1803" t="inlineStr">
        <is>
          <t>INFO</t>
        </is>
      </c>
      <c r="D1803" t="inlineStr">
        <is>
          <t>vdh</t>
        </is>
      </c>
      <c r="E1803" t="inlineStr">
        <is>
          <t>pro14</t>
        </is>
      </c>
      <c r="F1803" t="inlineStr">
        <is>
          <t>prod</t>
        </is>
      </c>
    </row>
    <row r="1804">
      <c r="A1804" t="inlineStr">
        <is>
          <t>2025-05-09 09:39:28.102</t>
        </is>
      </c>
      <c r="B1804" t="inlineStr">
        <is>
          <t>知识库插件检索耗时: 790ms</t>
        </is>
      </c>
      <c r="C1804" t="inlineStr">
        <is>
          <t>INFO</t>
        </is>
      </c>
      <c r="D1804" t="inlineStr">
        <is>
          <t>vdh</t>
        </is>
      </c>
      <c r="E1804" t="inlineStr">
        <is>
          <t>pro14</t>
        </is>
      </c>
      <c r="F1804" t="inlineStr">
        <is>
          <t>prod</t>
        </is>
      </c>
    </row>
    <row r="1805">
      <c r="A1805" t="inlineStr">
        <is>
          <t>2025-05-09 09:39:27.426</t>
        </is>
      </c>
      <c r="B1805">
        <f>=请求结束== [请求耗时]:14毫秒, [返回数据]:{"code":"000000","msg":"Success","traceId":"f75d28a64b2db7ae840a0a13201ea1f0"}</f>
        <v/>
      </c>
      <c r="C1805" t="inlineStr">
        <is>
          <t>INFO</t>
        </is>
      </c>
      <c r="D1805" t="inlineStr">
        <is>
          <t>vdh</t>
        </is>
      </c>
      <c r="E1805" t="inlineStr">
        <is>
          <t>pro17</t>
        </is>
      </c>
      <c r="F1805" t="inlineStr">
        <is>
          <t>prod</t>
        </is>
      </c>
    </row>
    <row r="1806">
      <c r="A1806" t="inlineStr">
        <is>
          <t>2025-05-09 09:39:27.412</t>
        </is>
      </c>
      <c r="B1806">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9,"minute":32,"second":46,"nano":0,"chronology":{"id":"ISO","calendarType":"iso8601"}},"response":1746754366825}]]</f>
        <v/>
      </c>
      <c r="C1806" t="inlineStr">
        <is>
          <t>INFO</t>
        </is>
      </c>
      <c r="D1806" t="inlineStr">
        <is>
          <t>vdh</t>
        </is>
      </c>
      <c r="E1806" t="inlineStr">
        <is>
          <t>pro17</t>
        </is>
      </c>
      <c r="F1806" t="inlineStr">
        <is>
          <t>prod</t>
        </is>
      </c>
    </row>
    <row r="1807">
      <c r="A1807" t="inlineStr">
        <is>
          <t>2025-05-09 09:39:27.310</t>
        </is>
      </c>
      <c r="B1807">
        <f>=请求开始== [请求IP]:172.18.33.14 ,[请求方式]:POST， [请求URL]:https://172.30.212.148:8080/api/appservice/bfv/v1/knowledge/retrieval/plugin, [请求类名]:com.yingzi.appservice.bfv.provider.rest.KnowledgeRetrievalController,[请求方法名]:plugin, [请求头参数]:{"host":"172.30.212.148:8080"}, [请求参数]:[{"query":"嗯","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807" t="inlineStr">
        <is>
          <t>INFO</t>
        </is>
      </c>
      <c r="D1807" t="inlineStr">
        <is>
          <t>vdh</t>
        </is>
      </c>
      <c r="E1807" t="inlineStr">
        <is>
          <t>pro14</t>
        </is>
      </c>
      <c r="F1807" t="inlineStr">
        <is>
          <t>prod</t>
        </is>
      </c>
    </row>
    <row r="1808">
      <c r="A1808" t="inlineStr">
        <is>
          <t>2025-05-09 09:39:27.298</t>
        </is>
      </c>
      <c r="B1808">
        <f>=请求开始== [请求IP]:172.18.114.98 ,[请求方式]:POST， [请求URL]:https://172.30.212.148:8080/api/appservice/bfv/v1/chat/, [请求类名]:com.yingzi.appservice.bfv.provider.rest.ChatV1Controller,[请求方法名]:chat, [请求头参数]:{"host":"172.30.212.148:8080"}, [请求参数]:[{"stream":true,"message":"嗯","args":"{\"adcode\":\"440100\",\"channel_id\":\"9\"}"}]</f>
        <v/>
      </c>
      <c r="C1808" t="inlineStr">
        <is>
          <t>INFO</t>
        </is>
      </c>
      <c r="D1808" t="inlineStr">
        <is>
          <t>vdh</t>
        </is>
      </c>
      <c r="E1808" t="inlineStr">
        <is>
          <t>pro14</t>
        </is>
      </c>
      <c r="F1808" t="inlineStr">
        <is>
          <t>prod</t>
        </is>
      </c>
    </row>
    <row r="1809">
      <c r="A1809" t="inlineStr">
        <is>
          <t>2025-05-09 09:39:23.459</t>
        </is>
      </c>
      <c r="B1809">
        <f>=请求结束== [请求耗时]:12毫秒, [返回数据]:{"code":"000000","msg":"Success","traceId":"1c60f9d7a2d03e633c1ad21f422a7b2d"}</f>
        <v/>
      </c>
      <c r="C1809" t="inlineStr">
        <is>
          <t>INFO</t>
        </is>
      </c>
      <c r="D1809" t="inlineStr">
        <is>
          <t>vdh</t>
        </is>
      </c>
      <c r="E1809" t="inlineStr">
        <is>
          <t>pro17</t>
        </is>
      </c>
      <c r="F1809" t="inlineStr">
        <is>
          <t>prod</t>
        </is>
      </c>
    </row>
    <row r="1810">
      <c r="A1810" t="inlineStr">
        <is>
          <t>2025-05-09 09:39:23.447</t>
        </is>
      </c>
      <c r="B1810">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啊啊","instructionAsrFirstTime":{"year":2025,"monthValue":5,"month":"MAY","dayOfMonth":9,"dayOfYear":129,"dayOfWeek":"FRIDAY","hour":9,"minute":39,"second":13,"nano":0,"chronology":{"id":"ISO","calendarType":"iso8601"}},"knowledgeId":"","knowledgeMasterId":"","instructionType":"","instructionName":"","instructionFlag":"","parameter":"{\"nlpId\":\"17300825629321642727spln\",\"service\":\"Chat_library\"}","ttsResultSource":"FTT","ttsResult":"你好,有什么可以帮您?","ttsResultTime":{"year":2025,"monthValue":5,"month":"MAY","dayOfMonth":9,"dayOfYear":129,"dayOfWeek":"FRIDAY","hour":9,"minute":39,"second":19,"nano":0,"chronology":{"id":"ISO","calendarType":"iso8601"}},"response":5200}]]</f>
        <v/>
      </c>
      <c r="C1810" t="inlineStr">
        <is>
          <t>INFO</t>
        </is>
      </c>
      <c r="D1810" t="inlineStr">
        <is>
          <t>vdh</t>
        </is>
      </c>
      <c r="E1810" t="inlineStr">
        <is>
          <t>pro17</t>
        </is>
      </c>
      <c r="F1810" t="inlineStr">
        <is>
          <t>prod</t>
        </is>
      </c>
    </row>
    <row r="1811">
      <c r="A1811" t="inlineStr">
        <is>
          <t>2025-05-09 09:39:18.698</t>
        </is>
      </c>
      <c r="B1811">
        <f>=请求结束== [请求耗时]:4129毫秒</f>
        <v/>
      </c>
      <c r="C1811" t="inlineStr">
        <is>
          <t>INFO</t>
        </is>
      </c>
      <c r="D1811" t="inlineStr">
        <is>
          <t>vdh</t>
        </is>
      </c>
      <c r="E1811" t="inlineStr">
        <is>
          <t>pro17</t>
        </is>
      </c>
      <c r="F1811" t="inlineStr">
        <is>
          <t>prod</t>
        </is>
      </c>
    </row>
    <row r="1812">
      <c r="A1812" t="inlineStr">
        <is>
          <t>2025-05-09 09:39:18.697</t>
        </is>
      </c>
      <c r="B1812" t="inlineStr">
        <is>
          <t>第1次流式调用完成，耗时：3499ms，response: Response { content = AiMessage { text = "你好，有什么可以帮您？" toolExecutionRequests = null }, tokenUsage = TokenUsage { inputTokenCount = 4783, outputTokenCount = 12, totalTokenCount = 4795 }, finishReason = STOP }</t>
        </is>
      </c>
      <c r="C1812" t="inlineStr">
        <is>
          <t>INFO</t>
        </is>
      </c>
      <c r="D1812" t="inlineStr">
        <is>
          <t>vdh</t>
        </is>
      </c>
      <c r="E1812" t="inlineStr">
        <is>
          <t>pro17</t>
        </is>
      </c>
      <c r="F1812" t="inlineStr">
        <is>
          <t>prod</t>
        </is>
      </c>
    </row>
    <row r="1813">
      <c r="A1813" t="inlineStr">
        <is>
          <t>2025-05-09 09:39:18.513</t>
        </is>
      </c>
      <c r="B1813" t="inlineStr">
        <is>
          <t xml:space="preserve">第1次流式调用开始回复，耗时：3315ms，第一个token: </t>
        </is>
      </c>
      <c r="C1813" t="inlineStr">
        <is>
          <t>INFO</t>
        </is>
      </c>
      <c r="D1813" t="inlineStr">
        <is>
          <t>vdh</t>
        </is>
      </c>
      <c r="E1813" t="inlineStr">
        <is>
          <t>pro17</t>
        </is>
      </c>
      <c r="F1813" t="inlineStr">
        <is>
          <t>prod</t>
        </is>
      </c>
    </row>
    <row r="1814">
      <c r="A1814" t="inlineStr">
        <is>
          <t>2025-05-09 09:39:15.198</t>
        </is>
      </c>
      <c r="B1814" t="inlineStr">
        <is>
          <t>streaming provider=gpt, model: gpt-4o</t>
        </is>
      </c>
      <c r="C1814" t="inlineStr">
        <is>
          <t>INFO</t>
        </is>
      </c>
      <c r="D1814" t="inlineStr">
        <is>
          <t>vdh</t>
        </is>
      </c>
      <c r="E1814" t="inlineStr">
        <is>
          <t>pro17</t>
        </is>
      </c>
      <c r="F1814" t="inlineStr">
        <is>
          <t>prod</t>
        </is>
      </c>
    </row>
    <row r="1815">
      <c r="A1815" t="inlineStr">
        <is>
          <t>2025-05-09 09:39:15.188</t>
        </is>
      </c>
      <c r="B1815">
        <f>=请求结束== [请求耗时]:576毫秒, [返回数据]:{"code":"000000","msg":"Success","data":[{"knowledgeId":"1326868148286373888","knowledgeContent":[{"score":0.7248701399999999,"content":"：2025年春节/过年/大年初一是1月29日，农历正月初一，星期三。","fileId":"1326944717968060416","chunkId":"paragraph-1"},{"score":0.7152826925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冬至：•新历：12月21日•农历：十一月初二•星期日","fileId":"1326944717968060416","chunkId":"paragraph-4"},{"score":0.7087643825,"content":"：深圳数影科技的股价是多少？深圳数影科技有限公司没有上市，因此没有股价信息。 广西扬翔股份上市了吗？广西扬翔股份没有上市。","fileId":"1326944717968060416","chunkId":"paragraph-6"}]},{"knowledgeId":"1329399948694220800","knowledgeContent":[{"score":0.757426245,"content":"快启动吧","fileId":"1347217269055369216","chunkId":"137","textGroup":"cooking_control {type=start}"},{"score":0.74712994,"content":"请帮我继续微波","fileId":"1347217269055369216","chunkId":"256","textGroup":"cooking_control {type=continue}"},{"score":0.7453306175000001,"content":"我想微波暂停","fileId":"1347217269055369216","chunkId":"195","textGroup":"cooking_control {type=pause}"},{"score":0.7429457725,"content":"给我把烹饪结束了","fileId":"1347217269055369216","chunkId":"359","textGroup":"cooking_control {type=stop}"},{"score":0.7374648025,"content":"我要听新闻","fileId":"1329400169758941184","chunkId":"60","textGroup":"news {type=top,size=3}"}]},{"knowledgeId":"1272948056214077440","knowledgeContent":[{"score":0.7628068725,"content":"问题：晚安。\\n回复：晚安。","fileId":"1303425377255075840","chunkId":"2766","textGroup":"晚安"},{"score":0.75355713,"content":"问题：你什么时候在线。\\n回复：我二十四小时在线的。","fileId":"1303425377255075840","chunkId":"2676","textGroup":"你什么时候在线"},{"score":0.7509849024999999,"content":"问题：可以和我聊聊天吗。\\n回复：你可以随时找我聊。","fileId":"1303425377255075840","chunkId":"2757","textGroup":"可以和我聊聊天吗"},{"score":0.7494732625,"content":"问题：假期愉快。\\n回复：假期愉快，玩得开心哟！","fileId":"1303425377255075840","chunkId":"2755","textGroup":"假期愉快"},{"score":0.7490676424999999,"content":"问题：不满。\\n回复：不满意的地方还请多多包涵。","fileId":"1303425377255075840","chunkId":"2671","textGroup":"不满"},{"score":0.7483210874999999,"content":"问题：你很智障。\\n回复：要注意文明哦。","fileId":"1303425377255075840","chunkId":"2703","textGroup":"你很智障"},{"score":0.746492865,"content":"问题：你反应太慢了。\\n回复：抱歉我还在学习，所以反应有点慢。","fileId":"1303425377255075840","chunkId":"2686","textGroup":"你反应太慢了"},{"score":0.7460586849999999,"content":"问题：你好。\\n回复：你好，有什么可以帮您。","fileId":"1303425377255075840","chunkId":"2699","textGroup":"你好"},{"score":0.7459119750000001,"content":"问题：早上好。\\n回复：早上好，美好的一天又开始了。","fileId":"1303425377255075840","chunkId":"2764","textGroup":"早上好"},{"score":0.745608015,"content":"问题：我是谁。\\n回复：你就是我的主人呀","fileId":"1303425377255075840","chunkId":"2763","textGroup":"我是谁"},{"score":0.743463125,"content":"问题：好久不见。\\n回复：好久没聊了，我好想念你","fileId":"1303425377255075840","chunkId":"2759","textGroup":"好久不见"},{"score":0.7427158899999999,"content":"问题：你的身高是多少。\\n回复：我的身高是一米五。","fileId":"1303425377255075840","chunkId":"2750","textGroup":"你的身高是多少"},{"score":0.7420965374999999,"content":"问题：你真棒。\\n回复：谢谢赞美。","fileId":"1303425377255075840","chunkId":"2752","textGroup":"你真棒"},{"score":0.741953015,"content":"问题：你的主人是谁。\\n回复：您就是我的主人啊。","fileId":"1303425377255075840","chunkId":"2733","textGroup":"你的主人是谁"},{"score":0.7419501675,"content":"问题：你快乐吗。\\n回复：你快乐我就快乐。","fileId":"1303425377255075840","chunkId":"2704","textGroup":"你快乐吗"}]}]}</f>
        <v/>
      </c>
      <c r="C1815" t="inlineStr">
        <is>
          <t>INFO</t>
        </is>
      </c>
      <c r="D1815" t="inlineStr">
        <is>
          <t>vdh</t>
        </is>
      </c>
      <c r="E1815" t="inlineStr">
        <is>
          <t>pro14</t>
        </is>
      </c>
      <c r="F1815" t="inlineStr">
        <is>
          <t>prod</t>
        </is>
      </c>
    </row>
    <row r="1816">
      <c r="A1816" t="inlineStr">
        <is>
          <t>2025-05-09 09:39:15.187</t>
        </is>
      </c>
      <c r="B1816" t="inlineStr">
        <is>
          <t>知识库插件检索耗时: 574ms</t>
        </is>
      </c>
      <c r="C1816" t="inlineStr">
        <is>
          <t>INFO</t>
        </is>
      </c>
      <c r="D1816" t="inlineStr">
        <is>
          <t>vdh</t>
        </is>
      </c>
      <c r="E1816" t="inlineStr">
        <is>
          <t>pro14</t>
        </is>
      </c>
      <c r="F1816" t="inlineStr">
        <is>
          <t>prod</t>
        </is>
      </c>
    </row>
    <row r="1817">
      <c r="A1817" t="inlineStr">
        <is>
          <t>2025-05-09 09:39:14.612</t>
        </is>
      </c>
      <c r="B1817">
        <f>=请求开始== [请求IP]:172.18.33.17 ,[请求方式]:POST， [请求URL]:https://172.30.212.148:8080/api/appservice/bfv/v1/knowledge/retrieval/plugin, [请求类名]:com.yingzi.appservice.bfv.provider.rest.KnowledgeRetrievalController,[请求方法名]:plugin, [请求头参数]:{"host":"172.30.212.148:8080"}, [请求参数]:[{"query":"啊啊","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817" t="inlineStr">
        <is>
          <t>INFO</t>
        </is>
      </c>
      <c r="D1817" t="inlineStr">
        <is>
          <t>vdh</t>
        </is>
      </c>
      <c r="E1817" t="inlineStr">
        <is>
          <t>pro14</t>
        </is>
      </c>
      <c r="F1817" t="inlineStr">
        <is>
          <t>prod</t>
        </is>
      </c>
    </row>
    <row r="1818">
      <c r="A1818" t="inlineStr">
        <is>
          <t>2025-05-09 09:39:14.569</t>
        </is>
      </c>
      <c r="B1818">
        <f>=请求开始== [请求IP]:172.18.114.98 ,[请求方式]:POST， [请求URL]:https://172.30.103.196:8080/api/appservice/bfv/v1/chat/, [请求类名]:com.yingzi.appservice.bfv.provider.rest.ChatV1Controller,[请求方法名]:chat, [请求头参数]:{"host":"172.30.103.196:8080"}, [请求参数]:[{"stream":true,"message":"啊啊","args":"{\"adcode\":\"440100\",\"channel_id\":\"9\"}"}]</f>
        <v/>
      </c>
      <c r="C1818" t="inlineStr">
        <is>
          <t>INFO</t>
        </is>
      </c>
      <c r="D1818" t="inlineStr">
        <is>
          <t>vdh</t>
        </is>
      </c>
      <c r="E1818" t="inlineStr">
        <is>
          <t>pro17</t>
        </is>
      </c>
      <c r="F1818" t="inlineStr">
        <is>
          <t>prod</t>
        </is>
      </c>
    </row>
    <row r="1819">
      <c r="A1819" t="inlineStr">
        <is>
          <t>2025-05-09 09:39:07.142</t>
        </is>
      </c>
      <c r="B1819">
        <f>=请求结束== [请求耗时]:15毫秒, [返回数据]:{"code":"000000","msg":"Success","traceId":"c5db04df6a8f86a169a6d67cb75be033"}</f>
        <v/>
      </c>
      <c r="C1819" t="inlineStr">
        <is>
          <t>INFO</t>
        </is>
      </c>
      <c r="D1819" t="inlineStr">
        <is>
          <t>vdh</t>
        </is>
      </c>
      <c r="E1819" t="inlineStr">
        <is>
          <t>pro17</t>
        </is>
      </c>
      <c r="F1819" t="inlineStr">
        <is>
          <t>prod</t>
        </is>
      </c>
    </row>
    <row r="1820">
      <c r="A1820" t="inlineStr">
        <is>
          <t>2025-05-09 09:39:07.126</t>
        </is>
      </c>
      <c r="B1820">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Chat_library","recordId":"","asrResult":"是你在","instructionAsrFirstTime":{"year":2025,"monthValue":5,"month":"MAY","dayOfMonth":9,"dayOfYear":129,"dayOfWeek":"FRIDAY","hour":9,"minute":38,"second":56,"nano":0,"chronology":{"id":"ISO","calendarType":"iso8601"}},"knowledgeId":"","knowledgeMasterId":"","instructionType":"","instructionName":"","instructionFlag":"","parameter":"{\"nlpId\":\"17300825629321642727spln\",\"service\":\"Chat_library\"}","ttsResultSource":"FTT","ttsResult":"主人你在哪里我就在哪里,有什么可以帮您的吗?","ttsResultTime":{"year":2025,"monthValue":5,"month":"MAY","dayOfMonth":9,"dayOfYear":129,"dayOfWeek":"FRIDAY","hour":9,"minute":39,"second":3,"nano":0,"chronology":{"id":"ISO","calendarType":"iso8601"}},"response":5533}]]</f>
        <v/>
      </c>
      <c r="C1820" t="inlineStr">
        <is>
          <t>INFO</t>
        </is>
      </c>
      <c r="D1820" t="inlineStr">
        <is>
          <t>vdh</t>
        </is>
      </c>
      <c r="E1820" t="inlineStr">
        <is>
          <t>pro17</t>
        </is>
      </c>
      <c r="F1820" t="inlineStr">
        <is>
          <t>prod</t>
        </is>
      </c>
    </row>
    <row r="1821">
      <c r="A1821" t="inlineStr">
        <is>
          <t>2025-05-09 09:39:01.792</t>
        </is>
      </c>
      <c r="B1821" t="inlineStr">
        <is>
          <t>第1次流式调用完成，耗时：2717ms，response: Response { content = AiMessage { text = "主人你在哪里我就在哪里，有什么可以帮您的吗？" toolExecutionRequests = null }, tokenUsage = TokenUsage { inputTokenCount = 4753, outputTokenCount = 26, totalTokenCount = 4779 }, finishReason = STOP }</t>
        </is>
      </c>
      <c r="C1821" t="inlineStr">
        <is>
          <t>INFO</t>
        </is>
      </c>
      <c r="D1821" t="inlineStr">
        <is>
          <t>vdh</t>
        </is>
      </c>
      <c r="E1821" t="inlineStr">
        <is>
          <t>pro14</t>
        </is>
      </c>
      <c r="F1821" t="inlineStr">
        <is>
          <t>prod</t>
        </is>
      </c>
    </row>
    <row r="1822">
      <c r="A1822" t="inlineStr">
        <is>
          <t>2025-05-09 09:39:01.792</t>
        </is>
      </c>
      <c r="B1822">
        <f>=请求结束== [请求耗时]:3786毫秒</f>
        <v/>
      </c>
      <c r="C1822" t="inlineStr">
        <is>
          <t>INFO</t>
        </is>
      </c>
      <c r="D1822" t="inlineStr">
        <is>
          <t>vdh</t>
        </is>
      </c>
      <c r="E1822" t="inlineStr">
        <is>
          <t>pro14</t>
        </is>
      </c>
      <c r="F1822" t="inlineStr">
        <is>
          <t>prod</t>
        </is>
      </c>
    </row>
    <row r="1823">
      <c r="A1823" t="inlineStr">
        <is>
          <t>2025-05-09 09:39:01.543</t>
        </is>
      </c>
      <c r="B1823" t="inlineStr">
        <is>
          <t xml:space="preserve">第1次流式调用开始回复，耗时：2468ms，第一个token: </t>
        </is>
      </c>
      <c r="C1823" t="inlineStr">
        <is>
          <t>INFO</t>
        </is>
      </c>
      <c r="D1823" t="inlineStr">
        <is>
          <t>vdh</t>
        </is>
      </c>
      <c r="E1823" t="inlineStr">
        <is>
          <t>pro14</t>
        </is>
      </c>
      <c r="F1823" t="inlineStr">
        <is>
          <t>prod</t>
        </is>
      </c>
    </row>
    <row r="1824">
      <c r="A1824" t="inlineStr">
        <is>
          <t>2025-05-09 09:38:59.075</t>
        </is>
      </c>
      <c r="B1824" t="inlineStr">
        <is>
          <t>streaming provider=gpt, model: gpt-4o</t>
        </is>
      </c>
      <c r="C1824" t="inlineStr">
        <is>
          <t>INFO</t>
        </is>
      </c>
      <c r="D1824" t="inlineStr">
        <is>
          <t>vdh</t>
        </is>
      </c>
      <c r="E1824" t="inlineStr">
        <is>
          <t>pro14</t>
        </is>
      </c>
      <c r="F1824" t="inlineStr">
        <is>
          <t>prod</t>
        </is>
      </c>
    </row>
    <row r="1825">
      <c r="A1825" t="inlineStr">
        <is>
          <t>2025-05-09 09:38:59.068</t>
        </is>
      </c>
      <c r="B1825">
        <f>=请求结束== [请求耗时]:1019毫秒, [返回数据]:{"code":"000000","msg":"Success","data":[{"knowledgeId":"1326868148286373888","knowledgeContent":[{"score":0.721233585,"content":"：2025年春节/过年/大年初一是1月29日，农历正月初一，星期三。","fileId":"1326944717968060416","chunkId":"paragraph-1"},{"score":0.70576486,"content":"：深圳数影科技的股价是多少？深圳数影科技有限公司没有上市，因此没有股价信息。 广西扬翔股份上市了吗？广西扬翔股份没有上市。","fileId":"1326944717968060416","chunkId":"paragraph-6"},{"score":0.6989219775,"content":"：小暑：•新历：7月7日•农历：六月十三•星期一 14. 大暑：•新历：7月22日•农历：六月二十八•星期二 15. 立秋：•新历：8月7日•农历：闰六月十四•星期四 16. 处暑：•新历：8月23日•农历：七月初一•星期六 17. 白露：•新历：9月7日•农历：七月十六•星期日 18. 秋分：•新历：9月23日•农历：八月初二•星期二 19. 寒露：•新历：10月8日•农历：八月十七•星期三 20. 霜降：•新历：10月23日•农历：九月初三•星期四 21. 立冬：•新历：11月7日•农历：九月十八•星期五 22. 小雪：•新历：11月22日•农历：十月初三•星期六 23. 大雪：•新历：12月7日•农历：十月十八•星期日 24. 冬至：•新历：12月21日•农历：十一月初二•星期日","fileId":"1326944717968060416","chunkId":"paragraph-4"}]},{"knowledgeId":"1329399948694220800","knowledgeContent":[{"score":0.7501258074999999,"content":"请帮我继续微波","fileId":"1347217269055369216","chunkId":"256","textGroup":"cooking_control {type=continue}"},{"score":0.7437921175,"content":"请暂时停止微波","fileId":"1347217269055369216","chunkId":"193","textGroup":"cooking_control {type=pause}"},{"score":0.7422834949999999,"content":"快启动吧","fileId":"1347217269055369216","chunkId":"137","textGroup":"cooking_control {type=start}"},{"score":0.7408432975,"content":"现在天气","fileId":"1329400169758941184","chunkId":"2","textGroup":"getCurrentWeather"},{"score":0.73990936,"content":"请结束烹调过程","fileId":"1347217269055369216","chunkId":"324","textGroup":"cooking_control {type=stop}"}]},{"knowledgeId":"1272948056214077440","knowledgeContent":[{"score":0.7736259275,"content":"问题：在吗。\\n回复：主人你在哪里我就在哪里。","fileId":"1303425377255075840","chunkId":"2758","textGroup":"在吗"},{"score":0.7621746,"content":"问题：你什么时候在线。\\n回复：我二十四小时在线的。","fileId":"1303425377255075840","chunkId":"2676","textGroup":"你什么时候在线"},{"score":0.7597501875,"content":"问题：我是谁。\\n回复：你就是我的主人呀","fileId":"1303425377255075840","chunkId":"2763","textGroup":"我是谁"},{"score":0.7574495775,"content":"问题：你在什么地方。\\n回复：您在哪里我就在哪里。","fileId":"1303425377255075840","chunkId":"2697","textGroup":"你在什么地方"},{"score":0.7561969325,"content":"问题：晚安。\\n回复：晚安。","fileId":"1303425377255075840","chunkId":"2766","textGroup":"晚安"},{"score":0.7538206725,"content":"问题：好久不见。\\n回复：好久没聊了，我好想念你","fileId":"1303425377255075840","chunkId":"2759","textGroup":"好久不见"},{"score":0.748904655,"content":"问题：你吃饭了吗。\\n回复：还在等待美食中，你想和我一起吃吗？","fileId":"1303425377255075840","chunkId":"2689","textGroup":"你吃饭了吗"},{"score":0.746674085,"content":"问题：你在干嘛呢。\\n回复：我随时等待您的呼叫。","fileId":"1303425377255075840","chunkId":"2698","textGroup":"你在干嘛呢"},{"score":0.7458489475,"content":"问题：再见。\\n回复：拜拜，下次见。","fileId":"1303425377255075840","chunkId":"2756","textGroup":"再见"},{"score":0.7454378875,"content":"问题：你们是否与影子科技有交涉。\\n回复：是影子科技创造了我，没有他我就不能和你相遇呢！","fileId":"1303425377255075840","chunkId":"594","textGroup":"你跟影子科技是否有关系"},{"score":0.7451704775,"content":"问题：你的主人是谁。\\n回复：您就是我的主人啊。","fileId":"1303425377255075840","chunkId":"2733","textGroup":"你的主人是谁"},{"score":0.741736775,"content":"问题：你的妈妈是。\\n回复：我妈妈的名字叫做影子科技","fileId":"1303425377255075840","chunkId":"2738","textGroup":"你的妈妈是"},{"score":0.7414356625,"content":"问题：你好。\\n回复：你好，有什么可以帮您。","fileId":"1303425377255075840","chunkId":"2699","textGroup":"你好"},{"score":0.7413778625,"content":"问题：你真棒。\\n回复：谢谢赞美。","fileId":"1303425377255075840","chunkId":"2752","textGroup":"你真棒"}]}]}</f>
        <v/>
      </c>
      <c r="C1825" t="inlineStr">
        <is>
          <t>INFO</t>
        </is>
      </c>
      <c r="D1825" t="inlineStr">
        <is>
          <t>vdh</t>
        </is>
      </c>
      <c r="E1825" t="inlineStr">
        <is>
          <t>pro14</t>
        </is>
      </c>
      <c r="F1825" t="inlineStr">
        <is>
          <t>prod</t>
        </is>
      </c>
    </row>
    <row r="1826">
      <c r="A1826" t="inlineStr">
        <is>
          <t>2025-05-09 09:38:59.067</t>
        </is>
      </c>
      <c r="B1826" t="inlineStr">
        <is>
          <t>知识库插件检索耗时: 1017ms</t>
        </is>
      </c>
      <c r="C1826" t="inlineStr">
        <is>
          <t>INFO</t>
        </is>
      </c>
      <c r="D1826" t="inlineStr">
        <is>
          <t>vdh</t>
        </is>
      </c>
      <c r="E1826" t="inlineStr">
        <is>
          <t>pro14</t>
        </is>
      </c>
      <c r="F1826" t="inlineStr">
        <is>
          <t>prod</t>
        </is>
      </c>
    </row>
    <row r="1827">
      <c r="A1827" t="inlineStr">
        <is>
          <t>2025-05-09 09:38:58.123</t>
        </is>
      </c>
      <c r="B1827" t="inlineStr">
        <is>
          <t>request data-gateway token response:{"code":200,"data":{"appKey":"yingzi-virtual-human","clientIp":"","deviceId":"","accessType":"RESTFUL","expiresIn":1746761938113,"access_token":"d1f541d4-a4cf-4aa4-b423-490054b7547f"},"msg":"SUCCESS","extendInfo":null,"traceId":"cac07fc5690d70b00d9f4e7e11100055"}</t>
        </is>
      </c>
      <c r="C1827" t="inlineStr">
        <is>
          <t>WARN</t>
        </is>
      </c>
      <c r="D1827" t="inlineStr">
        <is>
          <t>vdh</t>
        </is>
      </c>
      <c r="E1827" t="inlineStr">
        <is>
          <t>pro14</t>
        </is>
      </c>
      <c r="F1827" t="inlineStr">
        <is>
          <t>prod</t>
        </is>
      </c>
    </row>
    <row r="1828">
      <c r="A1828" t="inlineStr">
        <is>
          <t>2025-05-09 09:38:58.049</t>
        </is>
      </c>
      <c r="B1828">
        <f>=请求开始== [请求IP]:172.18.33.14 ,[请求方式]:POST， [请求URL]:https://172.30.212.148:8080/api/appservice/bfv/v1/knowledge/retrieval/plugin, [请求类名]:com.yingzi.appservice.bfv.provider.rest.KnowledgeRetrievalController,[请求方法名]:plugin, [请求头参数]:{"host":"172.30.212.148:8080"}, [请求参数]:[{"query":"是你在","auto_config":1,"knowledge_configs":[{"topk":15,"type":"faq_wda_oven","knowledge_id":"1272948056214077440","vector_threshold":0.78,"match_score":1.0,"vector_boost":0.85},{"topk":20,"type":"command_dual-screen-nvidia_oven","knowledge_id":"1329399948694220800","vector_threshold":0.8,"match_score":0.55,"vector_boost":0.85},{"topk":10,"type":"sql_business_database_recipe","knowledge_id":"1272947938412855296","vector_threshold":0.8,"match_score":0.55,"vector_boost":0.85},{"topk":3,"type":"other","knowledge_id":"1326868148286373888","vector_threshold":0.75,"match_score":0.8,"vector_boost":0.85}]}]</f>
        <v/>
      </c>
      <c r="C1828" t="inlineStr">
        <is>
          <t>INFO</t>
        </is>
      </c>
      <c r="D1828" t="inlineStr">
        <is>
          <t>vdh</t>
        </is>
      </c>
      <c r="E1828" t="inlineStr">
        <is>
          <t>pro14</t>
        </is>
      </c>
      <c r="F1828" t="inlineStr">
        <is>
          <t>prod</t>
        </is>
      </c>
    </row>
    <row r="1829">
      <c r="A1829" t="inlineStr">
        <is>
          <t>2025-05-09 09:38:58.007</t>
        </is>
      </c>
      <c r="B1829">
        <f>=请求开始== [请求IP]:172.18.114.116 ,[请求方式]:POST， [请求URL]:https://172.30.212.148:8080/api/appservice/bfv/v1/chat/, [请求类名]:com.yingzi.appservice.bfv.provider.rest.ChatV1Controller,[请求方法名]:chat, [请求头参数]:{"host":"172.30.212.148:8080"}, [请求参数]:[{"stream":true,"message":"是你在","args":"{\"adcode\":\"440100\",\"channel_id\":\"9\"}"}]</f>
        <v/>
      </c>
      <c r="C1829" t="inlineStr">
        <is>
          <t>INFO</t>
        </is>
      </c>
      <c r="D1829" t="inlineStr">
        <is>
          <t>vdh</t>
        </is>
      </c>
      <c r="E1829" t="inlineStr">
        <is>
          <t>pro14</t>
        </is>
      </c>
      <c r="F1829" t="inlineStr">
        <is>
          <t>prod</t>
        </is>
      </c>
    </row>
    <row r="1830">
      <c r="A1830" t="inlineStr">
        <is>
          <t>2025-05-09 09:38:53.819</t>
        </is>
      </c>
      <c r="B1830">
        <f>=请求结束== [请求耗时]:14毫秒, [返回数据]:{"code":"000000","msg":"Success","traceId":"c545ebf442fedd6139cb18c1760c7084"}</f>
        <v/>
      </c>
      <c r="C1830" t="inlineStr">
        <is>
          <t>INFO</t>
        </is>
      </c>
      <c r="D1830" t="inlineStr">
        <is>
          <t>vdh</t>
        </is>
      </c>
      <c r="E1830" t="inlineStr">
        <is>
          <t>pro17</t>
        </is>
      </c>
      <c r="F1830" t="inlineStr">
        <is>
          <t>prod</t>
        </is>
      </c>
    </row>
    <row r="1831">
      <c r="A1831" t="inlineStr">
        <is>
          <t>2025-05-09 09:38:53.805</t>
        </is>
      </c>
      <c r="B1831">
        <f>=请求开始== [请求IP]:116.21.159.13 ,[请求方式]:POST， [请求URL]:https://172.30.103.196:8080/api/appservice/bfv/v1/chatHistory/batchSave, [请求类名]:com.yingzi.appservice.bfv.provider.rest.ChatHistoryController,[请求方法名]:batchSave, [请求头参数]:{"host":"172.30.103.196:8080"},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831" t="inlineStr">
        <is>
          <t>INFO</t>
        </is>
      </c>
      <c r="D1831" t="inlineStr">
        <is>
          <t>vdh</t>
        </is>
      </c>
      <c r="E1831" t="inlineStr">
        <is>
          <t>pro17</t>
        </is>
      </c>
      <c r="F1831" t="inlineStr">
        <is>
          <t>prod</t>
        </is>
      </c>
    </row>
    <row r="1832">
      <c r="A1832" t="inlineStr">
        <is>
          <t>2025-05-09 09:38:42.873</t>
        </is>
      </c>
      <c r="B1832">
        <f>=请求结束== [请求耗时]:14毫秒, [返回数据]:{"code":"000000","msg":"Success","traceId":"5a69548c1cb1867f6d75a09555d82f51"}</f>
        <v/>
      </c>
      <c r="C1832" t="inlineStr">
        <is>
          <t>INFO</t>
        </is>
      </c>
      <c r="D1832" t="inlineStr">
        <is>
          <t>vdh</t>
        </is>
      </c>
      <c r="E1832" t="inlineStr">
        <is>
          <t>pro14</t>
        </is>
      </c>
      <c r="F1832" t="inlineStr">
        <is>
          <t>prod</t>
        </is>
      </c>
    </row>
    <row r="1833">
      <c r="A1833" t="inlineStr">
        <is>
          <t>2025-05-09 09:38:42.859</t>
        </is>
      </c>
      <c r="B1833">
        <f>=请求开始== [请求IP]:116.21.159.13 ,[请求方式]:POST， [请求URL]:https://172.30.212.148:8080/api/appservice/bfv/v1/chatHistory/batchSave, [请求类名]:com.yingzi.appservice.bfv.provider.rest.ChatHistoryController,[请求方法名]:batchSave, [请求头参数]:{"host":"172.30.212.148:8080"}, [请求参数]:[[{"userId":1080553957409681408,"deviceId":"64:79:F0:79:7A:52","sessionId":"","avatarId":"11200220000208050000000000000000","appCode":"VDHtestWDC","instructionTemplateType":"","recordId":"","asrResult":"","knowledgeId":"","knowledgeMasterId":"","instructionType":"","instructionName":"","instructionFlag":"","parameter":"{}","ttsResultSource":"","ttsResult":"","response":0}]]</f>
        <v/>
      </c>
      <c r="C1833" t="inlineStr">
        <is>
          <t>INFO</t>
        </is>
      </c>
      <c r="D1833" t="inlineStr">
        <is>
          <t>vdh</t>
        </is>
      </c>
      <c r="E1833" t="inlineStr">
        <is>
          <t>pro14</t>
        </is>
      </c>
      <c r="F1833" t="inlineStr">
        <is>
          <t>prod</t>
        </is>
      </c>
    </row>
    <row r="1834">
      <c r="A1834" t="inlineStr">
        <is>
          <t>2025-05-09 09:35:44.822</t>
        </is>
      </c>
      <c r="B1834">
        <f>=请求结束== [请求耗时]:15毫秒, [返回数据]:{"code":"000000","msg":"Success","traceId":"43247ce519e2b54745e3dc66f2c7ad7f"}</f>
        <v/>
      </c>
      <c r="C1834" t="inlineStr">
        <is>
          <t>INFO</t>
        </is>
      </c>
      <c r="D1834" t="inlineStr">
        <is>
          <t>vdh</t>
        </is>
      </c>
      <c r="E1834" t="inlineStr">
        <is>
          <t>pro17</t>
        </is>
      </c>
      <c r="F1834" t="inlineStr">
        <is>
          <t>prod</t>
        </is>
      </c>
    </row>
    <row r="1835">
      <c r="A1835" t="inlineStr">
        <is>
          <t>2025-05-09 09:35:44.807</t>
        </is>
      </c>
      <c r="B1835">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64:79:F0:E9:E1:98","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9,"minute":28,"second":36,"nano":0,"chronology":{"id":"ISO","calendarType":"iso8601"}},"response":1746754116276}]]</f>
        <v/>
      </c>
      <c r="C1835" t="inlineStr">
        <is>
          <t>INFO</t>
        </is>
      </c>
      <c r="D1835" t="inlineStr">
        <is>
          <t>vdh</t>
        </is>
      </c>
      <c r="E1835" t="inlineStr">
        <is>
          <t>pro17</t>
        </is>
      </c>
      <c r="F1835" t="inlineStr">
        <is>
          <t>prod</t>
        </is>
      </c>
    </row>
    <row r="1836">
      <c r="A1836" t="inlineStr">
        <is>
          <t>2025-05-09 09:35:02.452</t>
        </is>
      </c>
      <c r="B1836">
        <f>=请求结束== [请求耗时]:14毫秒, [返回数据]:{"code":"000000","msg":"Success","traceId":"a47d736dbe681c49ae4b190a1236f558"}</f>
        <v/>
      </c>
      <c r="C1836" t="inlineStr">
        <is>
          <t>INFO</t>
        </is>
      </c>
      <c r="D1836" t="inlineStr">
        <is>
          <t>vdh</t>
        </is>
      </c>
      <c r="E1836" t="inlineStr">
        <is>
          <t>pro17</t>
        </is>
      </c>
      <c r="F1836" t="inlineStr">
        <is>
          <t>prod</t>
        </is>
      </c>
    </row>
    <row r="1837">
      <c r="A1837" t="inlineStr">
        <is>
          <t>2025-05-09 09:35:02.438</t>
        </is>
      </c>
      <c r="B1837">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28:D0:EA:87:97:8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9,"minute":28,"second":20,"nano":0,"chronology":{"id":"ISO","calendarType":"iso8601"}},"response":1746754101000}]]</f>
        <v/>
      </c>
      <c r="C1837" t="inlineStr">
        <is>
          <t>INFO</t>
        </is>
      </c>
      <c r="D1837" t="inlineStr">
        <is>
          <t>vdh</t>
        </is>
      </c>
      <c r="E1837" t="inlineStr">
        <is>
          <t>pro17</t>
        </is>
      </c>
      <c r="F1837" t="inlineStr">
        <is>
          <t>prod</t>
        </is>
      </c>
    </row>
    <row r="1838">
      <c r="A1838" t="inlineStr">
        <is>
          <t>2025-05-09 09:31:37.874</t>
        </is>
      </c>
      <c r="B1838">
        <f>=请求结束== [请求耗时]:14毫秒, [返回数据]:{"code":"000000","msg":"Success","traceId":"82b88f1af0b7d85e0440ce6c53cdb18f"}</f>
        <v/>
      </c>
      <c r="C1838" t="inlineStr">
        <is>
          <t>INFO</t>
        </is>
      </c>
      <c r="D1838" t="inlineStr">
        <is>
          <t>vdh</t>
        </is>
      </c>
      <c r="E1838" t="inlineStr">
        <is>
          <t>pro14</t>
        </is>
      </c>
      <c r="F1838" t="inlineStr">
        <is>
          <t>prod</t>
        </is>
      </c>
    </row>
    <row r="1839">
      <c r="A1839" t="inlineStr">
        <is>
          <t>2025-05-09 09:31:37.860</t>
        </is>
      </c>
      <c r="B1839">
        <f>=请求开始== [请求IP]:111.29.153.114 ,[请求方式]:POST， [请求URL]:https://172.30.212.148:8080/api/appservice/bfv/v1/chatHistory/batchSave, [请求类名]:com.yingzi.appservice.bfv.provider.rest.ChatHistoryController,[请求方法名]:batchSave, [请求头参数]:{"host":"172.30.212.148:8080"}, [请求参数]:[[{"userId":764489818596057088,"deviceId":"64:79:F0:79:7A:43","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9,"minute":31,"second":32,"nano":0,"chronology":{"id":"ISO","calendarType":"iso8601"}},"response":1746754292774}]]</f>
        <v/>
      </c>
      <c r="C1839" t="inlineStr">
        <is>
          <t>INFO</t>
        </is>
      </c>
      <c r="D1839" t="inlineStr">
        <is>
          <t>vdh</t>
        </is>
      </c>
      <c r="E1839" t="inlineStr">
        <is>
          <t>pro14</t>
        </is>
      </c>
      <c r="F1839" t="inlineStr">
        <is>
          <t>prod</t>
        </is>
      </c>
    </row>
    <row r="1840">
      <c r="A1840" t="inlineStr">
        <is>
          <t>2025-05-09 09:30:54.272</t>
        </is>
      </c>
      <c r="B1840">
        <f>=请求结束== [请求耗时]:15毫秒, [返回数据]:{"code":"000000","msg":"Success","traceId":"1a27c3d6e4fbada7bcbbdddf6d6f82d2"}</f>
        <v/>
      </c>
      <c r="C1840" t="inlineStr">
        <is>
          <t>INFO</t>
        </is>
      </c>
      <c r="D1840" t="inlineStr">
        <is>
          <t>vdh</t>
        </is>
      </c>
      <c r="E1840" t="inlineStr">
        <is>
          <t>pro17</t>
        </is>
      </c>
      <c r="F1840" t="inlineStr">
        <is>
          <t>prod</t>
        </is>
      </c>
    </row>
    <row r="1841">
      <c r="A1841" t="inlineStr">
        <is>
          <t>2025-05-09 09:30:54.257</t>
        </is>
      </c>
      <c r="B1841">
        <f>=请求开始== [请求IP]:111.29.153.114 ,[请求方式]:POST， [请求URL]:https://172.30.103.196:8080/api/appservice/bfv/v1/chatHistory/batchSave, [请求类名]:com.yingzi.appservice.bfv.provider.rest.ChatHistoryController,[请求方法名]:batchSave, [请求头参数]:{"host":"172.30.103.196:8080"}, [请求参数]:[[{"userId":764489818596057088,"deviceId":"64:79:F0:79:7A:43","sessionId":"","avatarId":"11200220000208050000000000000000","appCode":"VDHtestWDC","instructionTemplateType":"","recordId":"","asrResult":"","knowledgeId":"","knowledgeMasterId":"","instructionType":"","instructionName":"","instructionFlag":"","parameter":"{}","ttsResultSource":"local","ttsResult":"搞定了","ttsResultTime":{"year":2025,"monthValue":5,"month":"MAY","dayOfMonth":9,"dayOfYear":129,"dayOfWeek":"FRIDAY","hour":9,"minute":30,"second":50,"nano":0,"chronology":{"id":"ISO","calendarType":"iso8601"}},"response":1746754250326}]]</f>
        <v/>
      </c>
      <c r="C1841" t="inlineStr">
        <is>
          <t>INFO</t>
        </is>
      </c>
      <c r="D1841" t="inlineStr">
        <is>
          <t>vdh</t>
        </is>
      </c>
      <c r="E1841" t="inlineStr">
        <is>
          <t>pro17</t>
        </is>
      </c>
      <c r="F1841" t="inlineStr">
        <is>
          <t>prod</t>
        </is>
      </c>
    </row>
    <row r="1842">
      <c r="A1842" t="inlineStr">
        <is>
          <t>2025-05-09 09:28:32.702</t>
        </is>
      </c>
      <c r="B1842">
        <f>=请求结束== [请求耗时]:18毫秒, [返回数据]:{"code":"000000","msg":"Success","traceId":"c14fe310eefa8fc5b064f05af560f2d3"}</f>
        <v/>
      </c>
      <c r="C1842" t="inlineStr">
        <is>
          <t>INFO</t>
        </is>
      </c>
      <c r="D1842" t="inlineStr">
        <is>
          <t>vdh</t>
        </is>
      </c>
      <c r="E1842" t="inlineStr">
        <is>
          <t>pro14</t>
        </is>
      </c>
      <c r="F1842" t="inlineStr">
        <is>
          <t>prod</t>
        </is>
      </c>
    </row>
    <row r="1843">
      <c r="A1843" t="inlineStr">
        <is>
          <t>2025-05-09 09:28:32.684</t>
        </is>
      </c>
      <c r="B1843">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8:B1","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9,"minute":25,"second":4,"nano":0,"chronology":{"id":"ISO","calendarType":"iso8601"}},"response":1746753904248}]]</f>
        <v/>
      </c>
      <c r="C1843" t="inlineStr">
        <is>
          <t>INFO</t>
        </is>
      </c>
      <c r="D1843" t="inlineStr">
        <is>
          <t>vdh</t>
        </is>
      </c>
      <c r="E1843" t="inlineStr">
        <is>
          <t>pro14</t>
        </is>
      </c>
      <c r="F1843" t="inlineStr">
        <is>
          <t>prod</t>
        </is>
      </c>
    </row>
    <row r="1844">
      <c r="A1844" t="inlineStr">
        <is>
          <t>2025-05-09 09:27:12.450</t>
        </is>
      </c>
      <c r="B1844">
        <f>=请求结束== [请求耗时]:15毫秒, [返回数据]:{"code":"000000","msg":"Success","traceId":"e77dc78def66b536678c8e52e843fb34"}</f>
        <v/>
      </c>
      <c r="C1844" t="inlineStr">
        <is>
          <t>INFO</t>
        </is>
      </c>
      <c r="D1844" t="inlineStr">
        <is>
          <t>vdh</t>
        </is>
      </c>
      <c r="E1844" t="inlineStr">
        <is>
          <t>pro17</t>
        </is>
      </c>
      <c r="F1844" t="inlineStr">
        <is>
          <t>prod</t>
        </is>
      </c>
    </row>
    <row r="1845">
      <c r="A1845" t="inlineStr">
        <is>
          <t>2025-05-09 09:27:12.435</t>
        </is>
      </c>
      <c r="B1845">
        <f>=请求开始== [请求IP]:111.29.153.114 ,[请求方式]:POST， [请求URL]:https://172.30.103.196:8080/api/appservice/bfv/v1/chatHistory/batchSave, [请求类名]:com.yingzi.appservice.bfv.provider.rest.ChatHistoryController,[请求方法名]:batchSave, [请求头参数]:{"host":"172.30.103.196:8080"}, [请求参数]:[[{"userId":764489818596057088,"deviceId":"64:79:F0:79:7A:43","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9,"minute":27,"second":0,"nano":0,"chronology":{"id":"ISO","calendarType":"iso8601"}},"response":1746754020053}]]</f>
        <v/>
      </c>
      <c r="C1845" t="inlineStr">
        <is>
          <t>INFO</t>
        </is>
      </c>
      <c r="D1845" t="inlineStr">
        <is>
          <t>vdh</t>
        </is>
      </c>
      <c r="E1845" t="inlineStr">
        <is>
          <t>pro17</t>
        </is>
      </c>
      <c r="F1845" t="inlineStr">
        <is>
          <t>prod</t>
        </is>
      </c>
    </row>
    <row r="1846">
      <c r="A1846" t="inlineStr">
        <is>
          <t>2025-05-09 09:26:04.739</t>
        </is>
      </c>
      <c r="B1846">
        <f>=请求结束== [请求耗时]:14毫秒, [返回数据]:{"code":"000000","msg":"Success","traceId":"75adb9e6f3660e170fefec13fb018a41"}</f>
        <v/>
      </c>
      <c r="C1846" t="inlineStr">
        <is>
          <t>INFO</t>
        </is>
      </c>
      <c r="D1846" t="inlineStr">
        <is>
          <t>vdh</t>
        </is>
      </c>
      <c r="E1846" t="inlineStr">
        <is>
          <t>pro14</t>
        </is>
      </c>
      <c r="F1846" t="inlineStr">
        <is>
          <t>prod</t>
        </is>
      </c>
    </row>
    <row r="1847">
      <c r="A1847" t="inlineStr">
        <is>
          <t>2025-05-09 09:26:04.725</t>
        </is>
      </c>
      <c r="B1847">
        <f>=请求开始== [请求IP]:111.29.153.114 ,[请求方式]:POST， [请求URL]:https://172.30.212.148:8080/api/appservice/bfv/v1/chatHistory/batchSave, [请求类名]:com.yingzi.appservice.bfv.provider.rest.ChatHistoryController,[请求方法名]:batchSave, [请求头参数]:{"host":"172.30.212.148:8080"}, [请求参数]:[[{"userId":764489818596057088,"deviceId":"64:79:F0:79:7A:43","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9,"minute":25,"second":59,"nano":0,"chronology":{"id":"ISO","calendarType":"iso8601"}},"response":1746753959479}]]</f>
        <v/>
      </c>
      <c r="C1847" t="inlineStr">
        <is>
          <t>INFO</t>
        </is>
      </c>
      <c r="D1847" t="inlineStr">
        <is>
          <t>vdh</t>
        </is>
      </c>
      <c r="E1847" t="inlineStr">
        <is>
          <t>pro14</t>
        </is>
      </c>
      <c r="F1847" t="inlineStr">
        <is>
          <t>prod</t>
        </is>
      </c>
    </row>
    <row r="1848">
      <c r="A1848" t="inlineStr">
        <is>
          <t>2025-05-09 09:25:04.462</t>
        </is>
      </c>
      <c r="B1848">
        <f>=请求结束== [请求耗时]:14毫秒, [返回数据]:{"code":"000000","msg":"Success","traceId":"c03833e16fab07770210b1a3037906f5"}</f>
        <v/>
      </c>
      <c r="C1848" t="inlineStr">
        <is>
          <t>INFO</t>
        </is>
      </c>
      <c r="D1848" t="inlineStr">
        <is>
          <t>vdh</t>
        </is>
      </c>
      <c r="E1848" t="inlineStr">
        <is>
          <t>pro17</t>
        </is>
      </c>
      <c r="F1848" t="inlineStr">
        <is>
          <t>prod</t>
        </is>
      </c>
    </row>
    <row r="1849">
      <c r="A1849" t="inlineStr">
        <is>
          <t>2025-05-09 09:25:04.448</t>
        </is>
      </c>
      <c r="B1849">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1C:99:57:15:E8:B1","sessionId":"","avatarId":"11200220000208050000000000000000","appCode":"VDHtestWDC","instructionTemplateType":"","recordId":"","asrResult":"","knowledgeId":"","knowledgeMasterId":"","instructionType":"","instructionName":"","instructionFlag":"","parameter":"{}","ttsResultSource":"local","ttsResult":"抱歉小万还没学会这道菜呢,主人试试自助烹饪吧开始烹饪,请耐心等待","ttsResultTime":{"year":2025,"monthValue":5,"month":"MAY","dayOfMonth":9,"dayOfYear":129,"dayOfWeek":"FRIDAY","hour":9,"minute":21,"second":29,"nano":0,"chronology":{"id":"ISO","calendarType":"iso8601"}},"response":1746753689658}]]</f>
        <v/>
      </c>
      <c r="C1849" t="inlineStr">
        <is>
          <t>INFO</t>
        </is>
      </c>
      <c r="D1849" t="inlineStr">
        <is>
          <t>vdh</t>
        </is>
      </c>
      <c r="E1849" t="inlineStr">
        <is>
          <t>pro17</t>
        </is>
      </c>
      <c r="F1849" t="inlineStr">
        <is>
          <t>prod</t>
        </is>
      </c>
    </row>
    <row r="1850">
      <c r="A1850" t="inlineStr">
        <is>
          <t>2025-05-09 09:24:45.787</t>
        </is>
      </c>
      <c r="B1850">
        <f>=请求结束== [请求耗时]:19毫秒, [返回数据]:{"code":"000000","msg":"Success","traceId":"ed7755a1eeec9ad258bd64abb7aa55de"}</f>
        <v/>
      </c>
      <c r="C1850" t="inlineStr">
        <is>
          <t>INFO</t>
        </is>
      </c>
      <c r="D1850" t="inlineStr">
        <is>
          <t>vdh</t>
        </is>
      </c>
      <c r="E1850" t="inlineStr">
        <is>
          <t>pro14</t>
        </is>
      </c>
      <c r="F1850" t="inlineStr">
        <is>
          <t>prod</t>
        </is>
      </c>
    </row>
    <row r="1851">
      <c r="A1851" t="inlineStr">
        <is>
          <t>2025-05-09 09:24:45.768</t>
        </is>
      </c>
      <c r="B1851">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1C:99:57:15:E3:25","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9,"minute":24,"second":40,"nano":0,"chronology":{"id":"ISO","calendarType":"iso8601"}},"response":1746753880157}]]</f>
        <v/>
      </c>
      <c r="C1851" t="inlineStr">
        <is>
          <t>INFO</t>
        </is>
      </c>
      <c r="D1851" t="inlineStr">
        <is>
          <t>vdh</t>
        </is>
      </c>
      <c r="E1851" t="inlineStr">
        <is>
          <t>pro14</t>
        </is>
      </c>
      <c r="F1851" t="inlineStr">
        <is>
          <t>prod</t>
        </is>
      </c>
    </row>
    <row r="1852">
      <c r="A1852" t="inlineStr">
        <is>
          <t>2025-05-09 09:23:54.209</t>
        </is>
      </c>
      <c r="B1852">
        <f>=请求结束== [请求耗时]:15毫秒, [返回数据]:{"code":"000000","msg":"Success","traceId":"3b50d374e2468fcdda4eb4b35a75efad"}</f>
        <v/>
      </c>
      <c r="C1852" t="inlineStr">
        <is>
          <t>INFO</t>
        </is>
      </c>
      <c r="D1852" t="inlineStr">
        <is>
          <t>vdh</t>
        </is>
      </c>
      <c r="E1852" t="inlineStr">
        <is>
          <t>pro17</t>
        </is>
      </c>
      <c r="F1852" t="inlineStr">
        <is>
          <t>prod</t>
        </is>
      </c>
    </row>
    <row r="1853">
      <c r="A1853" t="inlineStr">
        <is>
          <t>2025-05-09 09:23:54.194</t>
        </is>
      </c>
      <c r="B1853">
        <f>=请求开始== [请求IP]:171.104.158.186 ,[请求方式]:POST， [请求URL]:https://172.30.103.196:8080/api/appservice/bfv/v1/chatHistory/batchSave, [请求类名]:com.yingzi.appservice.bfv.provider.rest.ChatHistoryController,[请求方法名]:batchSave, [请求头参数]:{"host":"172.30.103.196:8080"}, [请求参数]:[[{"userId":733421349915111424,"deviceId":"F4:CE:23:BC:1A:E2","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9,"minute":23,"second":48,"nano":0,"chronology":{"id":"ISO","calendarType":"iso8601"}},"response":1746753828904}]]</f>
        <v/>
      </c>
      <c r="C1853" t="inlineStr">
        <is>
          <t>INFO</t>
        </is>
      </c>
      <c r="D1853" t="inlineStr">
        <is>
          <t>vdh</t>
        </is>
      </c>
      <c r="E1853" t="inlineStr">
        <is>
          <t>pro17</t>
        </is>
      </c>
      <c r="F1853" t="inlineStr">
        <is>
          <t>prod</t>
        </is>
      </c>
    </row>
    <row r="1854">
      <c r="A1854" t="inlineStr">
        <is>
          <t>2025-05-09 09:20:44.641</t>
        </is>
      </c>
      <c r="B1854">
        <f>=请求结束== [请求耗时]:12毫秒, [返回数据]:{"code":"000000","msg":"Success","traceId":"445f8d61806458585d4b2ae4ead8ed71"}</f>
        <v/>
      </c>
      <c r="C1854" t="inlineStr">
        <is>
          <t>INFO</t>
        </is>
      </c>
      <c r="D1854" t="inlineStr">
        <is>
          <t>vdh</t>
        </is>
      </c>
      <c r="E1854" t="inlineStr">
        <is>
          <t>pro14</t>
        </is>
      </c>
      <c r="F1854" t="inlineStr">
        <is>
          <t>prod</t>
        </is>
      </c>
    </row>
    <row r="1855">
      <c r="A1855" t="inlineStr">
        <is>
          <t>2025-05-09 09:20:44.630</t>
        </is>
      </c>
      <c r="B1855">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64:79:F0:E9:E1:98","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9,"minute":13,"second":36,"nano":0,"chronology":{"id":"ISO","calendarType":"iso8601"}},"response":1746753216310}]]</f>
        <v/>
      </c>
      <c r="C1855" t="inlineStr">
        <is>
          <t>INFO</t>
        </is>
      </c>
      <c r="D1855" t="inlineStr">
        <is>
          <t>vdh</t>
        </is>
      </c>
      <c r="E1855" t="inlineStr">
        <is>
          <t>pro14</t>
        </is>
      </c>
      <c r="F1855" t="inlineStr">
        <is>
          <t>prod</t>
        </is>
      </c>
    </row>
    <row r="1856">
      <c r="A1856" t="inlineStr">
        <is>
          <t>2025-05-09 09:20:16.818</t>
        </is>
      </c>
      <c r="B1856">
        <f>=请求结束== [请求耗时]:10毫秒, [返回数据]:{"code":"000000","msg":"Success","traceId":"7d8445d5f8ed2d370697b599e2c0d0f9"}</f>
        <v/>
      </c>
      <c r="C1856" t="inlineStr">
        <is>
          <t>INFO</t>
        </is>
      </c>
      <c r="D1856" t="inlineStr">
        <is>
          <t>vdh</t>
        </is>
      </c>
      <c r="E1856" t="inlineStr">
        <is>
          <t>pro17</t>
        </is>
      </c>
      <c r="F1856" t="inlineStr">
        <is>
          <t>prod</t>
        </is>
      </c>
    </row>
    <row r="1857">
      <c r="A1857" t="inlineStr">
        <is>
          <t>2025-05-09 09:20:16.808</t>
        </is>
      </c>
      <c r="B1857">
        <f>=请求开始== [请求IP]:119.32.28.2 ,[请求方式]:POST， [请求URL]:https://172.30.103.196:8080/api/appservice/bfv/v1/chatHistory/batchSave, [请求类名]:com.yingzi.appservice.bfv.provider.rest.ChatHistoryController,[请求方法名]:batchSave, [请求头参数]:{"host":"172.30.103.196:8080"}, [请求参数]:[[{"userId":1151876849451257858,"deviceId":"84:5C:F3:27:DE:40","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9,"minute":19,"second":51,"nano":0,"chronology":{"id":"ISO","calendarType":"iso8601"}},"response":1746753591905}]]</f>
        <v/>
      </c>
      <c r="C1857" t="inlineStr">
        <is>
          <t>INFO</t>
        </is>
      </c>
      <c r="D1857" t="inlineStr">
        <is>
          <t>vdh</t>
        </is>
      </c>
      <c r="E1857" t="inlineStr">
        <is>
          <t>pro17</t>
        </is>
      </c>
      <c r="F1857" t="inlineStr">
        <is>
          <t>prod</t>
        </is>
      </c>
    </row>
    <row r="1858">
      <c r="A1858" t="inlineStr">
        <is>
          <t>2025-05-09 09:19:47.971</t>
        </is>
      </c>
      <c r="B1858">
        <f>=请求结束== [请求耗时]:16毫秒, [返回数据]:{"code":"000000","msg":"Success","traceId":"147129fb8a98faae77e8401afa263e89"}</f>
        <v/>
      </c>
      <c r="C1858" t="inlineStr">
        <is>
          <t>INFO</t>
        </is>
      </c>
      <c r="D1858" t="inlineStr">
        <is>
          <t>vdh</t>
        </is>
      </c>
      <c r="E1858" t="inlineStr">
        <is>
          <t>pro14</t>
        </is>
      </c>
      <c r="F1858" t="inlineStr">
        <is>
          <t>prod</t>
        </is>
      </c>
    </row>
    <row r="1859">
      <c r="A1859" t="inlineStr">
        <is>
          <t>2025-05-09 09:19:47.955</t>
        </is>
      </c>
      <c r="B1859">
        <f>=请求开始== [请求IP]:119.32.28.2 ,[请求方式]:POST， [请求URL]:https://172.30.212.148:8080/api/appservice/bfv/v1/chatHistory/batchSave, [请求类名]:com.yingzi.appservice.bfv.provider.rest.ChatHistoryController,[请求方法名]:batchSave, [请求头参数]:{"host":"172.30.212.148:8080"}, [请求参数]:[[{"userId":1350158289398116352,"deviceId":"1C:99:57:15:E5:D7","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9,"minute":19,"second":42,"nano":0,"chronology":{"id":"ISO","calendarType":"iso8601"}},"response":1746753582801}]]</f>
        <v/>
      </c>
      <c r="C1859" t="inlineStr">
        <is>
          <t>INFO</t>
        </is>
      </c>
      <c r="D1859" t="inlineStr">
        <is>
          <t>vdh</t>
        </is>
      </c>
      <c r="E1859" t="inlineStr">
        <is>
          <t>pro14</t>
        </is>
      </c>
      <c r="F1859" t="inlineStr">
        <is>
          <t>prod</t>
        </is>
      </c>
    </row>
    <row r="1860">
      <c r="A1860" t="inlineStr">
        <is>
          <t>2025-05-09 09:19:26.809</t>
        </is>
      </c>
      <c r="B1860">
        <f>=请求结束== [请求耗时]:18毫秒, [返回数据]:{"code":"000000","msg":"Success","traceId":"91bbbc7faecb2dc2a25ee9144d287ba9"}</f>
        <v/>
      </c>
      <c r="C1860" t="inlineStr">
        <is>
          <t>INFO</t>
        </is>
      </c>
      <c r="D1860" t="inlineStr">
        <is>
          <t>vdh</t>
        </is>
      </c>
      <c r="E1860" t="inlineStr">
        <is>
          <t>pro17</t>
        </is>
      </c>
      <c r="F1860" t="inlineStr">
        <is>
          <t>prod</t>
        </is>
      </c>
    </row>
    <row r="1861">
      <c r="A1861" t="inlineStr">
        <is>
          <t>2025-05-09 09:19:26.791</t>
        </is>
      </c>
      <c r="B1861">
        <f>=请求开始== [请求IP]:119.32.28.2 ,[请求方式]:POST， [请求URL]:https://172.30.103.196:8080/api/appservice/bfv/v1/chatHistory/batchSave, [请求类名]:com.yingzi.appservice.bfv.provider.rest.ChatHistoryController,[请求方法名]:batchSave, [请求头参数]:{"host":"172.30.103.196:8080"}, [请求参数]:[[{"userId":1350158289398116352,"deviceId":"1C:99:57:15:E5:D7","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9,"minute":19,"second":21,"nano":0,"chronology":{"id":"ISO","calendarType":"iso8601"}},"response":1746753561490}]]</f>
        <v/>
      </c>
      <c r="C1861" t="inlineStr">
        <is>
          <t>INFO</t>
        </is>
      </c>
      <c r="D1861" t="inlineStr">
        <is>
          <t>vdh</t>
        </is>
      </c>
      <c r="E1861" t="inlineStr">
        <is>
          <t>pro17</t>
        </is>
      </c>
      <c r="F1861" t="inlineStr">
        <is>
          <t>prod</t>
        </is>
      </c>
    </row>
    <row r="1862">
      <c r="A1862" t="inlineStr">
        <is>
          <t>2025-05-09 09:10:07.137</t>
        </is>
      </c>
      <c r="B1862">
        <f>=请求结束== [请求耗时]:17毫秒, [返回数据]:{"code":"000000","msg":"Success","traceId":"3f990ad1f2bdfc4b00f6ea5acf3ec8e6"}</f>
        <v/>
      </c>
      <c r="C1862" t="inlineStr">
        <is>
          <t>INFO</t>
        </is>
      </c>
      <c r="D1862" t="inlineStr">
        <is>
          <t>vdh</t>
        </is>
      </c>
      <c r="E1862" t="inlineStr">
        <is>
          <t>pro14</t>
        </is>
      </c>
      <c r="F1862" t="inlineStr">
        <is>
          <t>prod</t>
        </is>
      </c>
    </row>
    <row r="1863">
      <c r="A1863" t="inlineStr">
        <is>
          <t>2025-05-09 09:10:07.120</t>
        </is>
      </c>
      <c r="B1863">
        <f>=请求开始== [请求IP]:27.18.172.114 ,[请求方式]:POST， [请求URL]:https://172.30.212.148:8080/api/appservice/bfv/v1/chatHistory/batchSave, [请求类名]:com.yingzi.appservice.bfv.provider.rest.ChatHistoryController,[请求方法名]:batchSave, [请求头参数]:{"host":"172.30.212.148:8080"}, [请求参数]:[[{"userId":1031239387796570112,"deviceId":"64:79:F0:79:7A:FC","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9,"minute":10,"second":1,"nano":0,"chronology":{"id":"ISO","calendarType":"iso8601"}},"response":1746753001810}]]</f>
        <v/>
      </c>
      <c r="C1863" t="inlineStr">
        <is>
          <t>INFO</t>
        </is>
      </c>
      <c r="D1863" t="inlineStr">
        <is>
          <t>vdh</t>
        </is>
      </c>
      <c r="E1863" t="inlineStr">
        <is>
          <t>pro14</t>
        </is>
      </c>
      <c r="F1863" t="inlineStr">
        <is>
          <t>prod</t>
        </is>
      </c>
    </row>
    <row r="1864">
      <c r="A1864" t="inlineStr">
        <is>
          <t>2025-05-09 08:59:41.680</t>
        </is>
      </c>
      <c r="B1864">
        <f>=请求结束== [请求耗时]:18毫秒, [返回数据]:{"code":"000000","msg":"Success","traceId":"71c9b47f63dd52bd05c744b88c18c90e"}</f>
        <v/>
      </c>
      <c r="C1864" t="inlineStr">
        <is>
          <t>INFO</t>
        </is>
      </c>
      <c r="D1864" t="inlineStr">
        <is>
          <t>vdh</t>
        </is>
      </c>
      <c r="E1864" t="inlineStr">
        <is>
          <t>pro14</t>
        </is>
      </c>
      <c r="F1864" t="inlineStr">
        <is>
          <t>prod</t>
        </is>
      </c>
    </row>
    <row r="1865">
      <c r="A1865" t="inlineStr">
        <is>
          <t>2025-05-09 08:59:41.662</t>
        </is>
      </c>
      <c r="B1865">
        <f>=请求开始== [请求IP]:171.104.158.186 ,[请求方式]:POST， [请求URL]:https://172.30.212.148:8080/api/appservice/bfv/v1/chatHistory/batchSave, [请求类名]:com.yingzi.appservice.bfv.provider.rest.ChatHistoryController,[请求方法名]:batchSave, [请求头参数]:{"host":"172.30.212.148:8080"}, [请求参数]:[[{"userId":733421349915111424,"deviceId":"28:D0:EA:87:97:8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8,"minute":53,"second":1,"nano":0,"chronology":{"id":"ISO","calendarType":"iso8601"}},"response":1746751981069}]]</f>
        <v/>
      </c>
      <c r="C1865" t="inlineStr">
        <is>
          <t>INFO</t>
        </is>
      </c>
      <c r="D1865" t="inlineStr">
        <is>
          <t>vdh</t>
        </is>
      </c>
      <c r="E1865" t="inlineStr">
        <is>
          <t>pro14</t>
        </is>
      </c>
      <c r="F1865" t="inlineStr">
        <is>
          <t>prod</t>
        </is>
      </c>
    </row>
    <row r="1866">
      <c r="A1866" t="inlineStr">
        <is>
          <t>2025-05-09 08:52:49.857</t>
        </is>
      </c>
      <c r="B1866">
        <f>=请求结束== [请求耗时]:16毫秒, [返回数据]:{"code":"000000","msg":"Success","traceId":"06427bc971c8bb443668f5250f155190"}</f>
        <v/>
      </c>
      <c r="C1866" t="inlineStr">
        <is>
          <t>INFO</t>
        </is>
      </c>
      <c r="D1866" t="inlineStr">
        <is>
          <t>vdh</t>
        </is>
      </c>
      <c r="E1866" t="inlineStr">
        <is>
          <t>pro17</t>
        </is>
      </c>
      <c r="F1866" t="inlineStr">
        <is>
          <t>prod</t>
        </is>
      </c>
    </row>
    <row r="1867">
      <c r="A1867" t="inlineStr">
        <is>
          <t>2025-05-09 08:52:49.842</t>
        </is>
      </c>
      <c r="B1867">
        <f>=请求开始== [请求IP]:111.58.143.86 ,[请求方式]:POST， [请求URL]:https://172.30.103.196:8080/api/appservice/bfv/v1/chatHistory/batchSave, [请求类名]:com.yingzi.appservice.bfv.provider.rest.ChatHistoryController,[请求方法名]:batchSave, [请求头参数]:{"host":"172.30.103.196:8080"}, [请求参数]:[[{"userId":1152116363876749313,"deviceId":"28:D0:EA:87:98:6C","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8,"minute":52,"second":45,"nano":0,"chronology":{"id":"ISO","calendarType":"iso8601"}},"response":1746751965306}]]</f>
        <v/>
      </c>
      <c r="C1867" t="inlineStr">
        <is>
          <t>INFO</t>
        </is>
      </c>
      <c r="D1867" t="inlineStr">
        <is>
          <t>vdh</t>
        </is>
      </c>
      <c r="E1867" t="inlineStr">
        <is>
          <t>pro17</t>
        </is>
      </c>
      <c r="F1867" t="inlineStr">
        <is>
          <t>prod</t>
        </is>
      </c>
    </row>
    <row r="1868">
      <c r="A1868" t="inlineStr">
        <is>
          <t>2025-05-09 08:34:09.507</t>
        </is>
      </c>
      <c r="B1868">
        <f>=请求结束== [请求耗时]:16毫秒, [返回数据]:{"code":"000000","msg":"Success","traceId":"706f22deef2cd9ce1ed5a41f04ec297b"}</f>
        <v/>
      </c>
      <c r="C1868" t="inlineStr">
        <is>
          <t>INFO</t>
        </is>
      </c>
      <c r="D1868" t="inlineStr">
        <is>
          <t>vdh</t>
        </is>
      </c>
      <c r="E1868" t="inlineStr">
        <is>
          <t>pro17</t>
        </is>
      </c>
      <c r="F1868" t="inlineStr">
        <is>
          <t>prod</t>
        </is>
      </c>
    </row>
    <row r="1869">
      <c r="A1869" t="inlineStr">
        <is>
          <t>2025-05-09 08:34:09.491</t>
        </is>
      </c>
      <c r="B1869">
        <f>=请求开始== [请求IP]:221.7.181.82 ,[请求方式]:POST， [请求URL]:https://172.30.103.196:8080/api/appservice/bfv/v1/chatHistory/batchSave, [请求类名]:com.yingzi.appservice.bfv.provider.rest.ChatHistoryController,[请求方法名]:batchSave, [请求头参数]:{"host":"172.30.103.196:8080"}, [请求参数]:[[{"userId":748109107975774208,"deviceId":"64:79:F0:79:7A:8E","sessionId":"","avatarId":"11200220000208050000000000000000","appCode":"VDHtestWDC","instructionTemplateType":"","recordId":"","asrResult":"","knowledgeId":"","knowledgeMasterId":"","instructionType":"","instructionName":"","instructionFlag":"","parameter":"{}","ttsResultSource":"local","ttsResult":"小万发现了牛奶蛋羹,请选择烹饪模式","ttsResultTime":{"year":2025,"monthValue":5,"month":"MAY","dayOfMonth":9,"dayOfYear":129,"dayOfWeek":"FRIDAY","hour":8,"minute":29,"second":14,"nano":0,"chronology":{"id":"ISO","calendarType":"iso8601"}},"response":1746750554678}]]</f>
        <v/>
      </c>
      <c r="C1869" t="inlineStr">
        <is>
          <t>INFO</t>
        </is>
      </c>
      <c r="D1869" t="inlineStr">
        <is>
          <t>vdh</t>
        </is>
      </c>
      <c r="E1869" t="inlineStr">
        <is>
          <t>pro17</t>
        </is>
      </c>
      <c r="F1869" t="inlineStr">
        <is>
          <t>prod</t>
        </is>
      </c>
    </row>
    <row r="1870">
      <c r="A1870" t="inlineStr">
        <is>
          <t>2025-05-09 08:33:39.222</t>
        </is>
      </c>
      <c r="B1870">
        <f>=请求结束== [请求耗时]:15毫秒, [返回数据]:{"code":"000000","msg":"Success","traceId":"8383f86780461a088837c0cb58f86388"}</f>
        <v/>
      </c>
      <c r="C1870" t="inlineStr">
        <is>
          <t>INFO</t>
        </is>
      </c>
      <c r="D1870" t="inlineStr">
        <is>
          <t>vdh</t>
        </is>
      </c>
      <c r="E1870" t="inlineStr">
        <is>
          <t>pro14</t>
        </is>
      </c>
      <c r="F1870" t="inlineStr">
        <is>
          <t>prod</t>
        </is>
      </c>
    </row>
    <row r="1871">
      <c r="A1871" t="inlineStr">
        <is>
          <t>2025-05-09 08:33:39.207</t>
        </is>
      </c>
      <c r="B1871">
        <f>=请求开始== [请求IP]:116.252.3.41 ,[请求方式]:POST， [请求URL]:https://172.30.212.148:8080/api/appservice/bfv/v1/chatHistory/batchSave, [请求类名]:com.yingzi.appservice.bfv.provider.rest.ChatHistoryController,[请求方法名]:batchSave, [请求头参数]:{"host":"172.30.212.148:8080"}, [请求参数]:[[{"userId":1307428772386054144,"deviceId":"28:D0:EA:87:35:89","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8,"minute":33,"second":33,"nano":0,"chronology":{"id":"ISO","calendarType":"iso8601"}},"response":1746750813911}]]</f>
        <v/>
      </c>
      <c r="C1871" t="inlineStr">
        <is>
          <t>INFO</t>
        </is>
      </c>
      <c r="D1871" t="inlineStr">
        <is>
          <t>vdh</t>
        </is>
      </c>
      <c r="E1871" t="inlineStr">
        <is>
          <t>pro14</t>
        </is>
      </c>
      <c r="F1871" t="inlineStr">
        <is>
          <t>prod</t>
        </is>
      </c>
    </row>
    <row r="1872">
      <c r="A1872" t="inlineStr">
        <is>
          <t>2025-05-09 08:32:19.978</t>
        </is>
      </c>
      <c r="B1872">
        <f>=请求结束== [请求耗时]:16毫秒, [返回数据]:{"code":"000000","msg":"Success","traceId":"e03cfa622041734130703aa0a222e83e"}</f>
        <v/>
      </c>
      <c r="C1872" t="inlineStr">
        <is>
          <t>INFO</t>
        </is>
      </c>
      <c r="D1872" t="inlineStr">
        <is>
          <t>vdh</t>
        </is>
      </c>
      <c r="E1872" t="inlineStr">
        <is>
          <t>pro17</t>
        </is>
      </c>
      <c r="F1872" t="inlineStr">
        <is>
          <t>prod</t>
        </is>
      </c>
    </row>
    <row r="1873">
      <c r="A1873" t="inlineStr">
        <is>
          <t>2025-05-09 08:32:19.962</t>
        </is>
      </c>
      <c r="B1873">
        <f>=请求开始== [请求IP]:116.9.6.7 ,[请求方式]:POST， [请求URL]:https://172.30.103.196:8080/api/appservice/bfv/v1/chatHistory/batchSave, [请求类名]:com.yingzi.appservice.bfv.provider.rest.ChatHistoryController,[请求方法名]:batchSave, [请求头参数]:{"host":"172.30.103.196:8080"}, [请求参数]:[[{"userId":908023031466074113,"deviceId":"28:D0:EA:87:39:C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8,"minute":32,"second":14,"nano":0,"chronology":{"id":"ISO","calendarType":"iso8601"}},"response":1746750734664}]]</f>
        <v/>
      </c>
      <c r="C1873" t="inlineStr">
        <is>
          <t>INFO</t>
        </is>
      </c>
      <c r="D1873" t="inlineStr">
        <is>
          <t>vdh</t>
        </is>
      </c>
      <c r="E1873" t="inlineStr">
        <is>
          <t>pro17</t>
        </is>
      </c>
      <c r="F1873" t="inlineStr">
        <is>
          <t>prod</t>
        </is>
      </c>
    </row>
    <row r="1874">
      <c r="A1874" t="inlineStr">
        <is>
          <t>2025-05-09 08:23:32.837</t>
        </is>
      </c>
      <c r="B1874">
        <f>=请求结束== [请求耗时]:12毫秒, [返回数据]:{"code":"000000","msg":"Success","traceId":"5f0ce19169556d8fc5af461b49baf1ed"}</f>
        <v/>
      </c>
      <c r="C1874" t="inlineStr">
        <is>
          <t>INFO</t>
        </is>
      </c>
      <c r="D1874" t="inlineStr">
        <is>
          <t>vdh</t>
        </is>
      </c>
      <c r="E1874" t="inlineStr">
        <is>
          <t>pro14</t>
        </is>
      </c>
      <c r="F1874" t="inlineStr">
        <is>
          <t>prod</t>
        </is>
      </c>
    </row>
    <row r="1875">
      <c r="A1875" t="inlineStr">
        <is>
          <t>2025-05-09 08:23:32.825</t>
        </is>
      </c>
      <c r="B1875">
        <f>=请求开始== [请求IP]:117.183.10.243 ,[请求方式]:POST， [请求URL]:https://172.30.212.148:8080/api/appservice/bfv/v1/chatHistory/batchSave, [请求类名]:com.yingzi.appservice.bfv.provider.rest.ChatHistoryController,[请求方法名]:batchSave, [请求头参数]:{"host":"172.30.212.148:8080"}, [请求参数]:[[{"userId":908023031667400709,"deviceId":"28:D0:EA:87:3A:2F","sessionId":"","avatarId":"11200220000208050000000000000000","appCode":"VDHtestWDC","instructionTemplateType":"","recordId":"","asrResult":"","knowledgeId":"","knowledgeMasterId":"","instructionType":"","instructionName":"","instructionFlag":"","parameter":"{}","ttsResultSource":"local","ttsResult":"好的烹饪完成,请取餐,小心烫","ttsResultTime":{"year":2025,"monthValue":5,"month":"MAY","dayOfMonth":9,"dayOfYear":129,"dayOfWeek":"FRIDAY","hour":7,"minute":40,"second":6,"nano":0,"chronology":{"id":"ISO","calendarType":"iso8601"}},"response":1746747606963}]]</f>
        <v/>
      </c>
      <c r="C1875" t="inlineStr">
        <is>
          <t>INFO</t>
        </is>
      </c>
      <c r="D1875" t="inlineStr">
        <is>
          <t>vdh</t>
        </is>
      </c>
      <c r="E1875" t="inlineStr">
        <is>
          <t>pro14</t>
        </is>
      </c>
      <c r="F1875" t="inlineStr">
        <is>
          <t>prod</t>
        </is>
      </c>
    </row>
    <row r="1876">
      <c r="A1876" t="inlineStr">
        <is>
          <t>2025-05-09 08:22:45.841</t>
        </is>
      </c>
      <c r="B1876">
        <f>=请求结束== [请求耗时]:16毫秒, [返回数据]:{"code":"000000","msg":"Success","traceId":"1aef532e0b8d37fa1ea33745390ba6b4"}</f>
        <v/>
      </c>
      <c r="C1876" t="inlineStr">
        <is>
          <t>INFO</t>
        </is>
      </c>
      <c r="D1876" t="inlineStr">
        <is>
          <t>vdh</t>
        </is>
      </c>
      <c r="E1876" t="inlineStr">
        <is>
          <t>pro17</t>
        </is>
      </c>
      <c r="F1876" t="inlineStr">
        <is>
          <t>prod</t>
        </is>
      </c>
    </row>
    <row r="1877">
      <c r="A1877" t="inlineStr">
        <is>
          <t>2025-05-09 08:22:45.825</t>
        </is>
      </c>
      <c r="B1877">
        <f>=请求开始== [请求IP]:111.58.68.11 ,[请求方式]:POST， [请求URL]:https://172.30.103.196:8080/api/appservice/bfv/v1/chatHistory/batchSave, [请求类名]:com.yingzi.appservice.bfv.provider.rest.ChatHistoryController,[请求方法名]:batchSave, [请求头参数]:{"host":"172.30.103.196:8080"}, [请求参数]:[[{"userId":1310293454334205952,"deviceId":"1C:99:57:15:5F:8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8,"minute":22,"second":40,"nano":0,"chronology":{"id":"ISO","calendarType":"iso8601"}},"response":1746750160467}]]</f>
        <v/>
      </c>
      <c r="C1877" t="inlineStr">
        <is>
          <t>INFO</t>
        </is>
      </c>
      <c r="D1877" t="inlineStr">
        <is>
          <t>vdh</t>
        </is>
      </c>
      <c r="E1877" t="inlineStr">
        <is>
          <t>pro17</t>
        </is>
      </c>
      <c r="F1877" t="inlineStr">
        <is>
          <t>prod</t>
        </is>
      </c>
    </row>
    <row r="1878">
      <c r="A1878" t="inlineStr">
        <is>
          <t>2025-05-09 08:22:23.498</t>
        </is>
      </c>
      <c r="B1878">
        <f>=请求结束== [请求耗时]:15毫秒, [返回数据]:{"code":"000000","msg":"Success","traceId":"5b86a8be645ab847de8a5da90ab7ebe4"}</f>
        <v/>
      </c>
      <c r="C1878" t="inlineStr">
        <is>
          <t>INFO</t>
        </is>
      </c>
      <c r="D1878" t="inlineStr">
        <is>
          <t>vdh</t>
        </is>
      </c>
      <c r="E1878" t="inlineStr">
        <is>
          <t>pro14</t>
        </is>
      </c>
      <c r="F1878" t="inlineStr">
        <is>
          <t>prod</t>
        </is>
      </c>
    </row>
    <row r="1879">
      <c r="A1879" t="inlineStr">
        <is>
          <t>2025-05-09 08:22:23.483</t>
        </is>
      </c>
      <c r="B1879">
        <f>=请求开始== [请求IP]:221.7.181.82 ,[请求方式]:POST， [请求URL]:https://172.30.212.148:8080/api/appservice/bfv/v1/chatHistory/batchSave, [请求类名]:com.yingzi.appservice.bfv.provider.rest.ChatHistoryController,[请求方法名]:batchSave, [请求头参数]:{"host":"172.30.212.148:8080"}, [请求参数]:[[{"userId":748109107975774208,"deviceId":"64:79:F0:79:7A:8E","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8,"minute":17,"second":27,"nano":0,"chronology":{"id":"ISO","calendarType":"iso8601"}},"response":1746749847998}]]</f>
        <v/>
      </c>
      <c r="C1879" t="inlineStr">
        <is>
          <t>INFO</t>
        </is>
      </c>
      <c r="D1879" t="inlineStr">
        <is>
          <t>vdh</t>
        </is>
      </c>
      <c r="E1879" t="inlineStr">
        <is>
          <t>pro14</t>
        </is>
      </c>
      <c r="F1879" t="inlineStr">
        <is>
          <t>prod</t>
        </is>
      </c>
    </row>
    <row r="1880">
      <c r="A1880" t="inlineStr">
        <is>
          <t>2025-05-09 08:22:13.854</t>
        </is>
      </c>
      <c r="B1880">
        <f>=请求结束== [请求耗时]:14毫秒, [返回数据]:{"code":"000000","msg":"Success","traceId":"3793f3c7632e0635bcb26d058bddbb2e"}</f>
        <v/>
      </c>
      <c r="C1880" t="inlineStr">
        <is>
          <t>INFO</t>
        </is>
      </c>
      <c r="D1880" t="inlineStr">
        <is>
          <t>vdh</t>
        </is>
      </c>
      <c r="E1880" t="inlineStr">
        <is>
          <t>pro17</t>
        </is>
      </c>
      <c r="F1880" t="inlineStr">
        <is>
          <t>prod</t>
        </is>
      </c>
    </row>
    <row r="1881">
      <c r="A1881" t="inlineStr">
        <is>
          <t>2025-05-09 08:22:13.840</t>
        </is>
      </c>
      <c r="B1881">
        <f>=请求开始== [请求IP]:111.58.68.11 ,[请求方式]:POST， [请求URL]:https://172.30.103.196:8080/api/appservice/bfv/v1/chatHistory/batchSave, [请求类名]:com.yingzi.appservice.bfv.provider.rest.ChatHistoryController,[请求方法名]:batchSave, [请求头参数]:{"host":"172.30.103.196:8080"}, [请求参数]:[[{"userId":1310293454334205952,"deviceId":"1C:99:57:15:5F:8B","sessionId":"","avatarId":"11200220000208050000000000000000","appCode":"VDHtestWDC","instructionTemplateType":"","recordId":"","asrResult":"","knowledgeId":"","knowledgeMasterId":"","instructionType":"","instructionName":"","instructionFlag":"","parameter":"{}","ttsResultSource":"local","ttsResult":"这道菜小万还没学会,可以使用自助烹饪!好嘞,已经按照推荐的温度调好了,要帮主人开始烹饪吗开始烹饪,请耐心等待","ttsResultTime":{"year":2025,"monthValue":5,"month":"MAY","dayOfMonth":9,"dayOfYear":129,"dayOfWeek":"FRIDAY","hour":8,"minute":21,"second":38,"nano":0,"chronology":{"id":"ISO","calendarType":"iso8601"}},"response":1746750098722}]]</f>
        <v/>
      </c>
      <c r="C1881" t="inlineStr">
        <is>
          <t>INFO</t>
        </is>
      </c>
      <c r="D1881" t="inlineStr">
        <is>
          <t>vdh</t>
        </is>
      </c>
      <c r="E1881" t="inlineStr">
        <is>
          <t>pro17</t>
        </is>
      </c>
      <c r="F1881" t="inlineStr">
        <is>
          <t>prod</t>
        </is>
      </c>
    </row>
    <row r="1882">
      <c r="A1882" t="inlineStr">
        <is>
          <t>2025-05-09 08:22:03.024</t>
        </is>
      </c>
      <c r="B1882">
        <f>=请求结束== [请求耗时]:12毫秒, [返回数据]:{"code":"000000","msg":"Success","traceId":"8cc19fbf8fb4f6a4c842671e68723876"}</f>
        <v/>
      </c>
      <c r="C1882" t="inlineStr">
        <is>
          <t>INFO</t>
        </is>
      </c>
      <c r="D1882" t="inlineStr">
        <is>
          <t>vdh</t>
        </is>
      </c>
      <c r="E1882" t="inlineStr">
        <is>
          <t>pro14</t>
        </is>
      </c>
      <c r="F1882" t="inlineStr">
        <is>
          <t>prod</t>
        </is>
      </c>
    </row>
    <row r="1883">
      <c r="A1883" t="inlineStr">
        <is>
          <t>2025-05-09 08:22:03.012</t>
        </is>
      </c>
      <c r="B1883">
        <f>=请求开始== [请求IP]:116.252.3.41 ,[请求方式]:POST， [请求URL]:https://172.30.212.148:8080/api/appservice/bfv/v1/chatHistory/batchSave, [请求类名]:com.yingzi.appservice.bfv.provider.rest.ChatHistoryController,[请求方法名]:batchSave, [请求头参数]:{"host":"172.30.212.148:8080"}, [请求参数]:[[{"userId":1307428772386054144,"deviceId":"28:D0:EA:87:35:89","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8,"minute":21,"second":57,"nano":0,"chronology":{"id":"ISO","calendarType":"iso8601"}},"response":1746750117766}]]</f>
        <v/>
      </c>
      <c r="C1883" t="inlineStr">
        <is>
          <t>INFO</t>
        </is>
      </c>
      <c r="D1883" t="inlineStr">
        <is>
          <t>vdh</t>
        </is>
      </c>
      <c r="E1883" t="inlineStr">
        <is>
          <t>pro14</t>
        </is>
      </c>
      <c r="F1883" t="inlineStr">
        <is>
          <t>prod</t>
        </is>
      </c>
    </row>
    <row r="1884">
      <c r="A1884" t="inlineStr">
        <is>
          <t>2025-05-09 08:21:54.294</t>
        </is>
      </c>
      <c r="B1884">
        <f>=请求结束== [请求耗时]:16毫秒, [返回数据]:{"code":"000000","msg":"Success","traceId":"823994522861b9446fe68ad2183ed53d"}</f>
        <v/>
      </c>
      <c r="C1884" t="inlineStr">
        <is>
          <t>INFO</t>
        </is>
      </c>
      <c r="D1884" t="inlineStr">
        <is>
          <t>vdh</t>
        </is>
      </c>
      <c r="E1884" t="inlineStr">
        <is>
          <t>pro17</t>
        </is>
      </c>
      <c r="F1884" t="inlineStr">
        <is>
          <t>prod</t>
        </is>
      </c>
    </row>
    <row r="1885">
      <c r="A1885" t="inlineStr">
        <is>
          <t>2025-05-09 08:21:54.278</t>
        </is>
      </c>
      <c r="B1885">
        <f>=请求开始== [请求IP]:116.252.3.41 ,[请求方式]:POST， [请求URL]:https://172.30.103.196:8080/api/appservice/bfv/v1/chatHistory/batchSave, [请求类名]:com.yingzi.appservice.bfv.provider.rest.ChatHistoryController,[请求方法名]:batchSave, [请求头参数]:{"host":"172.30.103.196:8080"}, [请求参数]:[[{"userId":1307428772386054144,"deviceId":"28:D0:EA:87:35:89","sessionId":"","avatarId":"11200220000208050000000000000000","appCode":"VDHtestWDC","instructionTemplateType":"","recordId":"","asrResult":"","knowledgeId":"","knowledgeMasterId":"","instructionType":"","instructionName":"","instructionFlag":"","parameter":"{}","ttsResultSource":"local","ttsResult":"小万发现了贝贝南瓜,要帮主人开始烹饪吗","ttsResultTime":{"year":2025,"monthValue":5,"month":"MAY","dayOfMonth":9,"dayOfYear":129,"dayOfWeek":"FRIDAY","hour":8,"minute":21,"second":45,"nano":0,"chronology":{"id":"ISO","calendarType":"iso8601"}},"response":1746750105089}]]</f>
        <v/>
      </c>
      <c r="C1885" t="inlineStr">
        <is>
          <t>INFO</t>
        </is>
      </c>
      <c r="D1885" t="inlineStr">
        <is>
          <t>vdh</t>
        </is>
      </c>
      <c r="E1885" t="inlineStr">
        <is>
          <t>pro17</t>
        </is>
      </c>
      <c r="F1885" t="inlineStr">
        <is>
          <t>prod</t>
        </is>
      </c>
    </row>
    <row r="1886">
      <c r="A1886" t="inlineStr">
        <is>
          <t>2025-05-09 08:21:44.313</t>
        </is>
      </c>
      <c r="B1886">
        <f>=请求结束== [请求耗时]:19毫秒, [返回数据]:{"code":"000000","msg":"Success","traceId":"0f98cc43c89a76b930a77a58b29d6117"}</f>
        <v/>
      </c>
      <c r="C1886" t="inlineStr">
        <is>
          <t>INFO</t>
        </is>
      </c>
      <c r="D1886" t="inlineStr">
        <is>
          <t>vdh</t>
        </is>
      </c>
      <c r="E1886" t="inlineStr">
        <is>
          <t>pro14</t>
        </is>
      </c>
      <c r="F1886" t="inlineStr">
        <is>
          <t>prod</t>
        </is>
      </c>
    </row>
    <row r="1887">
      <c r="A1887" t="inlineStr">
        <is>
          <t>2025-05-09 08:21:44.294</t>
        </is>
      </c>
      <c r="B1887">
        <f>=请求开始== [请求IP]:116.252.3.41 ,[请求方式]:POST， [请求URL]:https://172.30.212.148:8080/api/appservice/bfv/v1/chatHistory/batchSave, [请求类名]:com.yingzi.appservice.bfv.provider.rest.ChatHistoryController,[请求方法名]:batchSave, [请求头参数]:{"host":"172.30.212.148:8080"}, [请求参数]:[[{"userId":1307428772386054144,"deviceId":"28:D0:EA:87:35:89","sessionId":"","avatarId":"11200220000208050000000000000000","appCode":"VDHtestWDC","instructionTemplateType":"","recordId":"","asrResult":"","knowledgeId":"","knowledgeMasterId":"","instructionType":"","instructionName":"","instructionFlag":"","parameter":"{}","ttsResultSource":"local","ttsResult":"小万发现了贝贝南瓜,请选择一下烹饪模式","ttsResultTime":{"year":2025,"monthValue":5,"month":"MAY","dayOfMonth":9,"dayOfYear":129,"dayOfWeek":"FRIDAY","hour":8,"minute":21,"second":35,"nano":0,"chronology":{"id":"ISO","calendarType":"iso8601"}},"response":1746750095106}]]</f>
        <v/>
      </c>
      <c r="C1887" t="inlineStr">
        <is>
          <t>INFO</t>
        </is>
      </c>
      <c r="D1887" t="inlineStr">
        <is>
          <t>vdh</t>
        </is>
      </c>
      <c r="E1887" t="inlineStr">
        <is>
          <t>pro14</t>
        </is>
      </c>
      <c r="F1887" t="inlineStr">
        <is>
          <t>prod</t>
        </is>
      </c>
    </row>
    <row r="1888">
      <c r="A1888" t="inlineStr">
        <is>
          <t>2025-05-09 08:12:22.136</t>
        </is>
      </c>
      <c r="B1888">
        <f>=请求结束== [请求耗时]:11毫秒, [返回数据]:{"code":"000000","msg":"Success","traceId":"b2cb2372f80740737c549d8419fe2ae0"}</f>
        <v/>
      </c>
      <c r="C1888" t="inlineStr">
        <is>
          <t>INFO</t>
        </is>
      </c>
      <c r="D1888" t="inlineStr">
        <is>
          <t>vdh</t>
        </is>
      </c>
      <c r="E1888" t="inlineStr">
        <is>
          <t>pro17</t>
        </is>
      </c>
      <c r="F1888" t="inlineStr">
        <is>
          <t>prod</t>
        </is>
      </c>
    </row>
    <row r="1889">
      <c r="A1889" t="inlineStr">
        <is>
          <t>2025-05-09 08:12:22.125</t>
        </is>
      </c>
      <c r="B1889">
        <f>=请求开始== [请求IP]:221.7.181.82 ,[请求方式]:POST， [请求URL]:https://172.30.103.196:8080/api/appservice/bfv/v1/chatHistory/batchSave, [请求类名]:com.yingzi.appservice.bfv.provider.rest.ChatHistoryController,[请求方法名]:batchSave, [请求头参数]:{"host":"172.30.103.196:8080"}, [请求参数]:[[{"userId":748109107975774208,"deviceId":"64:79:F0:79:7A:8E","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8,"minute":7,"second":26,"nano":0,"chronology":{"id":"ISO","calendarType":"iso8601"}},"response":1746749246670}]]</f>
        <v/>
      </c>
      <c r="C1889" t="inlineStr">
        <is>
          <t>INFO</t>
        </is>
      </c>
      <c r="D1889" t="inlineStr">
        <is>
          <t>vdh</t>
        </is>
      </c>
      <c r="E1889" t="inlineStr">
        <is>
          <t>pro17</t>
        </is>
      </c>
      <c r="F1889" t="inlineStr">
        <is>
          <t>prod</t>
        </is>
      </c>
    </row>
    <row r="1890">
      <c r="A1890" t="inlineStr">
        <is>
          <t>2025-05-09 08:12:03.421</t>
        </is>
      </c>
      <c r="B1890">
        <f>=请求结束== [请求耗时]:14毫秒, [返回数据]:{"code":"000000","msg":"Success","traceId":"1056db03e52d24b024f56c95f287a3a5"}</f>
        <v/>
      </c>
      <c r="C1890" t="inlineStr">
        <is>
          <t>INFO</t>
        </is>
      </c>
      <c r="D1890" t="inlineStr">
        <is>
          <t>vdh</t>
        </is>
      </c>
      <c r="E1890" t="inlineStr">
        <is>
          <t>pro14</t>
        </is>
      </c>
      <c r="F1890" t="inlineStr">
        <is>
          <t>prod</t>
        </is>
      </c>
    </row>
    <row r="1891">
      <c r="A1891" t="inlineStr">
        <is>
          <t>2025-05-09 08:12:03.407</t>
        </is>
      </c>
      <c r="B1891">
        <f>=请求开始== [请求IP]:221.7.181.82 ,[请求方式]:POST， [请求URL]:https://172.30.212.148:8080/api/appservice/bfv/v1/chatHistory/batchSave, [请求类名]:com.yingzi.appservice.bfv.provider.rest.ChatHistoryController,[请求方法名]:batchSave, [请求头参数]:{"host":"172.30.212.148:8080"}, [请求参数]:[[{"userId":748109107975774208,"deviceId":"64:79:F0:79:7A:8E","sessionId":"","avatarId":"11200220000208050000000000000000","appCode":"VDHtestWDC","instructionTemplateType":"","recordId":"","asrResult":"","knowledgeId":"","knowledgeMasterId":"","instructionType":"","instructionName":"","instructionFlag":"","parameter":"{}","ttsResultSource":"local","ttsResult":"小万发现了刀削面,主人喜欢默认还是速食口感","ttsResultTime":{"year":2025,"monthValue":5,"month":"MAY","dayOfMonth":9,"dayOfYear":129,"dayOfWeek":"FRIDAY","hour":8,"minute":7,"second":8,"nano":0,"chronology":{"id":"ISO","calendarType":"iso8601"}},"response":1746749228573}]]</f>
        <v/>
      </c>
      <c r="C1891" t="inlineStr">
        <is>
          <t>INFO</t>
        </is>
      </c>
      <c r="D1891" t="inlineStr">
        <is>
          <t>vdh</t>
        </is>
      </c>
      <c r="E1891" t="inlineStr">
        <is>
          <t>pro14</t>
        </is>
      </c>
      <c r="F1891" t="inlineStr">
        <is>
          <t>prod</t>
        </is>
      </c>
    </row>
    <row r="1892">
      <c r="A1892" t="inlineStr">
        <is>
          <t>2025-05-09 08:11:53.491</t>
        </is>
      </c>
      <c r="B1892">
        <f>=请求结束== [请求耗时]:15毫秒, [返回数据]:{"code":"000000","msg":"Success","traceId":"40eb4dbe34f082360725b7a24e626c19"}</f>
        <v/>
      </c>
      <c r="C1892" t="inlineStr">
        <is>
          <t>INFO</t>
        </is>
      </c>
      <c r="D1892" t="inlineStr">
        <is>
          <t>vdh</t>
        </is>
      </c>
      <c r="E1892" t="inlineStr">
        <is>
          <t>pro17</t>
        </is>
      </c>
      <c r="F1892" t="inlineStr">
        <is>
          <t>prod</t>
        </is>
      </c>
    </row>
    <row r="1893">
      <c r="A1893" t="inlineStr">
        <is>
          <t>2025-05-09 08:11:53.476</t>
        </is>
      </c>
      <c r="B1893">
        <f>=请求开始== [请求IP]:221.7.181.82 ,[请求方式]:POST， [请求URL]:https://172.30.103.196:8080/api/appservice/bfv/v1/chatHistory/batchSave, [请求类名]:com.yingzi.appservice.bfv.provider.rest.ChatHistoryController,[请求方法名]:batchSave, [请求头参数]:{"host":"172.30.103.196:8080"}, [请求参数]:[[{"userId":748109107975774208,"deviceId":"64:79:F0:79:7A:8E","sessionId":"","avatarId":"11200220000208050000000000000000","appCode":"VDHtestWDC","instructionTemplateType":"","recordId":"","asrResult":"","knowledgeId":"","knowledgeMasterId":"","instructionType":"","instructionName":"","instructionFlag":"","parameter":"{}","ttsResultSource":"local","ttsResult":"","response":0}]]</f>
        <v/>
      </c>
      <c r="C1893" t="inlineStr">
        <is>
          <t>INFO</t>
        </is>
      </c>
      <c r="D1893" t="inlineStr">
        <is>
          <t>vdh</t>
        </is>
      </c>
      <c r="E1893" t="inlineStr">
        <is>
          <t>pro17</t>
        </is>
      </c>
      <c r="F1893" t="inlineStr">
        <is>
          <t>prod</t>
        </is>
      </c>
    </row>
    <row r="1894">
      <c r="A1894" t="inlineStr">
        <is>
          <t>2025-05-09 08:11:40.396</t>
        </is>
      </c>
      <c r="B1894">
        <f>=请求结束== [请求耗时]:13毫秒, [返回数据]:{"code":"000000","msg":"Success","traceId":"e8022213669262b0c458eb1028292908"}</f>
        <v/>
      </c>
      <c r="C1894" t="inlineStr">
        <is>
          <t>INFO</t>
        </is>
      </c>
      <c r="D1894" t="inlineStr">
        <is>
          <t>vdh</t>
        </is>
      </c>
      <c r="E1894" t="inlineStr">
        <is>
          <t>pro14</t>
        </is>
      </c>
      <c r="F1894" t="inlineStr">
        <is>
          <t>prod</t>
        </is>
      </c>
    </row>
    <row r="1895">
      <c r="A1895" t="inlineStr">
        <is>
          <t>2025-05-09 08:11:40.383</t>
        </is>
      </c>
      <c r="B1895">
        <f>=请求开始== [请求IP]:221.7.181.82 ,[请求方式]:POST， [请求URL]:https://172.30.212.148:8080/api/appservice/bfv/v1/chatHistory/batchSave, [请求类名]:com.yingzi.appservice.bfv.provider.rest.ChatHistoryController,[请求方法名]:batchSave, [请求头参数]:{"host":"172.30.212.148:8080"}, [请求参数]:[[{"userId":748109107975774208,"deviceId":"64:79:F0:79:7A:8E","sessionId":"","avatarId":"11200220000208050000000000000000","appCode":"VDHtestWDC","instructionTemplateType":"","recordId":"","asrResult":"","knowledgeId":"","knowledgeMasterId":"","instructionType":"","instructionName":"","instructionFlag":"","parameter":"{}","ttsResultSource":"local","ttsResult":"小万发现了刀削面,主人喜欢默认还是速食口感","ttsResultTime":{"year":2025,"monthValue":5,"month":"MAY","dayOfMonth":9,"dayOfYear":129,"dayOfWeek":"FRIDAY","hour":8,"minute":6,"second":44,"nano":0,"chronology":{"id":"ISO","calendarType":"iso8601"}},"response":1746749204671}]]</f>
        <v/>
      </c>
      <c r="C1895" t="inlineStr">
        <is>
          <t>INFO</t>
        </is>
      </c>
      <c r="D1895" t="inlineStr">
        <is>
          <t>vdh</t>
        </is>
      </c>
      <c r="E1895" t="inlineStr">
        <is>
          <t>pro14</t>
        </is>
      </c>
      <c r="F1895" t="inlineStr">
        <is>
          <t>prod</t>
        </is>
      </c>
    </row>
    <row r="1896">
      <c r="A1896" t="inlineStr">
        <is>
          <t>2025-05-09 08:11:20.825</t>
        </is>
      </c>
      <c r="B1896">
        <f>=请求结束== [请求耗时]:14毫秒, [返回数据]:{"code":"000000","msg":"Success","traceId":"e023fa362a599cc72f837cbdbc2b6a10"}</f>
        <v/>
      </c>
      <c r="C1896" t="inlineStr">
        <is>
          <t>INFO</t>
        </is>
      </c>
      <c r="D1896" t="inlineStr">
        <is>
          <t>vdh</t>
        </is>
      </c>
      <c r="E1896" t="inlineStr">
        <is>
          <t>pro17</t>
        </is>
      </c>
      <c r="F1896" t="inlineStr">
        <is>
          <t>prod</t>
        </is>
      </c>
    </row>
    <row r="1897">
      <c r="A1897" t="inlineStr">
        <is>
          <t>2025-05-09 08:11:20.811</t>
        </is>
      </c>
      <c r="B1897">
        <f>=请求开始== [请求IP]:221.7.181.82 ,[请求方式]:POST， [请求URL]:https://172.30.103.196:8080/api/appservice/bfv/v1/chatHistory/batchSave, [请求类名]:com.yingzi.appservice.bfv.provider.rest.ChatHistoryController,[请求方法名]:batchSave, [请求头参数]:{"host":"172.30.103.196:8080"}, [请求参数]:[[{"userId":748109107975774208,"deviceId":"64:79:F0:79:7A:8E","sessionId":"","avatarId":"11200220000208050000000000000000","appCode":"VDHtestWDC","instructionTemplateType":"","recordId":"","asrResult":"","knowledgeId":"","knowledgeMasterId":"","instructionType":"","instructionName":"","instructionFlag":"","parameter":"{}","ttsResultSource":"local","ttsResult":"选好了,主人喜欢即食还是非即食口感","ttsResultTime":{"year":2025,"monthValue":5,"month":"MAY","dayOfMonth":9,"dayOfYear":129,"dayOfWeek":"FRIDAY","hour":8,"minute":6,"second":26,"nano":0,"chronology":{"id":"ISO","calendarType":"iso8601"}},"response":1746749186943}]]</f>
        <v/>
      </c>
      <c r="C1897" t="inlineStr">
        <is>
          <t>INFO</t>
        </is>
      </c>
      <c r="D1897" t="inlineStr">
        <is>
          <t>vdh</t>
        </is>
      </c>
      <c r="E1897" t="inlineStr">
        <is>
          <t>pro17</t>
        </is>
      </c>
      <c r="F1897" t="inlineStr">
        <is>
          <t>prod</t>
        </is>
      </c>
    </row>
    <row r="1898">
      <c r="A1898" t="inlineStr">
        <is>
          <t>2025-05-09 08:11:20.482</t>
        </is>
      </c>
      <c r="B1898">
        <f>=请求结束== [请求耗时]:14毫秒, [返回数据]:{"code":"000000","msg":"Success","traceId":"60d2bda315e52a14b821ed376c40ef49"}</f>
        <v/>
      </c>
      <c r="C1898" t="inlineStr">
        <is>
          <t>INFO</t>
        </is>
      </c>
      <c r="D1898" t="inlineStr">
        <is>
          <t>vdh</t>
        </is>
      </c>
      <c r="E1898" t="inlineStr">
        <is>
          <t>pro14</t>
        </is>
      </c>
      <c r="F1898" t="inlineStr">
        <is>
          <t>prod</t>
        </is>
      </c>
    </row>
    <row r="1899">
      <c r="A1899" t="inlineStr">
        <is>
          <t>2025-05-09 08:11:20.468</t>
        </is>
      </c>
      <c r="B1899">
        <f>=请求开始== [请求IP]:221.7.181.82 ,[请求方式]:POST， [请求URL]:https://172.30.212.148:8080/api/appservice/bfv/v1/chatHistory/batchSave, [请求类名]:com.yingzi.appservice.bfv.provider.rest.ChatHistoryController,[请求方法名]:batchSave, [请求头参数]:{"host":"172.30.212.148:8080"}, [请求参数]:[[{"userId":748109107975774208,"deviceId":"64:79:F0:79:7A:8E","sessionId":"","avatarId":"11200220000208050000000000000000","appCode":"VDHtestWDC","instructionTemplateType":"","recordId":"","asrResult":"","knowledgeId":"","knowledgeMasterId":"","instructionType":"","instructionName":"","instructionFlag":"","parameter":"{}","ttsResultSource":"local","ttsResult":"小万发现了牛奶蛋羹,请选择烹饪模式","ttsResultTime":{"year":2025,"monthValue":5,"month":"MAY","dayOfMonth":9,"dayOfYear":129,"dayOfWeek":"FRIDAY","hour":8,"minute":6,"second":20,"nano":0,"chronology":{"id":"ISO","calendarType":"iso8601"}},"response":1746749180171}]]</f>
        <v/>
      </c>
      <c r="C1899" t="inlineStr">
        <is>
          <t>INFO</t>
        </is>
      </c>
      <c r="D1899" t="inlineStr">
        <is>
          <t>vdh</t>
        </is>
      </c>
      <c r="E1899" t="inlineStr">
        <is>
          <t>pro14</t>
        </is>
      </c>
      <c r="F1899" t="inlineStr">
        <is>
          <t>prod</t>
        </is>
      </c>
    </row>
    <row r="1900">
      <c r="A1900" t="inlineStr">
        <is>
          <t>2025-05-09 08:04:33.393</t>
        </is>
      </c>
      <c r="B1900">
        <f>=请求结束== [请求耗时]:13毫秒, [返回数据]:{"code":"000000","msg":"Success","traceId":"0e6d990182e4f69c1e3cd6f9255f9172"}</f>
        <v/>
      </c>
      <c r="C1900" t="inlineStr">
        <is>
          <t>INFO</t>
        </is>
      </c>
      <c r="D1900" t="inlineStr">
        <is>
          <t>vdh</t>
        </is>
      </c>
      <c r="E1900" t="inlineStr">
        <is>
          <t>pro14</t>
        </is>
      </c>
      <c r="F1900" t="inlineStr">
        <is>
          <t>prod</t>
        </is>
      </c>
    </row>
    <row r="1901">
      <c r="A1901" t="inlineStr">
        <is>
          <t>2025-05-09 08:04:33.380</t>
        </is>
      </c>
      <c r="B1901">
        <f>=请求开始== [请求IP]:111.59.145.120 ,[请求方式]:POST， [请求URL]:https://172.30.212.148:8080/api/appservice/bfv/v1/chatHistory/batchSave, [请求类名]:com.yingzi.appservice.bfv.provider.rest.ChatHistoryController,[请求方法名]:batchSave, [请求头参数]:{"host":"172.30.212.148:8080"}, [请求参数]:[[{"userId":908023031428325376,"deviceId":"1C:99:57:15:E5:EB","sessionId":"","avatarId":"11200220000208050000000000000000","appCode":"VDHtestWDC","instructionTemplateType":"","recordId":"","asrResult":"","knowledgeId":"","knowledgeMasterId":"","instructionType":"","instructionName":"","instructionFlag":"","parameter":"{}","ttsResultSource":"local","ttsResult":"好的","ttsResultTime":{"year":2025,"monthValue":5,"month":"MAY","dayOfMonth":9,"dayOfYear":129,"dayOfWeek":"FRIDAY","hour":8,"minute":4,"second":29,"nano":0,"chronology":{"id":"ISO","calendarType":"iso8601"}},"response":31991}]]</f>
        <v/>
      </c>
      <c r="C1901" t="inlineStr">
        <is>
          <t>INFO</t>
        </is>
      </c>
      <c r="D1901" t="inlineStr">
        <is>
          <t>vdh</t>
        </is>
      </c>
      <c r="E1901" t="inlineStr">
        <is>
          <t>pro14</t>
        </is>
      </c>
      <c r="F1901" t="inlineStr">
        <is>
          <t>prod</t>
        </is>
      </c>
    </row>
    <row r="1902">
      <c r="A1902" t="inlineStr">
        <is>
          <t>2025-05-09 08:04:04.575</t>
        </is>
      </c>
      <c r="B1902">
        <f>=请求结束== [请求耗时]:14毫秒, [返回数据]:{"code":"000000","msg":"Success","traceId":"9362c2d91d34f91d36a53984a56a62bd"}</f>
        <v/>
      </c>
      <c r="C1902" t="inlineStr">
        <is>
          <t>INFO</t>
        </is>
      </c>
      <c r="D1902" t="inlineStr">
        <is>
          <t>vdh</t>
        </is>
      </c>
      <c r="E1902" t="inlineStr">
        <is>
          <t>pro17</t>
        </is>
      </c>
      <c r="F1902" t="inlineStr">
        <is>
          <t>prod</t>
        </is>
      </c>
    </row>
    <row r="1903">
      <c r="A1903" t="inlineStr">
        <is>
          <t>2025-05-09 08:04:04.561</t>
        </is>
      </c>
      <c r="B1903">
        <f>=请求开始== [请求IP]:111.59.145.120 ,[请求方式]:POST， [请求URL]:https://172.30.103.196:8080/api/appservice/bfv/v1/chatHistory/batchSave, [请求类名]:com.yingzi.appservice.bfv.provider.rest.ChatHistoryController,[请求方法名]:batchSave, [请求头参数]:{"host":"172.30.103.196:8080"}, [请求参数]:[[{"userId":908023031428325376,"deviceId":"1C:99:57:15:E5:EB","sessionId":"","avatarId":"11200220000208050000000000000000","appCode":"VDHtestWDC","instructionTemplateType":"Instruction_library","recordId":"","asrResult":"开始烹饪","instructionAsrFirstTime":{"year":2025,"monthValue":5,"month":"MAY","dayOfMonth":9,"dayOfYear":129,"dayOfWeek":"FRIDAY","hour":8,"minute":3,"second":56,"nano":0,"chronology":{"id":"ISO","calendarType":"iso8601"}},"knowledgeId":"","knowledgeMasterId":"295","instructionType":"COOKING","instructionName":"启动烹饪","instructionFlag":"voice_cmd_start_cooking","parameter":"{\"answer\":\"DEFAULT\",\"code\":\"voice_cmd_start_cooking\",\"continue_answer\":\"\",\"continue_failed_answer\":\"\",\"entities\":\"\",\"failed_answer\":\"{\\\"answerId\\\":\\\"\\\",\\\"value\\\":\\\"抱歉，执行错误\\\",\\\"hidb\\\":\\\"\\\",\\\"aplusId\\\":\\\"\\\",\\\"flag\\\":true,\\\"updFlag\\\":false,\\\"cache\\\":false}\",\"hitBusiness\":\"295\",\"init_state\":\"false\",\"intent\":\"启动烹饪\",\"intentType\":\"COOKING\",\"isEnd\":\"true\",\"isMulti\":\"false\",\"service\":\"Instruction_library\",\"succeed_answer\":\"{\\\"answerId\\\":\\\"\\\",\\\"value\\\":\\\"主人稍等，美味马上来\\\",\\\"hidb\\\":\\\"\\\",\\\"aplusId\\\":\\\"\\\",\\\"flag\\\":true,\\\"updFlag\\\":false,\\\"cache\\\":false}\"}","ttsResultSource":"local","ttsResult":"开始烹饪,请耐心等待","ttsResultTime":{"year":2025,"monthValue":5,"month":"MAY","dayOfMonth":9,"dayOfYear":129,"dayOfWeek":"FRIDAY","hour":8,"minute":3,"second":59,"nano":0,"chronology":{"id":"ISO","calendarType":"iso8601"}},"response":1878}]]</f>
        <v/>
      </c>
      <c r="C1903" t="inlineStr">
        <is>
          <t>INFO</t>
        </is>
      </c>
      <c r="D1903" t="inlineStr">
        <is>
          <t>vdh</t>
        </is>
      </c>
      <c r="E1903" t="inlineStr">
        <is>
          <t>pro17</t>
        </is>
      </c>
      <c r="F1903" t="inlineStr">
        <is>
          <t>prod</t>
        </is>
      </c>
    </row>
    <row r="1904">
      <c r="A1904" t="inlineStr">
        <is>
          <t>2025-05-09 08:03:55.978</t>
        </is>
      </c>
      <c r="B1904">
        <f>=请求结束== [请求耗时]:16毫秒, [返回数据]:{"code":"000000","msg":"Success","traceId":"f082dd7763622055829095d26ce7061a"}</f>
        <v/>
      </c>
      <c r="C1904" t="inlineStr">
        <is>
          <t>INFO</t>
        </is>
      </c>
      <c r="D1904" t="inlineStr">
        <is>
          <t>vdh</t>
        </is>
      </c>
      <c r="E1904" t="inlineStr">
        <is>
          <t>pro14</t>
        </is>
      </c>
      <c r="F1904" t="inlineStr">
        <is>
          <t>prod</t>
        </is>
      </c>
    </row>
    <row r="1905">
      <c r="A1905" t="inlineStr">
        <is>
          <t>2025-05-09 08:03:55.963</t>
        </is>
      </c>
      <c r="B1905">
        <f>=请求开始== [请求IP]:111.59.145.120 ,[请求方式]:POST， [请求URL]:https://172.30.212.148:8080/api/appservice/bfv/v1/chatHistory/batchSave, [请求类名]:com.yingzi.appservice.bfv.provider.rest.ChatHistoryController,[请求方法名]:batchSave, [请求头参数]:{"host":"172.30.212.148:8080"}, [请求参数]:[[{"userId":908023031428325376,"deviceId":"1C:99:57:15:E5:EB","sessionId":"","avatarId":"11200220000208050000000000000000","appCode":"VDHtestWDC","instructionTemplateType":"","recordId":"","asrResult":"","knowledgeId":"","knowledgeMasterId":"","instructionType":"","instructionName":"","instructionFlag":"","parameter":"{}","ttsResultSource":"local","ttsResult":"小万发现了水煮荷包蛋,要帮主人开始烹饪吗","ttsResultTime":{"year":2025,"monthValue":5,"month":"MAY","dayOfMonth":9,"dayOfYear":129,"dayOfWeek":"FRIDAY","hour":8,"minute":3,"second":51,"nano":0,"chronology":{"id":"ISO","calendarType":"iso8601"}},"response":1746749031324}]]</f>
        <v/>
      </c>
      <c r="C1905" t="inlineStr">
        <is>
          <t>INFO</t>
        </is>
      </c>
      <c r="D1905" t="inlineStr">
        <is>
          <t>vdh</t>
        </is>
      </c>
      <c r="E1905" t="inlineStr">
        <is>
          <t>pro14</t>
        </is>
      </c>
      <c r="F1905" t="inlineStr">
        <is>
          <t>prod</t>
        </is>
      </c>
    </row>
    <row r="1906">
      <c r="A1906" t="inlineStr">
        <is>
          <t>2025-05-09 08:03:37.948</t>
        </is>
      </c>
      <c r="B1906">
        <f>=请求结束== [请求耗时]:14毫秒, [返回数据]:{"code":"000000","msg":"Success","traceId":"8a8c43bd2442b56a580849df0299484f"}</f>
        <v/>
      </c>
      <c r="C1906" t="inlineStr">
        <is>
          <t>INFO</t>
        </is>
      </c>
      <c r="D1906" t="inlineStr">
        <is>
          <t>vdh</t>
        </is>
      </c>
      <c r="E1906" t="inlineStr">
        <is>
          <t>pro17</t>
        </is>
      </c>
      <c r="F1906" t="inlineStr">
        <is>
          <t>prod</t>
        </is>
      </c>
    </row>
    <row r="1907">
      <c r="A1907" t="inlineStr">
        <is>
          <t>2025-05-09 08:03:37.934</t>
        </is>
      </c>
      <c r="B1907">
        <f>=请求开始== [请求IP]:111.58.143.86 ,[请求方式]:POST， [请求URL]:https://172.30.103.196:8080/api/appservice/bfv/v1/chatHistory/batchSave, [请求类名]:com.yingzi.appservice.bfv.provider.rest.ChatHistoryController,[请求方法名]:batchSave, [请求头参数]:{"host":"172.30.103.196:8080"}, [请求参数]:[[{"userId":1152116363876749313,"deviceId":"28:D0:EA:87:98:6C","sessionId":"","avatarId":"11200220000208050000000000000000","appCode":"VDHtestWDC","instructionTemplateType":"","recordId":"","asrResult":"","knowledgeId":"","knowledgeMasterId":"","instructionType":"","instructionName":"","instructionFlag":"","parameter":"{}","ttsResultSource":"local","ttsResult":"小万发现了米饭或粥,要帮主人开始烹饪吗好嘞,已经按照推荐的温度调好了,要帮主人开始烹饪吗开始烹饪,请耐心等待","ttsResultTime":{"year":2025,"monthValue":5,"month":"MAY","dayOfMonth":9,"dayOfYear":129,"dayOfWeek":"FRIDAY","hour":8,"minute":3,"second":13,"nano":0,"chronology":{"id":"ISO","calendarType":"iso8601"}},"response":1746748993942}]]</f>
        <v/>
      </c>
      <c r="C1907" t="inlineStr">
        <is>
          <t>INFO</t>
        </is>
      </c>
      <c r="D1907" t="inlineStr">
        <is>
          <t>vdh</t>
        </is>
      </c>
      <c r="E1907" t="inlineStr">
        <is>
          <t>pro17</t>
        </is>
      </c>
      <c r="F1907" t="inlineStr">
        <is>
          <t>prod</t>
        </is>
      </c>
    </row>
    <row r="1908">
      <c r="A1908" t="inlineStr">
        <is>
          <t>2025-05-09 08:02:16.666</t>
        </is>
      </c>
      <c r="B1908">
        <f>=请求结束== [请求耗时]:15毫秒, [返回数据]:{"code":"000000","msg":"Success","traceId":"0d1a0e6d30283b8d93d3029d454da028"}</f>
        <v/>
      </c>
      <c r="C1908" t="inlineStr">
        <is>
          <t>INFO</t>
        </is>
      </c>
      <c r="D1908" t="inlineStr">
        <is>
          <t>vdh</t>
        </is>
      </c>
      <c r="E1908" t="inlineStr">
        <is>
          <t>pro14</t>
        </is>
      </c>
      <c r="F1908" t="inlineStr">
        <is>
          <t>prod</t>
        </is>
      </c>
    </row>
    <row r="1909">
      <c r="A1909" t="inlineStr">
        <is>
          <t>2025-05-09 08:02:16.651</t>
        </is>
      </c>
      <c r="B1909">
        <f>=请求开始== [请求IP]:27.18.172.114 ,[请求方式]:POST， [请求URL]:https://172.30.212.148:8080/api/appservice/bfv/v1/chatHistory/batchSave, [请求类名]:com.yingzi.appservice.bfv.provider.rest.ChatHistoryController,[请求方法名]:batchSave, [请求头参数]:{"host":"172.30.212.148:8080"}, [请求参数]:[[{"userId":1031239387796570112,"deviceId":"64:79:F0:79:7A:FC","sessionId":"","avatarId":"11200220000208050000000000000000","appCode":"VDHtestWDC","instructionTemplateType":"","recordId":"","asrResult":"","knowledgeId":"","knowledgeMasterId":"","instructionType":"","instructionName":"","instructionFlag":"","parameter":"{}","ttsResultSource":"local","ttsResult":"开始烹饪,请耐心等待烹饪完成,请取餐,小心烫开始烹饪,请耐心等待","ttsResultTime":{"year":2025,"monthValue":5,"month":"MAY","dayOfMonth":9,"dayOfYear":129,"dayOfWeek":"FRIDAY","hour":8,"minute":0,"second":55,"nano":0,"chronology":{"id":"ISO","calendarType":"iso8601"}},"response":1746748855796}]]</f>
        <v/>
      </c>
      <c r="C1909" t="inlineStr">
        <is>
          <t>INFO</t>
        </is>
      </c>
      <c r="D1909" t="inlineStr">
        <is>
          <t>vdh</t>
        </is>
      </c>
      <c r="E1909" t="inlineStr">
        <is>
          <t>pro14</t>
        </is>
      </c>
      <c r="F1909" t="inlineStr">
        <is>
          <t>prod</t>
        </is>
      </c>
    </row>
    <row r="1910">
      <c r="A1910" t="inlineStr">
        <is>
          <t>2025-05-09 07:59:56.460</t>
        </is>
      </c>
      <c r="B1910">
        <f>=请求结束== [请求耗时]:13毫秒, [返回数据]:{"code":"000000","msg":"Success","traceId":"49a129bdb0be17a471224f2d6c6ead56"}</f>
        <v/>
      </c>
      <c r="C1910" t="inlineStr">
        <is>
          <t>INFO</t>
        </is>
      </c>
      <c r="D1910" t="inlineStr">
        <is>
          <t>vdh</t>
        </is>
      </c>
      <c r="E1910" t="inlineStr">
        <is>
          <t>pro17</t>
        </is>
      </c>
      <c r="F1910" t="inlineStr">
        <is>
          <t>prod</t>
        </is>
      </c>
    </row>
    <row r="1911">
      <c r="A1911" t="inlineStr">
        <is>
          <t>2025-05-09 07:59:56.447</t>
        </is>
      </c>
      <c r="B1911">
        <f>=请求开始== [请求IP]:59.172.13.185 ,[请求方式]:POST， [请求URL]:https://172.30.103.196:8080/api/appservice/bfv/v1/chatHistory/batchSave, [请求类名]:com.yingzi.appservice.bfv.provider.rest.ChatHistoryController,[请求方法名]:batchSave, [请求头参数]:{"host":"172.30.103.196:8080"}, [请求参数]:[[{"userId":769295539596840960,"deviceId":"28:D0:EA:88:00:81","sessionId":"","avatarId":"11200220000208050000000000000000","appCode":"VDHtestWDC","instructionTemplateType":"","recordId":"","asrResult":"","knowledgeId":"","knowledgeMasterId":"","instructionType":"","instructionName":"","instructionFlag":"","parameter":"{}","ttsResultSource":"","ttsResult":"","response":0}]]</f>
        <v/>
      </c>
      <c r="C1911" t="inlineStr">
        <is>
          <t>INFO</t>
        </is>
      </c>
      <c r="D1911" t="inlineStr">
        <is>
          <t>vdh</t>
        </is>
      </c>
      <c r="E1911" t="inlineStr">
        <is>
          <t>pro17</t>
        </is>
      </c>
      <c r="F1911" t="inlineStr">
        <is>
          <t>prod</t>
        </is>
      </c>
    </row>
    <row r="1912">
      <c r="A1912" t="inlineStr">
        <is>
          <t>2025-05-09 07:59:24.941</t>
        </is>
      </c>
      <c r="B1912">
        <f>=请求结束== [请求耗时]:16毫秒, [返回数据]:{"code":"000000","msg":"Success","traceId":"6db8863f3b236276da0315f3c179cb47"}</f>
        <v/>
      </c>
      <c r="C1912" t="inlineStr">
        <is>
          <t>INFO</t>
        </is>
      </c>
      <c r="D1912" t="inlineStr">
        <is>
          <t>vdh</t>
        </is>
      </c>
      <c r="E1912" t="inlineStr">
        <is>
          <t>pro14</t>
        </is>
      </c>
      <c r="F1912" t="inlineStr">
        <is>
          <t>prod</t>
        </is>
      </c>
    </row>
    <row r="1913">
      <c r="A1913" t="inlineStr">
        <is>
          <t>2025-05-09 07:59:24.925</t>
        </is>
      </c>
      <c r="B1913">
        <f>=请求开始== [请求IP]:221.7.181.82 ,[请求方式]:POST， [请求URL]:https://172.30.212.148:8080/api/appservice/bfv/v1/chatHistory/batchSave, [请求类名]:com.yingzi.appservice.bfv.provider.rest.ChatHistoryController,[请求方法名]:batchSave, [请求头参数]:{"host":"172.30.212.148:8080"}, [请求参数]:[[{"userId":748109107975774208,"deviceId":"64:79:F0:79:7A:8E","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7,"minute":54,"second":29,"nano":0,"chronology":{"id":"ISO","calendarType":"iso8601"}},"response":1746748469200}]]</f>
        <v/>
      </c>
      <c r="C1913" t="inlineStr">
        <is>
          <t>INFO</t>
        </is>
      </c>
      <c r="D1913" t="inlineStr">
        <is>
          <t>vdh</t>
        </is>
      </c>
      <c r="E1913" t="inlineStr">
        <is>
          <t>pro14</t>
        </is>
      </c>
      <c r="F1913" t="inlineStr">
        <is>
          <t>prod</t>
        </is>
      </c>
    </row>
    <row r="1914">
      <c r="A1914" t="inlineStr">
        <is>
          <t>2025-05-09 07:58:49.774</t>
        </is>
      </c>
      <c r="B1914">
        <f>=请求结束== [请求耗时]:13毫秒, [返回数据]:{"code":"000000","msg":"Success","traceId":"750d22677e4800063ce4de9e92418cb9"}</f>
        <v/>
      </c>
      <c r="C1914" t="inlineStr">
        <is>
          <t>INFO</t>
        </is>
      </c>
      <c r="D1914" t="inlineStr">
        <is>
          <t>vdh</t>
        </is>
      </c>
      <c r="E1914" t="inlineStr">
        <is>
          <t>pro17</t>
        </is>
      </c>
      <c r="F1914" t="inlineStr">
        <is>
          <t>prod</t>
        </is>
      </c>
    </row>
    <row r="1915">
      <c r="A1915" t="inlineStr">
        <is>
          <t>2025-05-09 07:58:49.761</t>
        </is>
      </c>
      <c r="B1915">
        <f>=请求开始== [请求IP]:116.9.37.160 ,[请求方式]:POST， [请求URL]:https://172.30.103.196:8080/api/appservice/bfv/v1/chatHistory/batchSave, [请求类名]:com.yingzi.appservice.bfv.provider.rest.ChatHistoryController,[请求方法名]:batchSave, [请求头参数]:{"host":"172.30.103.196:8080"}, [请求参数]:[[{"userId":903284567653113856,"deviceId":"28:D0:EA:87:8F:DE","sessionId":"","avatarId":"11200220000208050000000000000000","appCode":"VDHtestWDC","instructionTemplateType":"","recordId":"","asrResult":"","knowledgeId":"","knowledgeMasterId":"","instructionType":"","instructionName":"","instructionFlag":"","parameter":"{}","ttsResultSource":"local","ttsResult":"小万发现了空心菜,主人喜欢泰式炒空心菜还是脆嫩口感选好了,主人喜欢脆软还是脆嫩口感开始烹饪,请耐心等待","ttsResultTime":{"year":2025,"monthValue":5,"month":"MAY","dayOfMonth":9,"dayOfYear":129,"dayOfWeek":"FRIDAY","hour":7,"minute":58,"second":26,"nano":0,"chronology":{"id":"ISO","calendarType":"iso8601"}},"response":1746748706422}]]</f>
        <v/>
      </c>
      <c r="C1915" t="inlineStr">
        <is>
          <t>INFO</t>
        </is>
      </c>
      <c r="D1915" t="inlineStr">
        <is>
          <t>vdh</t>
        </is>
      </c>
      <c r="E1915" t="inlineStr">
        <is>
          <t>pro17</t>
        </is>
      </c>
      <c r="F1915" t="inlineStr">
        <is>
          <t>prod</t>
        </is>
      </c>
    </row>
    <row r="1916">
      <c r="A1916" t="inlineStr">
        <is>
          <t>2025-05-09 07:57:40.447</t>
        </is>
      </c>
      <c r="B1916">
        <f>=请求结束== [请求耗时]:14毫秒, [返回数据]:{"code":"000000","msg":"Success","traceId":"00d31c796510a1120681287e6af5bbe6"}</f>
        <v/>
      </c>
      <c r="C1916" t="inlineStr">
        <is>
          <t>INFO</t>
        </is>
      </c>
      <c r="D1916" t="inlineStr">
        <is>
          <t>vdh</t>
        </is>
      </c>
      <c r="E1916" t="inlineStr">
        <is>
          <t>pro14</t>
        </is>
      </c>
      <c r="F1916" t="inlineStr">
        <is>
          <t>prod</t>
        </is>
      </c>
    </row>
    <row r="1917">
      <c r="A1917" t="inlineStr">
        <is>
          <t>2025-05-09 07:57:40.434</t>
        </is>
      </c>
      <c r="B1917">
        <f>=请求开始== [请求IP]:116.9.37.160 ,[请求方式]:POST， [请求URL]:https://172.30.212.148:8080/api/appservice/bfv/v1/chatHistory/batchSave, [请求类名]:com.yingzi.appservice.bfv.provider.rest.ChatHistoryController,[请求方法名]:batchSave, [请求头参数]:{"host":"172.30.212.148:8080"}, [请求参数]:[[{"userId":903284567653113856,"deviceId":"28:D0:EA:87:8F:DE","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7,"minute":57,"second":35,"nano":0,"chronology":{"id":"ISO","calendarType":"iso8601"}},"response":1746748655215}]]</f>
        <v/>
      </c>
      <c r="C1917" t="inlineStr">
        <is>
          <t>INFO</t>
        </is>
      </c>
      <c r="D1917" t="inlineStr">
        <is>
          <t>vdh</t>
        </is>
      </c>
      <c r="E1917" t="inlineStr">
        <is>
          <t>pro14</t>
        </is>
      </c>
      <c r="F1917" t="inlineStr">
        <is>
          <t>prod</t>
        </is>
      </c>
    </row>
    <row r="1918">
      <c r="A1918" t="inlineStr">
        <is>
          <t>2025-05-09 07:55:36.924</t>
        </is>
      </c>
      <c r="B1918">
        <f>=请求结束== [请求耗时]:15毫秒, [返回数据]:{"code":"000000","msg":"Success","traceId":"35672594b7f3407841f7fc2047e4a63e"}</f>
        <v/>
      </c>
      <c r="C1918" t="inlineStr">
        <is>
          <t>INFO</t>
        </is>
      </c>
      <c r="D1918" t="inlineStr">
        <is>
          <t>vdh</t>
        </is>
      </c>
      <c r="E1918" t="inlineStr">
        <is>
          <t>pro17</t>
        </is>
      </c>
      <c r="F1918" t="inlineStr">
        <is>
          <t>prod</t>
        </is>
      </c>
    </row>
    <row r="1919">
      <c r="A1919" t="inlineStr">
        <is>
          <t>2025-05-09 07:55:36.910</t>
        </is>
      </c>
      <c r="B1919">
        <f>=请求开始== [请求IP]:116.9.37.160 ,[请求方式]:POST， [请求URL]:https://172.30.103.196:8080/api/appservice/bfv/v1/chatHistory/batchSave, [请求类名]:com.yingzi.appservice.bfv.provider.rest.ChatHistoryController,[请求方法名]:batchSave, [请求头参数]:{"host":"172.30.103.196:8080"}, [请求参数]:[[{"userId":903284567653113856,"deviceId":"28:D0:EA:87:8F:DE","sessionId":"","avatarId":"11200220000208050000000000000000","appCode":"VDHtestWDC","instructionTemplateType":"","recordId":"","asrResult":"","knowledgeId":"","knowledgeMasterId":"","instructionType":"","instructionName":"","instructionFlag":"","parameter":"{}","ttsResultSource":"local","ttsResult":"小万发现了蒜蓉或蚝油生菜,主人喜欢脆软还是脆嫩口感开始烹饪,请耐心等待","ttsResultTime":{"year":2025,"monthValue":5,"month":"MAY","dayOfMonth":9,"dayOfYear":129,"dayOfWeek":"FRIDAY","hour":7,"minute":55,"second":28,"nano":0,"chronology":{"id":"ISO","calendarType":"iso8601"}},"response":1746748528191}]]</f>
        <v/>
      </c>
      <c r="C1919" t="inlineStr">
        <is>
          <t>INFO</t>
        </is>
      </c>
      <c r="D1919" t="inlineStr">
        <is>
          <t>vdh</t>
        </is>
      </c>
      <c r="E1919" t="inlineStr">
        <is>
          <t>pro17</t>
        </is>
      </c>
      <c r="F1919" t="inlineStr">
        <is>
          <t>prod</t>
        </is>
      </c>
    </row>
    <row r="1920">
      <c r="A1920" t="inlineStr">
        <is>
          <t>2025-05-09 07:55:29.193</t>
        </is>
      </c>
      <c r="B1920">
        <f>=请求结束== [请求耗时]:17毫秒, [返回数据]:{"code":"000000","msg":"Success","traceId":"79cf4e2eb388a784be885b64db8cc937"}</f>
        <v/>
      </c>
      <c r="C1920" t="inlineStr">
        <is>
          <t>INFO</t>
        </is>
      </c>
      <c r="D1920" t="inlineStr">
        <is>
          <t>vdh</t>
        </is>
      </c>
      <c r="E1920" t="inlineStr">
        <is>
          <t>pro14</t>
        </is>
      </c>
      <c r="F1920" t="inlineStr">
        <is>
          <t>prod</t>
        </is>
      </c>
    </row>
    <row r="1921">
      <c r="A1921" t="inlineStr">
        <is>
          <t>2025-05-09 07:55:29.176</t>
        </is>
      </c>
      <c r="B1921">
        <f>=请求开始== [请求IP]:180.139.208.173 ,[请求方式]:POST， [请求URL]:https://172.30.212.148:8080/api/appservice/bfv/v1/chatHistory/batchSave, [请求类名]:com.yingzi.appservice.bfv.provider.rest.ChatHistoryController,[请求方法名]:batchSave, [请求头参数]:{"host":"172.30.212.148:8080"}, [请求参数]:[[{"userId":769295539642978305,"deviceId":"64:79:F0:78:CF:62","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7,"minute":55,"second":22,"nano":0,"chronology":{"id":"ISO","calendarType":"iso8601"}},"response":1746748522826}]]</f>
        <v/>
      </c>
      <c r="C1921" t="inlineStr">
        <is>
          <t>INFO</t>
        </is>
      </c>
      <c r="D1921" t="inlineStr">
        <is>
          <t>vdh</t>
        </is>
      </c>
      <c r="E1921" t="inlineStr">
        <is>
          <t>pro14</t>
        </is>
      </c>
      <c r="F1921" t="inlineStr">
        <is>
          <t>prod</t>
        </is>
      </c>
    </row>
    <row r="1922">
      <c r="A1922" t="inlineStr">
        <is>
          <t>2025-05-09 07:55:24.161</t>
        </is>
      </c>
      <c r="B1922">
        <f>=请求结束== [请求耗时]:16毫秒, [返回数据]:{"code":"000000","msg":"Success","traceId":"b087695e6fe108a9ce062b7541c2620b"}</f>
        <v/>
      </c>
      <c r="C1922" t="inlineStr">
        <is>
          <t>INFO</t>
        </is>
      </c>
      <c r="D1922" t="inlineStr">
        <is>
          <t>vdh</t>
        </is>
      </c>
      <c r="E1922" t="inlineStr">
        <is>
          <t>pro17</t>
        </is>
      </c>
      <c r="F1922" t="inlineStr">
        <is>
          <t>prod</t>
        </is>
      </c>
    </row>
    <row r="1923">
      <c r="A1923" t="inlineStr">
        <is>
          <t>2025-05-09 07:55:24.145</t>
        </is>
      </c>
      <c r="B1923">
        <f>=请求开始== [请求IP]:116.9.37.160 ,[请求方式]:POST， [请求URL]:https://172.30.103.196:8080/api/appservice/bfv/v1/chatHistory/batchSave, [请求类名]:com.yingzi.appservice.bfv.provider.rest.ChatHistoryController,[请求方法名]:batchSave, [请求头参数]:{"host":"172.30.103.196:8080"}, [请求参数]:[[{"userId":903284567653113856,"deviceId":"28:D0:EA:87:8F:DE","sessionId":"","avatarId":"11200220000208050000000000000000","appCode":"VDHtestWDC","instructionTemplateType":"","recordId":"","asrResult":"","knowledgeId":"","knowledgeMasterId":"","instructionType":"","instructionName":"","instructionFlag":"","parameter":"{}","ttsResultSource":"local","ttsResult":"小万发现了蒜蓉或蚝油生菜,主人喜欢脆软还是脆嫩口感","ttsResultTime":{"year":2025,"monthValue":5,"month":"MAY","dayOfMonth":9,"dayOfYear":129,"dayOfWeek":"FRIDAY","hour":7,"minute":55,"second":18,"nano":0,"chronology":{"id":"ISO","calendarType":"iso8601"}},"response":1746748518995}]]</f>
        <v/>
      </c>
      <c r="C1923" t="inlineStr">
        <is>
          <t>INFO</t>
        </is>
      </c>
      <c r="D1923" t="inlineStr">
        <is>
          <t>vdh</t>
        </is>
      </c>
      <c r="E1923" t="inlineStr">
        <is>
          <t>pro17</t>
        </is>
      </c>
      <c r="F1923" t="inlineStr">
        <is>
          <t>prod</t>
        </is>
      </c>
    </row>
    <row r="1924">
      <c r="A1924" t="inlineStr">
        <is>
          <t>2025-05-09 07:53:28.347</t>
        </is>
      </c>
      <c r="B1924">
        <f>=请求结束== [请求耗时]:14毫秒, [返回数据]:{"code":"000000","msg":"Success","traceId":"a974519b0cc4fe702f163d0c9f498ff6"}</f>
        <v/>
      </c>
      <c r="C1924" t="inlineStr">
        <is>
          <t>INFO</t>
        </is>
      </c>
      <c r="D1924" t="inlineStr">
        <is>
          <t>vdh</t>
        </is>
      </c>
      <c r="E1924" t="inlineStr">
        <is>
          <t>pro14</t>
        </is>
      </c>
      <c r="F1924" t="inlineStr">
        <is>
          <t>prod</t>
        </is>
      </c>
    </row>
    <row r="1925">
      <c r="A1925" t="inlineStr">
        <is>
          <t>2025-05-09 07:53:28.333</t>
        </is>
      </c>
      <c r="B1925">
        <f>=请求开始== [请求IP]:180.139.208.173 ,[请求方式]:POST， [请求URL]:https://172.30.212.148:8080/api/appservice/bfv/v1/chatHistory/batchSave, [请求类名]:com.yingzi.appservice.bfv.provider.rest.ChatHistoryController,[请求方法名]:batchSave, [请求头参数]:{"host":"172.30.212.148:8080"}, [请求参数]:[[{"userId":769295539642978305,"deviceId":"64:79:F0:78:CF:62","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7,"minute":53,"second":23,"nano":0,"chronology":{"id":"ISO","calendarType":"iso8601"}},"response":1746748403098}]]</f>
        <v/>
      </c>
      <c r="C1925" t="inlineStr">
        <is>
          <t>INFO</t>
        </is>
      </c>
      <c r="D1925" t="inlineStr">
        <is>
          <t>vdh</t>
        </is>
      </c>
      <c r="E1925" t="inlineStr">
        <is>
          <t>pro14</t>
        </is>
      </c>
      <c r="F1925" t="inlineStr">
        <is>
          <t>prod</t>
        </is>
      </c>
    </row>
    <row r="1926">
      <c r="A1926" t="inlineStr">
        <is>
          <t>2025-05-09 07:53:02.864</t>
        </is>
      </c>
      <c r="B1926">
        <f>=请求结束== [请求耗时]:15毫秒, [返回数据]:{"code":"000000","msg":"Success","traceId":"ddfe2794200ea9673e577768ce5b97dc"}</f>
        <v/>
      </c>
      <c r="C1926" t="inlineStr">
        <is>
          <t>INFO</t>
        </is>
      </c>
      <c r="D1926" t="inlineStr">
        <is>
          <t>vdh</t>
        </is>
      </c>
      <c r="E1926" t="inlineStr">
        <is>
          <t>pro17</t>
        </is>
      </c>
      <c r="F1926" t="inlineStr">
        <is>
          <t>prod</t>
        </is>
      </c>
    </row>
    <row r="1927">
      <c r="A1927" t="inlineStr">
        <is>
          <t>2025-05-09 07:53:02.849</t>
        </is>
      </c>
      <c r="B1927">
        <f>=请求开始== [请求IP]:180.139.208.173 ,[请求方式]:POST， [请求URL]:https://172.30.103.196:8080/api/appservice/bfv/v1/chatHistory/batchSave, [请求类名]:com.yingzi.appservice.bfv.provider.rest.ChatHistoryController,[请求方法名]:batchSave, [请求头参数]:{"host":"172.30.103.196:8080"}, [请求参数]:[[{"userId":769295539642978305,"deviceId":"64:79:F0:78:CF:62","sessionId":"","avatarId":"11200220000208050000000000000000","appCode":"VDHtestWDC","instructionTemplateType":"","recordId":"","asrResult":"","knowledgeId":"","knowledgeMasterId":"","instructionType":"","instructionName":"","instructionFlag":"","parameter":"{}","ttsResultSource":"local","ttsResult":"这道菜小万还没学会,可以使用自助烹饪!开始烹饪,请耐心等待烹饪完成,请取餐,小心烫","ttsResultTime":{"year":2025,"monthValue":5,"month":"MAY","dayOfMonth":9,"dayOfYear":129,"dayOfWeek":"FRIDAY","hour":7,"minute":52,"second":4,"nano":0,"chronology":{"id":"ISO","calendarType":"iso8601"}},"response":1746748324958}]]</f>
        <v/>
      </c>
      <c r="C1927" t="inlineStr">
        <is>
          <t>INFO</t>
        </is>
      </c>
      <c r="D1927" t="inlineStr">
        <is>
          <t>vdh</t>
        </is>
      </c>
      <c r="E1927" t="inlineStr">
        <is>
          <t>pro17</t>
        </is>
      </c>
      <c r="F1927" t="inlineStr">
        <is>
          <t>prod</t>
        </is>
      </c>
    </row>
    <row r="1928">
      <c r="A1928" t="inlineStr">
        <is>
          <t>2025-05-09 07:46:07.052</t>
        </is>
      </c>
      <c r="B1928">
        <f>=请求结束== [请求耗时]:13毫秒, [返回数据]:{"code":"000000","msg":"Success","traceId":"dd77ea976eb247441178b008137ff151"}</f>
        <v/>
      </c>
      <c r="C1928" t="inlineStr">
        <is>
          <t>INFO</t>
        </is>
      </c>
      <c r="D1928" t="inlineStr">
        <is>
          <t>vdh</t>
        </is>
      </c>
      <c r="E1928" t="inlineStr">
        <is>
          <t>pro17</t>
        </is>
      </c>
      <c r="F1928" t="inlineStr">
        <is>
          <t>prod</t>
        </is>
      </c>
    </row>
    <row r="1929">
      <c r="A1929" t="inlineStr">
        <is>
          <t>2025-05-09 07:46:07.039</t>
        </is>
      </c>
      <c r="B1929">
        <f>=请求开始== [请求IP]:120.230.118.128 ,[请求方式]:POST， [请求URL]:https://172.30.103.196:8080/api/appservice/bfv/v1/chatHistory/batchSave, [请求类名]:com.yingzi.appservice.bfv.provider.rest.ChatHistoryController,[请求方法名]:batchSave, [请求头参数]:{"host":"172.30.103.196:8080"}, [请求参数]:[[{"userId":871342215734112256,"deviceId":"28:D0:EA:87:90:5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7,"minute":46,"second":1,"nano":0,"chronology":{"id":"ISO","calendarType":"iso8601"}},"response":3497040}]]</f>
        <v/>
      </c>
      <c r="C1929" t="inlineStr">
        <is>
          <t>INFO</t>
        </is>
      </c>
      <c r="D1929" t="inlineStr">
        <is>
          <t>vdh</t>
        </is>
      </c>
      <c r="E1929" t="inlineStr">
        <is>
          <t>pro17</t>
        </is>
      </c>
      <c r="F1929" t="inlineStr">
        <is>
          <t>prod</t>
        </is>
      </c>
    </row>
    <row r="1930">
      <c r="A1930" t="inlineStr">
        <is>
          <t>2025-05-09 07:45:02.773</t>
        </is>
      </c>
      <c r="B1930">
        <f>=请求结束== [请求耗时]:13毫秒, [返回数据]:{"code":"000000","msg":"Success","traceId":"9328711542dda87ce842ea898bcbda76"}</f>
        <v/>
      </c>
      <c r="C1930" t="inlineStr">
        <is>
          <t>INFO</t>
        </is>
      </c>
      <c r="D1930" t="inlineStr">
        <is>
          <t>vdh</t>
        </is>
      </c>
      <c r="E1930" t="inlineStr">
        <is>
          <t>pro14</t>
        </is>
      </c>
      <c r="F1930" t="inlineStr">
        <is>
          <t>prod</t>
        </is>
      </c>
    </row>
    <row r="1931">
      <c r="A1931" t="inlineStr">
        <is>
          <t>2025-05-09 07:45:02.760</t>
        </is>
      </c>
      <c r="B1931">
        <f>=请求开始== [请求IP]:116.9.6.7 ,[请求方式]:POST， [请求URL]:https://172.30.212.148:8080/api/appservice/bfv/v1/chatHistory/batchSave, [请求类名]:com.yingzi.appservice.bfv.provider.rest.ChatHistoryController,[请求方法名]:batchSave, [请求头参数]:{"host":"172.30.212.148:8080"}, [请求参数]:[[{"userId":908023031466074113,"deviceId":"28:D0:EA:87:39:C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7,"minute":44,"second":57,"nano":0,"chronology":{"id":"ISO","calendarType":"iso8601"}},"response":1746747897553}]]</f>
        <v/>
      </c>
      <c r="C1931" t="inlineStr">
        <is>
          <t>INFO</t>
        </is>
      </c>
      <c r="D1931" t="inlineStr">
        <is>
          <t>vdh</t>
        </is>
      </c>
      <c r="E1931" t="inlineStr">
        <is>
          <t>pro14</t>
        </is>
      </c>
      <c r="F1931" t="inlineStr">
        <is>
          <t>prod</t>
        </is>
      </c>
    </row>
    <row r="1932">
      <c r="A1932" t="inlineStr">
        <is>
          <t>2025-05-09 07:44:06.941</t>
        </is>
      </c>
      <c r="B1932">
        <f>=请求结束== [请求耗时]:16毫秒, [返回数据]:{"code":"000000","msg":"Success","traceId":"2ad14d799eeb7c62704f88a84c6d510f"}</f>
        <v/>
      </c>
      <c r="C1932" t="inlineStr">
        <is>
          <t>INFO</t>
        </is>
      </c>
      <c r="D1932" t="inlineStr">
        <is>
          <t>vdh</t>
        </is>
      </c>
      <c r="E1932" t="inlineStr">
        <is>
          <t>pro17</t>
        </is>
      </c>
      <c r="F1932" t="inlineStr">
        <is>
          <t>prod</t>
        </is>
      </c>
    </row>
    <row r="1933">
      <c r="A1933" t="inlineStr">
        <is>
          <t>2025-05-09 07:44:06.925</t>
        </is>
      </c>
      <c r="B1933">
        <f>=请求开始== [请求IP]:120.230.118.128 ,[请求方式]:POST， [请求URL]:https://172.30.103.196:8080/api/appservice/bfv/v1/chatHistory/batchSave, [请求类名]:com.yingzi.appservice.bfv.provider.rest.ChatHistoryController,[请求方法名]:batchSave, [请求头参数]:{"host":"172.30.103.196:8080"}, [请求参数]:[[{"userId":871342215734112256,"deviceId":"28:D0:EA:87:90:5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7,"minute":44,"second":1,"nano":0,"chronology":{"id":"ISO","calendarType":"iso8601"}},"response":3376816}]]</f>
        <v/>
      </c>
      <c r="C1933" t="inlineStr">
        <is>
          <t>INFO</t>
        </is>
      </c>
      <c r="D1933" t="inlineStr">
        <is>
          <t>vdh</t>
        </is>
      </c>
      <c r="E1933" t="inlineStr">
        <is>
          <t>pro17</t>
        </is>
      </c>
      <c r="F1933" t="inlineStr">
        <is>
          <t>prod</t>
        </is>
      </c>
    </row>
    <row r="1934">
      <c r="A1934" t="inlineStr">
        <is>
          <t>2025-05-09 07:44:00.150</t>
        </is>
      </c>
      <c r="B1934">
        <f>=请求结束== [请求耗时]:15毫秒, [返回数据]:{"code":"000000","msg":"Success","traceId":"c32f8c07dd7609378c0eec9f1b295db2"}</f>
        <v/>
      </c>
      <c r="C1934" t="inlineStr">
        <is>
          <t>INFO</t>
        </is>
      </c>
      <c r="D1934" t="inlineStr">
        <is>
          <t>vdh</t>
        </is>
      </c>
      <c r="E1934" t="inlineStr">
        <is>
          <t>pro14</t>
        </is>
      </c>
      <c r="F1934" t="inlineStr">
        <is>
          <t>prod</t>
        </is>
      </c>
    </row>
    <row r="1935">
      <c r="A1935" t="inlineStr">
        <is>
          <t>2025-05-09 07:44:00.135</t>
        </is>
      </c>
      <c r="B1935">
        <f>=请求开始== [请求IP]:221.7.181.82 ,[请求方式]:POST， [请求URL]:https://172.30.212.148:8080/api/appservice/bfv/v1/chatHistory/batchSave, [请求类名]:com.yingzi.appservice.bfv.provider.rest.ChatHistoryController,[请求方法名]:batchSave, [请求头参数]:{"host":"172.30.212.148:8080"}, [请求参数]:[[{"userId":748109107975774208,"deviceId":"64:79:F0:79:7A:8E","sessionId":"","avatarId":"11200220000208050000000000000000","appCode":"VDHtestWDC","instructionTemplateType":"","recordId":"","asrResult":"","knowledgeId":"","knowledgeMasterId":"","instructionType":"","instructionName":"","instructionFlag":"","parameter":"{}","ttsResultSource":"local","ttsResult":"小万发现了小米粥+小芋头+甜玉米,要帮主人开始烹饪吗","ttsResultTime":{"year":2025,"monthValue":5,"month":"MAY","dayOfMonth":9,"dayOfYear":129,"dayOfWeek":"FRIDAY","hour":7,"minute":39,"second":4,"nano":0,"chronology":{"id":"ISO","calendarType":"iso8601"}},"response":1746747544057}]]</f>
        <v/>
      </c>
      <c r="C1935" t="inlineStr">
        <is>
          <t>INFO</t>
        </is>
      </c>
      <c r="D1935" t="inlineStr">
        <is>
          <t>vdh</t>
        </is>
      </c>
      <c r="E1935" t="inlineStr">
        <is>
          <t>pro14</t>
        </is>
      </c>
      <c r="F1935" t="inlineStr">
        <is>
          <t>prod</t>
        </is>
      </c>
    </row>
    <row r="1936">
      <c r="A1936" t="inlineStr">
        <is>
          <t>2025-05-09 07:43:49.181</t>
        </is>
      </c>
      <c r="B1936">
        <f>=请求结束== [请求耗时]:13毫秒, [返回数据]:{"code":"000000","msg":"Success","traceId":"1e272df112b60278df268ec77e8a996f"}</f>
        <v/>
      </c>
      <c r="C1936" t="inlineStr">
        <is>
          <t>INFO</t>
        </is>
      </c>
      <c r="D1936" t="inlineStr">
        <is>
          <t>vdh</t>
        </is>
      </c>
      <c r="E1936" t="inlineStr">
        <is>
          <t>pro17</t>
        </is>
      </c>
      <c r="F1936" t="inlineStr">
        <is>
          <t>prod</t>
        </is>
      </c>
    </row>
    <row r="1937">
      <c r="A1937" t="inlineStr">
        <is>
          <t>2025-05-09 07:43:49.167</t>
        </is>
      </c>
      <c r="B1937">
        <f>=请求开始== [请求IP]:221.7.181.82 ,[请求方式]:POST， [请求URL]:https://172.30.103.196:8080/api/appservice/bfv/v1/chatHistory/batchSave, [请求类名]:com.yingzi.appservice.bfv.provider.rest.ChatHistoryController,[请求方法名]:batchSave, [请求头参数]:{"host":"172.30.103.196:8080"}, [请求参数]:[[{"userId":748109107975774208,"deviceId":"64:79:F0:79:7A:8E","sessionId":"","avatarId":"11200220000208050000000000000000","appCode":"VDHtestWDC","instructionTemplateType":"","recordId":"","asrResult":"","knowledgeId":"","knowledgeMasterId":"","instructionType":"","instructionName":"","instructionFlag":"","parameter":"{}","ttsResultSource":"local","ttsResult":"请放入食物小万发现了小米粥+小芋头+甜玉米,请选择烹饪模式","ttsResultTime":{"year":2025,"monthValue":5,"month":"MAY","dayOfMonth":9,"dayOfYear":129,"dayOfWeek":"FRIDAY","hour":7,"minute":38,"second":36,"nano":0,"chronology":{"id":"ISO","calendarType":"iso8601"}},"response":1746747516617}]]</f>
        <v/>
      </c>
      <c r="C1937" t="inlineStr">
        <is>
          <t>INFO</t>
        </is>
      </c>
      <c r="D1937" t="inlineStr">
        <is>
          <t>vdh</t>
        </is>
      </c>
      <c r="E1937" t="inlineStr">
        <is>
          <t>pro17</t>
        </is>
      </c>
      <c r="F1937" t="inlineStr">
        <is>
          <t>prod</t>
        </is>
      </c>
    </row>
    <row r="1938">
      <c r="A1938" t="inlineStr">
        <is>
          <t>2025-05-09 07:41:52.285</t>
        </is>
      </c>
      <c r="B1938">
        <f>=请求结束== [请求耗时]:12毫秒, [返回数据]:{"code":"000000","msg":"Success","traceId":"1fc0ddd7ee6b9d2b4ee50388cacac83d"}</f>
        <v/>
      </c>
      <c r="C1938" t="inlineStr">
        <is>
          <t>INFO</t>
        </is>
      </c>
      <c r="D1938" t="inlineStr">
        <is>
          <t>vdh</t>
        </is>
      </c>
      <c r="E1938" t="inlineStr">
        <is>
          <t>pro14</t>
        </is>
      </c>
      <c r="F1938" t="inlineStr">
        <is>
          <t>prod</t>
        </is>
      </c>
    </row>
    <row r="1939">
      <c r="A1939" t="inlineStr">
        <is>
          <t>2025-05-09 07:41:52.273</t>
        </is>
      </c>
      <c r="B1939">
        <f>=请求开始== [请求IP]:116.9.6.7 ,[请求方式]:POST， [请求URL]:https://172.30.212.148:8080/api/appservice/bfv/v1/chatHistory/batchSave, [请求类名]:com.yingzi.appservice.bfv.provider.rest.ChatHistoryController,[请求方法名]:batchSave, [请求头参数]:{"host":"172.30.212.148:8080"}, [请求参数]:[[{"userId":908023031466074113,"deviceId":"28:D0:EA:87:39:C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7,"minute":41,"second":47,"nano":0,"chronology":{"id":"ISO","calendarType":"iso8601"}},"response":1746747707009}]]</f>
        <v/>
      </c>
      <c r="C1939" t="inlineStr">
        <is>
          <t>INFO</t>
        </is>
      </c>
      <c r="D1939" t="inlineStr">
        <is>
          <t>vdh</t>
        </is>
      </c>
      <c r="E1939" t="inlineStr">
        <is>
          <t>pro14</t>
        </is>
      </c>
      <c r="F1939" t="inlineStr">
        <is>
          <t>prod</t>
        </is>
      </c>
    </row>
    <row r="1940">
      <c r="A1940" t="inlineStr">
        <is>
          <t>2025-05-09 07:41:07.807</t>
        </is>
      </c>
      <c r="B1940">
        <f>=请求结束== [请求耗时]:13毫秒, [返回数据]:{"code":"000000","msg":"Success","traceId":"2cf4f3af3b36f105c291daa529492883"}</f>
        <v/>
      </c>
      <c r="C1940" t="inlineStr">
        <is>
          <t>INFO</t>
        </is>
      </c>
      <c r="D1940" t="inlineStr">
        <is>
          <t>vdh</t>
        </is>
      </c>
      <c r="E1940" t="inlineStr">
        <is>
          <t>pro17</t>
        </is>
      </c>
      <c r="F1940" t="inlineStr">
        <is>
          <t>prod</t>
        </is>
      </c>
    </row>
    <row r="1941">
      <c r="A1941" t="inlineStr">
        <is>
          <t>2025-05-09 07:41:07.794</t>
        </is>
      </c>
      <c r="B1941">
        <f>=请求开始== [请求IP]:120.230.118.128 ,[请求方式]:POST， [请求URL]:https://172.30.103.196:8080/api/appservice/bfv/v1/chatHistory/batchSave, [请求类名]:com.yingzi.appservice.bfv.provider.rest.ChatHistoryController,[请求方法名]:batchSave, [请求头参数]:{"host":"172.30.103.196:8080"}, [请求参数]:[[{"userId":871342215734112256,"deviceId":"28:D0:EA:87:90:5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7,"minute":41,"second":2,"nano":0,"chronology":{"id":"ISO","calendarType":"iso8601"}},"response":3197823}]]</f>
        <v/>
      </c>
      <c r="C1941" t="inlineStr">
        <is>
          <t>INFO</t>
        </is>
      </c>
      <c r="D1941" t="inlineStr">
        <is>
          <t>vdh</t>
        </is>
      </c>
      <c r="E1941" t="inlineStr">
        <is>
          <t>pro17</t>
        </is>
      </c>
      <c r="F1941" t="inlineStr">
        <is>
          <t>prod</t>
        </is>
      </c>
    </row>
    <row r="1942">
      <c r="A1942" t="inlineStr">
        <is>
          <t>2025-05-09 07:40:38.105</t>
        </is>
      </c>
      <c r="B1942">
        <f>=请求结束== [请求耗时]:14毫秒, [返回数据]:{"code":"000000","msg":"Success","traceId":"bfafe3300469797e9e6f80f6264bda93"}</f>
        <v/>
      </c>
      <c r="C1942" t="inlineStr">
        <is>
          <t>INFO</t>
        </is>
      </c>
      <c r="D1942" t="inlineStr">
        <is>
          <t>vdh</t>
        </is>
      </c>
      <c r="E1942" t="inlineStr">
        <is>
          <t>pro14</t>
        </is>
      </c>
      <c r="F1942" t="inlineStr">
        <is>
          <t>prod</t>
        </is>
      </c>
    </row>
    <row r="1943">
      <c r="A1943" t="inlineStr">
        <is>
          <t>2025-05-09 07:40:38.092</t>
        </is>
      </c>
      <c r="B1943">
        <f>=请求开始== [请求IP]:218.17.115.163 ,[请求方式]:POST， [请求URL]:https://172.30.212.148:8080/api/appservice/bfv/v1/chatHistory/batchSave, [请求类名]:com.yingzi.appservice.bfv.provider.rest.ChatHistoryController,[请求方法名]:batchSave, [请求头参数]:{"host":"172.30.212.148:8080"}, [请求参数]:[[{"userId":908023066098442241,"deviceId":"F4:CE:23:BC:3F:B8","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7,"minute":40,"second":32,"nano":0,"chronology":{"id":"ISO","calendarType":"iso8601"}},"response":1746747632931}]]</f>
        <v/>
      </c>
      <c r="C1943" t="inlineStr">
        <is>
          <t>INFO</t>
        </is>
      </c>
      <c r="D1943" t="inlineStr">
        <is>
          <t>vdh</t>
        </is>
      </c>
      <c r="E1943" t="inlineStr">
        <is>
          <t>pro14</t>
        </is>
      </c>
      <c r="F1943" t="inlineStr">
        <is>
          <t>prod</t>
        </is>
      </c>
    </row>
    <row r="1944">
      <c r="A1944" t="inlineStr">
        <is>
          <t>2025-05-09 07:39:56.549</t>
        </is>
      </c>
      <c r="B1944">
        <f>=请求结束== [请求耗时]:14毫秒, [返回数据]:{"code":"000000","msg":"Success","traceId":"141553d67b4fb135fe0e72c8db570de9"}</f>
        <v/>
      </c>
      <c r="C1944" t="inlineStr">
        <is>
          <t>INFO</t>
        </is>
      </c>
      <c r="D1944" t="inlineStr">
        <is>
          <t>vdh</t>
        </is>
      </c>
      <c r="E1944" t="inlineStr">
        <is>
          <t>pro17</t>
        </is>
      </c>
      <c r="F1944" t="inlineStr">
        <is>
          <t>prod</t>
        </is>
      </c>
    </row>
    <row r="1945">
      <c r="A1945" t="inlineStr">
        <is>
          <t>2025-05-09 07:39:56.535</t>
        </is>
      </c>
      <c r="B1945">
        <f>=请求开始== [请求IP]:120.230.118.128 ,[请求方式]:POST， [请求URL]:https://172.30.103.196:8080/api/appservice/bfv/v1/chatHistory/batchSave, [请求类名]:com.yingzi.appservice.bfv.provider.rest.ChatHistoryController,[请求方法名]:batchSave, [请求头参数]:{"host":"172.30.103.196:8080"}, [请求参数]:[[{"userId":871342215734112256,"deviceId":"28:D0:EA:87:90:5B","sessionId":"","avatarId":"11200220000208050000000000000000","appCode":"VDHtestWDC","instructionTemplateType":"","recordId":"","asrResult":"","knowledgeId":"","knowledgeMasterId":"","instructionType":"","instructionName":"","instructionFlag":"","parameter":"{}","ttsResultSource":"local","ttsResult":"搞定了","ttsResultTime":{"year":2025,"monthValue":5,"month":"MAY","dayOfMonth":9,"dayOfYear":129,"dayOfWeek":"FRIDAY","hour":7,"minute":39,"second":52,"nano":0,"chronology":{"id":"ISO","calendarType":"iso8601"}},"response":3127776}]]</f>
        <v/>
      </c>
      <c r="C1945" t="inlineStr">
        <is>
          <t>INFO</t>
        </is>
      </c>
      <c r="D1945" t="inlineStr">
        <is>
          <t>vdh</t>
        </is>
      </c>
      <c r="E1945" t="inlineStr">
        <is>
          <t>pro17</t>
        </is>
      </c>
      <c r="F1945" t="inlineStr">
        <is>
          <t>prod</t>
        </is>
      </c>
    </row>
    <row r="1946">
      <c r="A1946" t="inlineStr">
        <is>
          <t>2025-05-09 07:39:36.254</t>
        </is>
      </c>
      <c r="B1946">
        <f>=请求结束== [请求耗时]:15毫秒, [返回数据]:{"code":"000000","msg":"Success","traceId":"1ced6ede504b489a8ccb8acc7a1a6145"}</f>
        <v/>
      </c>
      <c r="C1946" t="inlineStr">
        <is>
          <t>INFO</t>
        </is>
      </c>
      <c r="D1946" t="inlineStr">
        <is>
          <t>vdh</t>
        </is>
      </c>
      <c r="E1946" t="inlineStr">
        <is>
          <t>pro14</t>
        </is>
      </c>
      <c r="F1946" t="inlineStr">
        <is>
          <t>prod</t>
        </is>
      </c>
    </row>
    <row r="1947">
      <c r="A1947" t="inlineStr">
        <is>
          <t>2025-05-09 07:39:36.239</t>
        </is>
      </c>
      <c r="B1947">
        <f>=请求开始== [请求IP]:117.183.10.243 ,[请求方式]:POST， [请求URL]:https://172.30.212.148:8080/api/appservice/bfv/v1/chatHistory/batchSave, [请求类名]:com.yingzi.appservice.bfv.provider.rest.ChatHistoryController,[请求方法名]:batchSave, [请求头参数]:{"host":"172.30.212.148:8080"}, [请求参数]:[[{"userId":908023031667400709,"deviceId":"28:D0:EA:87:3A:2F","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7,"minute":39,"second":30,"nano":0,"chronology":{"id":"ISO","calendarType":"iso8601"}},"response":1746747570995}]]</f>
        <v/>
      </c>
      <c r="C1947" t="inlineStr">
        <is>
          <t>INFO</t>
        </is>
      </c>
      <c r="D1947" t="inlineStr">
        <is>
          <t>vdh</t>
        </is>
      </c>
      <c r="E1947" t="inlineStr">
        <is>
          <t>pro14</t>
        </is>
      </c>
      <c r="F1947" t="inlineStr">
        <is>
          <t>prod</t>
        </is>
      </c>
    </row>
    <row r="1948">
      <c r="A1948" t="inlineStr">
        <is>
          <t>2025-05-09 07:39:08.735</t>
        </is>
      </c>
      <c r="B1948">
        <f>=请求结束== [请求耗时]:12毫秒, [返回数据]:{"code":"000000","msg":"Success","traceId":"671b02205ba1cbed50919a31d4175d0e"}</f>
        <v/>
      </c>
      <c r="C1948" t="inlineStr">
        <is>
          <t>INFO</t>
        </is>
      </c>
      <c r="D1948" t="inlineStr">
        <is>
          <t>vdh</t>
        </is>
      </c>
      <c r="E1948" t="inlineStr">
        <is>
          <t>pro17</t>
        </is>
      </c>
      <c r="F1948" t="inlineStr">
        <is>
          <t>prod</t>
        </is>
      </c>
    </row>
    <row r="1949">
      <c r="A1949" t="inlineStr">
        <is>
          <t>2025-05-09 07:39:08.723</t>
        </is>
      </c>
      <c r="B1949">
        <f>=请求开始== [请求IP]:120.230.118.128 ,[请求方式]:POST， [请求URL]:https://172.30.103.196:8080/api/appservice/bfv/v1/chatHistory/batchSave, [请求类名]:com.yingzi.appservice.bfv.provider.rest.ChatHistoryController,[请求方法名]:batchSave, [请求头参数]:{"host":"172.30.103.196:8080"}, [请求参数]:[[{"userId":871342215734112256,"deviceId":"28:D0:EA:87:90:5B","sessionId":"","avatarId":"11200220000208050000000000000000","appCode":"VDHtestWDC","instructionTemplateType":"","recordId":"","asrResult":"","knowledgeId":"","knowledgeMasterId":"","instructionType":"","instructionName":"","instructionFlag":"","parameter":"{}","ttsResultSource":"local","ttsResult":"好的","ttsResultTime":{"year":2025,"monthValue":5,"month":"MAY","dayOfMonth":9,"dayOfYear":129,"dayOfWeek":"FRIDAY","hour":7,"minute":39,"second":4,"nano":0,"chronology":{"id":"ISO","calendarType":"iso8601"}},"response":3079967}]]</f>
        <v/>
      </c>
      <c r="C1949" t="inlineStr">
        <is>
          <t>INFO</t>
        </is>
      </c>
      <c r="D1949" t="inlineStr">
        <is>
          <t>vdh</t>
        </is>
      </c>
      <c r="E1949" t="inlineStr">
        <is>
          <t>pro17</t>
        </is>
      </c>
      <c r="F1949" t="inlineStr">
        <is>
          <t>prod</t>
        </is>
      </c>
    </row>
    <row r="1950">
      <c r="A1950" t="inlineStr">
        <is>
          <t>2025-05-09 07:38:59.084</t>
        </is>
      </c>
      <c r="B1950">
        <f>=请求结束== [请求耗时]:15毫秒, [返回数据]:{"code":"000000","msg":"Success","traceId":"e56e5b617b1b4c5e4d2b217022f57976"}</f>
        <v/>
      </c>
      <c r="C1950" t="inlineStr">
        <is>
          <t>INFO</t>
        </is>
      </c>
      <c r="D1950" t="inlineStr">
        <is>
          <t>vdh</t>
        </is>
      </c>
      <c r="E1950" t="inlineStr">
        <is>
          <t>pro14</t>
        </is>
      </c>
      <c r="F1950" t="inlineStr">
        <is>
          <t>prod</t>
        </is>
      </c>
    </row>
    <row r="1951">
      <c r="A1951" t="inlineStr">
        <is>
          <t>2025-05-09 07:38:59.069</t>
        </is>
      </c>
      <c r="B1951">
        <f>=请求开始== [请求IP]:117.183.10.243 ,[请求方式]:POST， [请求URL]:https://172.30.212.148:8080/api/appservice/bfv/v1/chatHistory/batchSave, [请求类名]:com.yingzi.appservice.bfv.provider.rest.ChatHistoryController,[请求方法名]:batchSave, [请求头参数]:{"host":"172.30.212.148:8080"}, [请求参数]:[[{"userId":908023031667400709,"deviceId":"28:D0:EA:87:3A:2F","sessionId":"","avatarId":"11200220000208050000000000000000","appCode":"VDHtestWDC","instructionTemplateType":"","recordId":"","asrResult":"","knowledgeId":"","knowledgeMasterId":"","instructionType":"","instructionName":"","instructionFlag":"","parameter":"{}","ttsResultSource":"","ttsResult":"","response":0}]]</f>
        <v/>
      </c>
      <c r="C1951" t="inlineStr">
        <is>
          <t>INFO</t>
        </is>
      </c>
      <c r="D1951" t="inlineStr">
        <is>
          <t>vdh</t>
        </is>
      </c>
      <c r="E1951" t="inlineStr">
        <is>
          <t>pro14</t>
        </is>
      </c>
      <c r="F1951" t="inlineStr">
        <is>
          <t>prod</t>
        </is>
      </c>
    </row>
    <row r="1952">
      <c r="A1952" t="inlineStr">
        <is>
          <t>2025-05-09 07:38:47.997</t>
        </is>
      </c>
      <c r="B1952">
        <f>=请求结束== [请求耗时]:12毫秒, [返回数据]:{"code":"000000","msg":"Success","traceId":"34537d132d5a6550f6d0ea32ed276531"}</f>
        <v/>
      </c>
      <c r="C1952" t="inlineStr">
        <is>
          <t>INFO</t>
        </is>
      </c>
      <c r="D1952" t="inlineStr">
        <is>
          <t>vdh</t>
        </is>
      </c>
      <c r="E1952" t="inlineStr">
        <is>
          <t>pro17</t>
        </is>
      </c>
      <c r="F1952" t="inlineStr">
        <is>
          <t>prod</t>
        </is>
      </c>
    </row>
    <row r="1953">
      <c r="A1953" t="inlineStr">
        <is>
          <t>2025-05-09 07:38:47.985</t>
        </is>
      </c>
      <c r="B1953">
        <f>=请求开始== [请求IP]:117.183.10.243 ,[请求方式]:POST， [请求URL]:https://172.30.103.196:8080/api/appservice/bfv/v1/chatHistory/batchSave, [请求类名]:com.yingzi.appservice.bfv.provider.rest.ChatHistoryController,[请求方法名]:batchSave, [请求头参数]:{"host":"172.30.103.196:8080"}, [请求参数]:[[{"userId":908023031667400709,"deviceId":"28:D0:EA:87:3A:2F","sessionId":"","avatarId":"11200220000208050000000000000000","appCode":"VDHtestWDC","instructionTemplateType":"","recordId":"","asrResult":"","knowledgeId":"","knowledgeMasterId":"","instructionType":"","instructionName":"","instructionFlag":"","parameter":"{}","ttsResultSource":"","ttsResult":"","response":0}]]</f>
        <v/>
      </c>
      <c r="C1953" t="inlineStr">
        <is>
          <t>INFO</t>
        </is>
      </c>
      <c r="D1953" t="inlineStr">
        <is>
          <t>vdh</t>
        </is>
      </c>
      <c r="E1953" t="inlineStr">
        <is>
          <t>pro17</t>
        </is>
      </c>
      <c r="F1953" t="inlineStr">
        <is>
          <t>prod</t>
        </is>
      </c>
    </row>
    <row r="1954">
      <c r="A1954" t="inlineStr">
        <is>
          <t>2025-05-09 07:38:47.724</t>
        </is>
      </c>
      <c r="B1954">
        <f>=请求结束== [请求耗时]:14毫秒, [返回数据]:{"code":"000000","msg":"Success","traceId":"198b9dcda04894fe98cb08edff6133c9"}</f>
        <v/>
      </c>
      <c r="C1954" t="inlineStr">
        <is>
          <t>INFO</t>
        </is>
      </c>
      <c r="D1954" t="inlineStr">
        <is>
          <t>vdh</t>
        </is>
      </c>
      <c r="E1954" t="inlineStr">
        <is>
          <t>pro14</t>
        </is>
      </c>
      <c r="F1954" t="inlineStr">
        <is>
          <t>prod</t>
        </is>
      </c>
    </row>
    <row r="1955">
      <c r="A1955" t="inlineStr">
        <is>
          <t>2025-05-09 07:38:47.711</t>
        </is>
      </c>
      <c r="B1955">
        <f>=请求开始== [请求IP]:111.58.68.45 ,[请求方式]:POST， [请求URL]:https://172.30.212.148:8080/api/appservice/bfv/v1/chatHistory/batchSave, [请求类名]:com.yingzi.appservice.bfv.provider.rest.ChatHistoryController,[请求方法名]:batchSave, [请求头参数]:{"host":"172.30.212.148:8080"}, [请求参数]:[[{"userId":794947370928070656,"deviceId":"70:CF:49:9C:69:3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7,"minute":38,"second":42,"nano":0,"chronology":{"id":"ISO","calendarType":"iso8601"}},"response":195731}]]</f>
        <v/>
      </c>
      <c r="C1955" t="inlineStr">
        <is>
          <t>INFO</t>
        </is>
      </c>
      <c r="D1955" t="inlineStr">
        <is>
          <t>vdh</t>
        </is>
      </c>
      <c r="E1955" t="inlineStr">
        <is>
          <t>pro14</t>
        </is>
      </c>
      <c r="F1955" t="inlineStr">
        <is>
          <t>prod</t>
        </is>
      </c>
    </row>
    <row r="1956">
      <c r="A1956" t="inlineStr">
        <is>
          <t>2025-05-09 07:38:33.632</t>
        </is>
      </c>
      <c r="B1956">
        <f>=请求结束== [请求耗时]:11毫秒, [返回数据]:{"code":"000000","msg":"Success","traceId":"5f91c4767f4f514b0424ddc5dc2b560d"}</f>
        <v/>
      </c>
      <c r="C1956" t="inlineStr">
        <is>
          <t>INFO</t>
        </is>
      </c>
      <c r="D1956" t="inlineStr">
        <is>
          <t>vdh</t>
        </is>
      </c>
      <c r="E1956" t="inlineStr">
        <is>
          <t>pro14</t>
        </is>
      </c>
      <c r="F1956" t="inlineStr">
        <is>
          <t>prod</t>
        </is>
      </c>
    </row>
    <row r="1957">
      <c r="A1957" t="inlineStr">
        <is>
          <t>2025-05-09 07:38:33.621</t>
        </is>
      </c>
      <c r="B1957">
        <f>=请求开始== [请求IP]:120.230.118.128 ,[请求方式]:POST， [请求URL]:https://172.30.212.148:8080/api/appservice/bfv/v1/chatHistory/batchSave, [请求类名]:com.yingzi.appservice.bfv.provider.rest.ChatHistoryController,[请求方法名]:batchSave, [请求头参数]:{"host":"172.30.212.148:8080"}, [请求参数]:[[{"userId":871342215734112256,"deviceId":"28:D0:EA:87:90:5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7,"minute":38,"second":28,"nano":0,"chronology":{"id":"ISO","calendarType":"iso8601"}},"response":3043520}]]</f>
        <v/>
      </c>
      <c r="C1957" t="inlineStr">
        <is>
          <t>INFO</t>
        </is>
      </c>
      <c r="D1957" t="inlineStr">
        <is>
          <t>vdh</t>
        </is>
      </c>
      <c r="E1957" t="inlineStr">
        <is>
          <t>pro14</t>
        </is>
      </c>
      <c r="F1957" t="inlineStr">
        <is>
          <t>prod</t>
        </is>
      </c>
    </row>
    <row r="1958">
      <c r="A1958" t="inlineStr">
        <is>
          <t>2025-05-09 07:38:31.893</t>
        </is>
      </c>
      <c r="B1958">
        <f>=请求结束== [请求耗时]:12毫秒, [返回数据]:{"code":"000000","msg":"Success","traceId":"a526b59ed87acd82b2a7097ffd558d07"}</f>
        <v/>
      </c>
      <c r="C1958" t="inlineStr">
        <is>
          <t>INFO</t>
        </is>
      </c>
      <c r="D1958" t="inlineStr">
        <is>
          <t>vdh</t>
        </is>
      </c>
      <c r="E1958" t="inlineStr">
        <is>
          <t>pro17</t>
        </is>
      </c>
      <c r="F1958" t="inlineStr">
        <is>
          <t>prod</t>
        </is>
      </c>
    </row>
    <row r="1959">
      <c r="A1959" t="inlineStr">
        <is>
          <t>2025-05-09 07:38:31.881</t>
        </is>
      </c>
      <c r="B1959">
        <f>=请求开始== [请求IP]:117.183.10.243 ,[请求方式]:POST， [请求URL]:https://172.30.103.196:8080/api/appservice/bfv/v1/chatHistory/batchSave, [请求类名]:com.yingzi.appservice.bfv.provider.rest.ChatHistoryController,[请求方法名]:batchSave, [请求头参数]:{"host":"172.30.103.196:8080"}, [请求参数]:[[{"userId":908023031667400709,"deviceId":"28:D0:EA:87:3A:2F","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7,"minute":37,"second":49,"nano":0,"chronology":{"id":"ISO","calendarType":"iso8601"}},"response":1746747469267}]]</f>
        <v/>
      </c>
      <c r="C1959" t="inlineStr">
        <is>
          <t>INFO</t>
        </is>
      </c>
      <c r="D1959" t="inlineStr">
        <is>
          <t>vdh</t>
        </is>
      </c>
      <c r="E1959" t="inlineStr">
        <is>
          <t>pro17</t>
        </is>
      </c>
      <c r="F1959" t="inlineStr">
        <is>
          <t>prod</t>
        </is>
      </c>
    </row>
    <row r="1960">
      <c r="A1960" t="inlineStr">
        <is>
          <t>2025-05-09 07:38:13.736</t>
        </is>
      </c>
      <c r="B1960">
        <f>=请求结束== [请求耗时]:15毫秒, [返回数据]:{"code":"000000","msg":"Success","traceId":"225190d4718137c732f835d0899536dd"}</f>
        <v/>
      </c>
      <c r="C1960" t="inlineStr">
        <is>
          <t>INFO</t>
        </is>
      </c>
      <c r="D1960" t="inlineStr">
        <is>
          <t>vdh</t>
        </is>
      </c>
      <c r="E1960" t="inlineStr">
        <is>
          <t>pro14</t>
        </is>
      </c>
      <c r="F1960" t="inlineStr">
        <is>
          <t>prod</t>
        </is>
      </c>
    </row>
    <row r="1961">
      <c r="A1961" t="inlineStr">
        <is>
          <t>2025-05-09 07:38:13.721</t>
        </is>
      </c>
      <c r="B1961">
        <f>=请求开始== [请求IP]:218.17.115.163 ,[请求方式]:POST， [请求URL]:https://172.30.212.148:8080/api/appservice/bfv/v1/chatHistory/batchSave, [请求类名]:com.yingzi.appservice.bfv.provider.rest.ChatHistoryController,[请求方法名]:batchSave, [请求头参数]:{"host":"172.30.212.148:8080"}, [请求参数]:[[{"userId":908023066098442241,"deviceId":"F4:CE:23:BC:3F:B8","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7,"minute":38,"second":8,"nano":0,"chronology":{"id":"ISO","calendarType":"iso8601"}},"response":1746747488451}]]</f>
        <v/>
      </c>
      <c r="C1961" t="inlineStr">
        <is>
          <t>INFO</t>
        </is>
      </c>
      <c r="D1961" t="inlineStr">
        <is>
          <t>vdh</t>
        </is>
      </c>
      <c r="E1961" t="inlineStr">
        <is>
          <t>pro14</t>
        </is>
      </c>
      <c r="F1961" t="inlineStr">
        <is>
          <t>prod</t>
        </is>
      </c>
    </row>
    <row r="1962">
      <c r="A1962" t="inlineStr">
        <is>
          <t>2025-05-09 07:38:03.869</t>
        </is>
      </c>
      <c r="B1962">
        <f>=请求结束== [请求耗时]:17毫秒, [返回数据]:{"code":"000000","msg":"Success","traceId":"da3805ca71b4ddbe485abb23226c9a30"}</f>
        <v/>
      </c>
      <c r="C1962" t="inlineStr">
        <is>
          <t>INFO</t>
        </is>
      </c>
      <c r="D1962" t="inlineStr">
        <is>
          <t>vdh</t>
        </is>
      </c>
      <c r="E1962" t="inlineStr">
        <is>
          <t>pro17</t>
        </is>
      </c>
      <c r="F1962" t="inlineStr">
        <is>
          <t>prod</t>
        </is>
      </c>
    </row>
    <row r="1963">
      <c r="A1963" t="inlineStr">
        <is>
          <t>2025-05-09 07:38:03.852</t>
        </is>
      </c>
      <c r="B1963">
        <f>=请求开始== [请求IP]:111.58.68.45 ,[请求方式]:POST， [请求URL]:https://172.30.103.196:8080/api/appservice/bfv/v1/chatHistory/batchSave, [请求类名]:com.yingzi.appservice.bfv.provider.rest.ChatHistoryController,[请求方法名]:batchSave, [请求头参数]:{"host":"172.30.103.196:8080"}, [请求参数]:[[{"userId":794947370928070656,"deviceId":"70:CF:49:9C:69:3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7,"minute":37,"second":58,"nano":0,"chronology":{"id":"ISO","calendarType":"iso8601"}},"response":152115}]]</f>
        <v/>
      </c>
      <c r="C1963" t="inlineStr">
        <is>
          <t>INFO</t>
        </is>
      </c>
      <c r="D1963" t="inlineStr">
        <is>
          <t>vdh</t>
        </is>
      </c>
      <c r="E1963" t="inlineStr">
        <is>
          <t>pro17</t>
        </is>
      </c>
      <c r="F1963" t="inlineStr">
        <is>
          <t>prod</t>
        </is>
      </c>
    </row>
    <row r="1964">
      <c r="A1964" t="inlineStr">
        <is>
          <t>2025-05-09 07:37:55.006</t>
        </is>
      </c>
      <c r="B1964">
        <f>=请求结束== [请求耗时]:15毫秒, [返回数据]:{"code":"000000","msg":"Success","traceId":"7dff2a213d3bf6c2b196280eaac755f7"}</f>
        <v/>
      </c>
      <c r="C1964" t="inlineStr">
        <is>
          <t>INFO</t>
        </is>
      </c>
      <c r="D1964" t="inlineStr">
        <is>
          <t>vdh</t>
        </is>
      </c>
      <c r="E1964" t="inlineStr">
        <is>
          <t>pro14</t>
        </is>
      </c>
      <c r="F1964" t="inlineStr">
        <is>
          <t>prod</t>
        </is>
      </c>
    </row>
    <row r="1965">
      <c r="A1965" t="inlineStr">
        <is>
          <t>2025-05-09 07:37:54.991</t>
        </is>
      </c>
      <c r="B1965">
        <f>=请求开始== [请求IP]:111.58.68.45 ,[请求方式]:POST， [请求URL]:https://172.30.212.148:8080/api/appservice/bfv/v1/chatHistory/batchSave, [请求类名]:com.yingzi.appservice.bfv.provider.rest.ChatHistoryController,[请求方法名]:batchSave, [请求头参数]:{"host":"172.30.212.148:8080"}, [请求参数]:[[{"userId":794947370928070656,"deviceId":"70:CF:49:9C:69:3B","sessionId":"","avatarId":"11200220000208050000000000000000","appCode":"VDHtestWDC","instructionTemplateType":"","recordId":"","asrResult":"","knowledgeId":"","knowledgeMasterId":"","instructionType":"","instructionName":"","instructionFlag":"","parameter":"{}","ttsResultSource":"local","ttsResult":"小万发现了花生莲藕龙骨汤,要帮主人开始烹饪吗","ttsResultTime":{"year":2025,"monthValue":5,"month":"MAY","dayOfMonth":9,"dayOfYear":129,"dayOfWeek":"FRIDAY","hour":7,"minute":37,"second":49,"nano":0,"chronology":{"id":"ISO","calendarType":"iso8601"}},"response":143364}]]</f>
        <v/>
      </c>
      <c r="C1965" t="inlineStr">
        <is>
          <t>INFO</t>
        </is>
      </c>
      <c r="D1965" t="inlineStr">
        <is>
          <t>vdh</t>
        </is>
      </c>
      <c r="E1965" t="inlineStr">
        <is>
          <t>pro14</t>
        </is>
      </c>
      <c r="F1965" t="inlineStr">
        <is>
          <t>prod</t>
        </is>
      </c>
    </row>
    <row r="1966">
      <c r="A1966" t="inlineStr">
        <is>
          <t>2025-05-09 07:37:47.502</t>
        </is>
      </c>
      <c r="B1966">
        <f>=请求结束== [请求耗时]:15毫秒, [返回数据]:{"code":"000000","msg":"Success","traceId":"18bbb23ebba7a4db85f55bd7b8f0fa81"}</f>
        <v/>
      </c>
      <c r="C1966" t="inlineStr">
        <is>
          <t>INFO</t>
        </is>
      </c>
      <c r="D1966" t="inlineStr">
        <is>
          <t>vdh</t>
        </is>
      </c>
      <c r="E1966" t="inlineStr">
        <is>
          <t>pro17</t>
        </is>
      </c>
      <c r="F1966" t="inlineStr">
        <is>
          <t>prod</t>
        </is>
      </c>
    </row>
    <row r="1967">
      <c r="A1967" t="inlineStr">
        <is>
          <t>2025-05-09 07:37:47.487</t>
        </is>
      </c>
      <c r="B1967">
        <f>=请求开始== [请求IP]:111.58.68.45 ,[请求方式]:POST， [请求URL]:https://172.30.103.196:8080/api/appservice/bfv/v1/chatHistory/batchSave, [请求类名]:com.yingzi.appservice.bfv.provider.rest.ChatHistoryController,[请求方法名]:batchSave, [请求头参数]:{"host":"172.30.103.196:8080"}, [请求参数]:[[{"userId":794947370928070656,"deviceId":"70:CF:49:9C:69:3B","sessionId":"","avatarId":"11200220000208050000000000000000","appCode":"VDHtestWDC","instructionTemplateType":"","recordId":"","asrResult":"","knowledgeId":"","knowledgeMasterId":"","instructionType":"","instructionName":"","instructionFlag":"","parameter":"{}","ttsResultSource":"local","ttsResult":"小万发现了花生莲藕龙骨汤,请选择一下烹饪模式","ttsResultTime":{"year":2025,"monthValue":5,"month":"MAY","dayOfMonth":9,"dayOfYear":129,"dayOfWeek":"FRIDAY","hour":7,"minute":37,"second":42,"nano":0,"chronology":{"id":"ISO","calendarType":"iso8601"}},"response":136420}]]</f>
        <v/>
      </c>
      <c r="C1967" t="inlineStr">
        <is>
          <t>INFO</t>
        </is>
      </c>
      <c r="D1967" t="inlineStr">
        <is>
          <t>vdh</t>
        </is>
      </c>
      <c r="E1967" t="inlineStr">
        <is>
          <t>pro17</t>
        </is>
      </c>
      <c r="F1967" t="inlineStr">
        <is>
          <t>prod</t>
        </is>
      </c>
    </row>
    <row r="1968">
      <c r="A1968" t="inlineStr">
        <is>
          <t>2025-05-09 07:37:23.294</t>
        </is>
      </c>
      <c r="B1968">
        <f>=请求结束== [请求耗时]:15毫秒, [返回数据]:{"code":"000000","msg":"Success","traceId":"61914b23acb8b04a98e41901d935d73e"}</f>
        <v/>
      </c>
      <c r="C1968" t="inlineStr">
        <is>
          <t>INFO</t>
        </is>
      </c>
      <c r="D1968" t="inlineStr">
        <is>
          <t>vdh</t>
        </is>
      </c>
      <c r="E1968" t="inlineStr">
        <is>
          <t>pro14</t>
        </is>
      </c>
      <c r="F1968" t="inlineStr">
        <is>
          <t>prod</t>
        </is>
      </c>
    </row>
    <row r="1969">
      <c r="A1969" t="inlineStr">
        <is>
          <t>2025-05-09 07:37:23.279</t>
        </is>
      </c>
      <c r="B1969">
        <f>=请求开始== [请求IP]:111.58.68.45 ,[请求方式]:POST， [请求URL]:https://172.30.212.148:8080/api/appservice/bfv/v1/chatHistory/batchSave, [请求类名]:com.yingzi.appservice.bfv.provider.rest.ChatHistoryController,[请求方法名]:batchSave, [请求头参数]:{"host":"172.30.212.148:8080"}, [请求参数]:[[{"userId":794947370928070656,"deviceId":"70:CF:49:9C:69:3B","sessionId":"","avatarId":"11200220000208050000000000000000","appCode":"VDHtestWDC","instructionTemplateType":"","recordId":"","asrResult":"","knowledgeId":"","knowledgeMasterId":"","instructionType":"","instructionName":"","instructionFlag":"","parameter":"{}","ttsResultSource":"local","ttsResult":"这道菜小万还没学会,可以使用自助烹饪!","ttsResultTime":{"year":2025,"monthValue":5,"month":"MAY","dayOfMonth":9,"dayOfYear":129,"dayOfWeek":"FRIDAY","hour":7,"minute":37,"second":16,"nano":0,"chronology":{"id":"ISO","calendarType":"iso8601"}},"response":110085}]]</f>
        <v/>
      </c>
      <c r="C1969" t="inlineStr">
        <is>
          <t>INFO</t>
        </is>
      </c>
      <c r="D1969" t="inlineStr">
        <is>
          <t>vdh</t>
        </is>
      </c>
      <c r="E1969" t="inlineStr">
        <is>
          <t>pro14</t>
        </is>
      </c>
      <c r="F1969" t="inlineStr">
        <is>
          <t>prod</t>
        </is>
      </c>
    </row>
    <row r="1970">
      <c r="A1970" t="inlineStr">
        <is>
          <t>2025-05-09 07:36:46.579</t>
        </is>
      </c>
      <c r="B1970">
        <f>=请求结束== [请求耗时]:10毫秒, [返回数据]:{"code":"000000","msg":"Success","traceId":"d1e494ffb58e7c3b4644cc50f23d0e87"}</f>
        <v/>
      </c>
      <c r="C1970" t="inlineStr">
        <is>
          <t>INFO</t>
        </is>
      </c>
      <c r="D1970" t="inlineStr">
        <is>
          <t>vdh</t>
        </is>
      </c>
      <c r="E1970" t="inlineStr">
        <is>
          <t>pro17</t>
        </is>
      </c>
      <c r="F1970" t="inlineStr">
        <is>
          <t>prod</t>
        </is>
      </c>
    </row>
    <row r="1971">
      <c r="A1971" t="inlineStr">
        <is>
          <t>2025-05-09 07:36:46.570</t>
        </is>
      </c>
      <c r="B1971">
        <f>=请求开始== [请求IP]:111.58.68.45 ,[请求方式]:POST， [请求URL]:https://172.30.103.196:8080/api/appservice/bfv/v1/chatHistory/batchSave, [请求类名]:com.yingzi.appservice.bfv.provider.rest.ChatHistoryController,[请求方法名]:batchSave, [请求头参数]:{"host":"172.30.103.196:8080"}, [请求参数]:[[{"userId":794947370928070656,"deviceId":"70:CF:49:9C:69:3B","sessionId":"","avatarId":"11200220000208050000000000000000","appCode":"VDHtestWDC","instructionTemplateType":"","recordId":"","asrResult":"","knowledgeId":"","knowledgeMasterId":"","instructionType":"","instructionName":"","instructionFlag":"","parameter":"{}","ttsResultSource":"local","ttsResult":"这道菜小万还没学会,可以使用自助烹饪!这道菜小万还没学会,可以使用自助烹饪!","ttsResultTime":{"year":2025,"monthValue":5,"month":"MAY","dayOfMonth":9,"dayOfYear":129,"dayOfWeek":"FRIDAY","hour":7,"minute":36,"second":33,"nano":0,"chronology":{"id":"ISO","calendarType":"iso8601"}},"response":67421}]]</f>
        <v/>
      </c>
      <c r="C1971" t="inlineStr">
        <is>
          <t>INFO</t>
        </is>
      </c>
      <c r="D1971" t="inlineStr">
        <is>
          <t>vdh</t>
        </is>
      </c>
      <c r="E1971" t="inlineStr">
        <is>
          <t>pro17</t>
        </is>
      </c>
      <c r="F1971" t="inlineStr">
        <is>
          <t>prod</t>
        </is>
      </c>
    </row>
    <row r="1972">
      <c r="A1972" t="inlineStr">
        <is>
          <t>2025-05-09 07:35:41.874</t>
        </is>
      </c>
      <c r="B1972">
        <f>=请求结束== [请求耗时]:15毫秒, [返回数据]:{"code":"000000","msg":"Success","traceId":"f2d761ed727ac7b7aa25de78d6ab55d1"}</f>
        <v/>
      </c>
      <c r="C1972" t="inlineStr">
        <is>
          <t>INFO</t>
        </is>
      </c>
      <c r="D1972" t="inlineStr">
        <is>
          <t>vdh</t>
        </is>
      </c>
      <c r="E1972" t="inlineStr">
        <is>
          <t>pro14</t>
        </is>
      </c>
      <c r="F1972" t="inlineStr">
        <is>
          <t>prod</t>
        </is>
      </c>
    </row>
    <row r="1973">
      <c r="A1973" t="inlineStr">
        <is>
          <t>2025-05-09 07:35:41.859</t>
        </is>
      </c>
      <c r="B1973">
        <f>=请求开始== [请求IP]:111.58.68.45 ,[请求方式]:POST， [请求URL]:https://172.30.212.148:8080/api/appservice/bfv/v1/chatHistory/batchSave, [请求类名]:com.yingzi.appservice.bfv.provider.rest.ChatHistoryController,[请求方法名]:batchSave, [请求头参数]:{"host":"172.30.212.148:8080"}, [请求参数]:[[{"userId":794947370928070656,"deviceId":"70:CF:49:9C:69:3B","sessionId":"","avatarId":"11200220000208050000000000000000","appCode":"VDHtestWDC","instructionTemplateType":"","recordId":"","asrResult":"网络甜蜜蜜","instructionAsrFirstTime":{"year":2025,"monthValue":5,"month":"MAY","dayOfMonth":9,"dayOfYear":129,"dayOfWeek":"FRIDAY","hour":7,"minute":35,"second":25,"nano":0,"chronology":{"id":"ISO","calendarType":"iso8601"}},"knowledgeId":"","knowledgeMasterId":"","instructionType":"","instructionName":"","instructionFlag":"","parameter":"{}","ttsResultSource":"local","ttsResult":"网络开小差了,请稍后再试","ttsResultTime":{"year":2025,"monthValue":5,"month":"MAY","dayOfMonth":9,"dayOfYear":129,"dayOfWeek":"FRIDAY","hour":7,"minute":35,"second":36,"nano":0,"chronology":{"id":"ISO","calendarType":"iso8601"}},"response":9693}]]</f>
        <v/>
      </c>
      <c r="C1973" t="inlineStr">
        <is>
          <t>INFO</t>
        </is>
      </c>
      <c r="D1973" t="inlineStr">
        <is>
          <t>vdh</t>
        </is>
      </c>
      <c r="E1973" t="inlineStr">
        <is>
          <t>pro14</t>
        </is>
      </c>
      <c r="F1973" t="inlineStr">
        <is>
          <t>prod</t>
        </is>
      </c>
    </row>
    <row r="1974">
      <c r="A1974" t="inlineStr">
        <is>
          <t>2025-05-09 07:35:41.317</t>
        </is>
      </c>
      <c r="B1974">
        <f>=请求结束== [请求耗时]:14毫秒, [返回数据]:{"code":"000000","msg":"Success","traceId":"154a81d31319a981b9113e71d20e177c"}</f>
        <v/>
      </c>
      <c r="C1974" t="inlineStr">
        <is>
          <t>INFO</t>
        </is>
      </c>
      <c r="D1974" t="inlineStr">
        <is>
          <t>vdh</t>
        </is>
      </c>
      <c r="E1974" t="inlineStr">
        <is>
          <t>pro17</t>
        </is>
      </c>
      <c r="F1974" t="inlineStr">
        <is>
          <t>prod</t>
        </is>
      </c>
    </row>
    <row r="1975">
      <c r="A1975" t="inlineStr">
        <is>
          <t>2025-05-09 07:35:41.303</t>
        </is>
      </c>
      <c r="B1975">
        <f>=请求开始== [请求IP]:116.9.6.7 ,[请求方式]:POST， [请求URL]:https://172.30.103.196:8080/api/appservice/bfv/v1/chatHistory/batchSave, [请求类名]:com.yingzi.appservice.bfv.provider.rest.ChatHistoryController,[请求方法名]:batchSave, [请求头参数]:{"host":"172.30.103.196:8080"}, [请求参数]:[[{"userId":908023031466074113,"deviceId":"28:D0:EA:87:39:C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7,"minute":35,"second":36,"nano":0,"chronology":{"id":"ISO","calendarType":"iso8601"}},"response":1746747336018}]]</f>
        <v/>
      </c>
      <c r="C1975" t="inlineStr">
        <is>
          <t>INFO</t>
        </is>
      </c>
      <c r="D1975" t="inlineStr">
        <is>
          <t>vdh</t>
        </is>
      </c>
      <c r="E1975" t="inlineStr">
        <is>
          <t>pro17</t>
        </is>
      </c>
      <c r="F1975" t="inlineStr">
        <is>
          <t>prod</t>
        </is>
      </c>
    </row>
    <row r="1976">
      <c r="A1976" t="inlineStr">
        <is>
          <t>2025-05-09 07:35:16.861</t>
        </is>
      </c>
      <c r="B1976">
        <f>=请求结束== [请求耗时]:14毫秒, [返回数据]:{"code":"000000","msg":"Success","traceId":"e95e37038c67237b84879908e55aca3c"}</f>
        <v/>
      </c>
      <c r="C1976" t="inlineStr">
        <is>
          <t>INFO</t>
        </is>
      </c>
      <c r="D1976" t="inlineStr">
        <is>
          <t>vdh</t>
        </is>
      </c>
      <c r="E1976" t="inlineStr">
        <is>
          <t>pro17</t>
        </is>
      </c>
      <c r="F1976" t="inlineStr">
        <is>
          <t>prod</t>
        </is>
      </c>
    </row>
    <row r="1977">
      <c r="A1977" t="inlineStr">
        <is>
          <t>2025-05-09 07:35:16.847</t>
        </is>
      </c>
      <c r="B1977">
        <f>=请求开始== [请求IP]:111.58.68.45 ,[请求方式]:POST， [请求URL]:https://172.30.103.196:8080/api/appservice/bfv/v1/chatHistory/batchSave, [请求类名]:com.yingzi.appservice.bfv.provider.rest.ChatHistoryController,[请求方法名]:batchSave, [请求头参数]:{"host":"172.30.103.196:8080"}, [请求参数]:[[{"userId":794947370928070656,"deviceId":"70:CF:49:9C:69:3B","sessionId":"","avatarId":"11200220000208050000000000000000","appCode":"VDHtestWDC","instructionTemplateType":"","recordId":"","asrResult":"","knowledgeId":"","knowledgeMasterId":"","instructionType":"","instructionName":"","instructionFlag":"","parameter":"{}","ttsResultSource":"local","ttsResult":"小万发现了包子,请选择烹饪模式","ttsResultTime":{"year":2025,"monthValue":5,"month":"MAY","dayOfMonth":9,"dayOfYear":129,"dayOfWeek":"FRIDAY","hour":7,"minute":35,"second":13,"nano":0,"chronology":{"id":"ISO","calendarType":"iso8601"}},"response":1746747313287}]]</f>
        <v/>
      </c>
      <c r="C1977" t="inlineStr">
        <is>
          <t>INFO</t>
        </is>
      </c>
      <c r="D1977" t="inlineStr">
        <is>
          <t>vdh</t>
        </is>
      </c>
      <c r="E1977" t="inlineStr">
        <is>
          <t>pro17</t>
        </is>
      </c>
      <c r="F1977" t="inlineStr">
        <is>
          <t>prod</t>
        </is>
      </c>
    </row>
    <row r="1978">
      <c r="A1978" t="inlineStr">
        <is>
          <t>2025-05-09 07:31:40.992</t>
        </is>
      </c>
      <c r="B1978">
        <f>=请求结束== [请求耗时]:18毫秒, [返回数据]:{"code":"000000","msg":"Success","traceId":"054939360e3b72fc615955ad80b0e3b6"}</f>
        <v/>
      </c>
      <c r="C1978" t="inlineStr">
        <is>
          <t>INFO</t>
        </is>
      </c>
      <c r="D1978" t="inlineStr">
        <is>
          <t>vdh</t>
        </is>
      </c>
      <c r="E1978" t="inlineStr">
        <is>
          <t>pro14</t>
        </is>
      </c>
      <c r="F1978" t="inlineStr">
        <is>
          <t>prod</t>
        </is>
      </c>
    </row>
    <row r="1979">
      <c r="A1979" t="inlineStr">
        <is>
          <t>2025-05-09 07:31:40.974</t>
        </is>
      </c>
      <c r="B1979">
        <f>=请求开始== [请求IP]:116.9.6.7 ,[请求方式]:POST， [请求URL]:https://172.30.212.148:8080/api/appservice/bfv/v1/chatHistory/batchSave, [请求类名]:com.yingzi.appservice.bfv.provider.rest.ChatHistoryController,[请求方法名]:batchSave, [请求头参数]:{"host":"172.30.212.148:8080"}, [请求参数]:[[{"userId":908023031466074113,"deviceId":"28:D0:EA:87:39:CB","sessionId":"","avatarId":"11200220000208050000000000000000","appCode":"VDHtestWDC","instructionTemplateType":"","recordId":"","asrResult":"","knowledgeId":"","knowledgeMasterId":"","instructionType":"","instructionName":"","instructionFlag":"","parameter":"{}","ttsResultSource":"local","ttsResult":"这道菜小万还没学会,可以使用自助烹饪!开始烹饪,请耐心等待","ttsResultTime":{"year":2025,"monthValue":5,"month":"MAY","dayOfMonth":9,"dayOfYear":129,"dayOfWeek":"FRIDAY","hour":7,"minute":31,"second":12,"nano":0,"chronology":{"id":"ISO","calendarType":"iso8601"}},"response":1746747072338}]]</f>
        <v/>
      </c>
      <c r="C1979" t="inlineStr">
        <is>
          <t>INFO</t>
        </is>
      </c>
      <c r="D1979" t="inlineStr">
        <is>
          <t>vdh</t>
        </is>
      </c>
      <c r="E1979" t="inlineStr">
        <is>
          <t>pro14</t>
        </is>
      </c>
      <c r="F1979" t="inlineStr">
        <is>
          <t>prod</t>
        </is>
      </c>
    </row>
    <row r="1980">
      <c r="A1980" t="inlineStr">
        <is>
          <t>2025-05-09 07:21:26.596</t>
        </is>
      </c>
      <c r="B1980">
        <f>=请求结束== [请求耗时]:17毫秒, [返回数据]:{"code":"000000","msg":"Success","traceId":"e6185076ac8c6b710935ff4b9f9fac54"}</f>
        <v/>
      </c>
      <c r="C1980" t="inlineStr">
        <is>
          <t>INFO</t>
        </is>
      </c>
      <c r="D1980" t="inlineStr">
        <is>
          <t>vdh</t>
        </is>
      </c>
      <c r="E1980" t="inlineStr">
        <is>
          <t>pro17</t>
        </is>
      </c>
      <c r="F1980" t="inlineStr">
        <is>
          <t>prod</t>
        </is>
      </c>
    </row>
    <row r="1981">
      <c r="A1981" t="inlineStr">
        <is>
          <t>2025-05-09 07:21:26.579</t>
        </is>
      </c>
      <c r="B1981">
        <f>=请求开始== [请求IP]:110.72.22.171 ,[请求方式]:POST， [请求URL]:https://172.30.103.196:8080/api/appservice/bfv/v1/chatHistory/batchSave, [请求类名]:com.yingzi.appservice.bfv.provider.rest.ChatHistoryController,[请求方法名]:batchSave, [请求头参数]:{"host":"172.30.103.196:8080"}, [请求参数]:[[{"userId":769295539718475776,"deviceId":"14:18:C3:DC:26:5C","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7,"minute":21,"second":21,"nano":0,"chronology":{"id":"ISO","calendarType":"iso8601"}},"response":1746746481412}]]</f>
        <v/>
      </c>
      <c r="C1981" t="inlineStr">
        <is>
          <t>INFO</t>
        </is>
      </c>
      <c r="D1981" t="inlineStr">
        <is>
          <t>vdh</t>
        </is>
      </c>
      <c r="E1981" t="inlineStr">
        <is>
          <t>pro17</t>
        </is>
      </c>
      <c r="F1981" t="inlineStr">
        <is>
          <t>prod</t>
        </is>
      </c>
    </row>
    <row r="1982">
      <c r="A1982" t="inlineStr">
        <is>
          <t>2025-05-09 07:20:25.788</t>
        </is>
      </c>
      <c r="B1982">
        <f>=请求结束== [请求耗时]:15毫秒, [返回数据]:{"code":"000000","msg":"Success","traceId":"5d33e0a3c30f67a63e126af334616ad0"}</f>
        <v/>
      </c>
      <c r="C1982" t="inlineStr">
        <is>
          <t>INFO</t>
        </is>
      </c>
      <c r="D1982" t="inlineStr">
        <is>
          <t>vdh</t>
        </is>
      </c>
      <c r="E1982" t="inlineStr">
        <is>
          <t>pro14</t>
        </is>
      </c>
      <c r="F1982" t="inlineStr">
        <is>
          <t>prod</t>
        </is>
      </c>
    </row>
    <row r="1983">
      <c r="A1983" t="inlineStr">
        <is>
          <t>2025-05-09 07:20:25.773</t>
        </is>
      </c>
      <c r="B1983">
        <f>=请求开始== [请求IP]:110.72.22.171 ,[请求方式]:POST， [请求URL]:https://172.30.212.148:8080/api/appservice/bfv/v1/chatHistory/batchSave, [请求类名]:com.yingzi.appservice.bfv.provider.rest.ChatHistoryController,[请求方法名]:batchSave, [请求头参数]:{"host":"172.30.212.148:8080"}, [请求参数]:[[{"userId":769295539718475776,"deviceId":"14:18:C3:DC:26:5C","sessionId":"","avatarId":"11200220000208050000000000000000","appCode":"VDHtestWDC","instructionTemplateType":"","recordId":"","asrResult":"","knowledgeId":"","knowledgeMasterId":"","instructionType":"","instructionName":"","instructionFlag":"","parameter":"{}","ttsResultSource":"local","ttsResult":"烹饪完成,请取餐,小心烫开始烹饪,请耐心等待","ttsResultTime":{"year":2025,"monthValue":5,"month":"MAY","dayOfMonth":9,"dayOfYear":129,"dayOfWeek":"FRIDAY","hour":6,"minute":35,"second":24,"nano":0,"chronology":{"id":"ISO","calendarType":"iso8601"}},"response":1746743724632}]]</f>
        <v/>
      </c>
      <c r="C1983" t="inlineStr">
        <is>
          <t>INFO</t>
        </is>
      </c>
      <c r="D1983" t="inlineStr">
        <is>
          <t>vdh</t>
        </is>
      </c>
      <c r="E1983" t="inlineStr">
        <is>
          <t>pro14</t>
        </is>
      </c>
      <c r="F1983" t="inlineStr">
        <is>
          <t>prod</t>
        </is>
      </c>
    </row>
    <row r="1984">
      <c r="A1984" t="inlineStr">
        <is>
          <t>2025-05-09 07:12:38.214</t>
        </is>
      </c>
      <c r="B1984">
        <f>=请求结束== [请求耗时]:15毫秒, [返回数据]:{"code":"000000","msg":"Success","traceId":"55077c2903edc269e765a070a64ab54b"}</f>
        <v/>
      </c>
      <c r="C1984" t="inlineStr">
        <is>
          <t>INFO</t>
        </is>
      </c>
      <c r="D1984" t="inlineStr">
        <is>
          <t>vdh</t>
        </is>
      </c>
      <c r="E1984" t="inlineStr">
        <is>
          <t>pro14</t>
        </is>
      </c>
      <c r="F1984" t="inlineStr">
        <is>
          <t>prod</t>
        </is>
      </c>
    </row>
    <row r="1985">
      <c r="A1985" t="inlineStr">
        <is>
          <t>2025-05-09 07:12:38.198</t>
        </is>
      </c>
      <c r="B1985">
        <f>=请求开始== [请求IP]:110.184.35.104 ,[请求方式]:POST， [请求URL]:https://172.30.212.148:8080/api/appservice/bfv/v1/chatHistory/batchSave, [请求类名]:com.yingzi.appservice.bfv.provider.rest.ChatHistoryController,[请求方法名]:batchSave, [请求头参数]:{"host":"172.30.212.148:8080"}, [请求参数]:[[{"userId":1030773310862331904,"deviceId":"F4:CE:23:BC:54:30","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7,"minute":12,"second":32,"nano":0,"chronology":{"id":"ISO","calendarType":"iso8601"}},"response":1746745952482}]]</f>
        <v/>
      </c>
      <c r="C1985" t="inlineStr">
        <is>
          <t>INFO</t>
        </is>
      </c>
      <c r="D1985" t="inlineStr">
        <is>
          <t>vdh</t>
        </is>
      </c>
      <c r="E1985" t="inlineStr">
        <is>
          <t>pro14</t>
        </is>
      </c>
      <c r="F1985" t="inlineStr">
        <is>
          <t>prod</t>
        </is>
      </c>
    </row>
    <row r="1986">
      <c r="A1986" t="inlineStr">
        <is>
          <t>2025-05-09 07:12:26.367</t>
        </is>
      </c>
      <c r="B1986">
        <f>=请求结束== [请求耗时]:13毫秒, [返回数据]:{"code":"000000","msg":"Success","traceId":"a09fa4ca3b3b5839aa5a5990a810a178"}</f>
        <v/>
      </c>
      <c r="C1986" t="inlineStr">
        <is>
          <t>INFO</t>
        </is>
      </c>
      <c r="D1986" t="inlineStr">
        <is>
          <t>vdh</t>
        </is>
      </c>
      <c r="E1986" t="inlineStr">
        <is>
          <t>pro17</t>
        </is>
      </c>
      <c r="F1986" t="inlineStr">
        <is>
          <t>prod</t>
        </is>
      </c>
    </row>
    <row r="1987">
      <c r="A1987" t="inlineStr">
        <is>
          <t>2025-05-09 07:12:26.354</t>
        </is>
      </c>
      <c r="B1987">
        <f>=请求开始== [请求IP]:111.58.69.143 ,[请求方式]:POST， [请求URL]:https://172.30.103.196:8080/api/appservice/bfv/v1/chatHistory/batchSave, [请求类名]:com.yingzi.appservice.bfv.provider.rest.ChatHistoryController,[请求方法名]:batchSave, [请求头参数]:{"host":"172.30.103.196:8080"}, [请求参数]:[[{"userId":766333364509347840,"deviceId":"64:79:F0:78:CF:58","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7,"minute":12,"second":20,"nano":0,"chronology":{"id":"ISO","calendarType":"iso8601"}},"response":1746745940944}]]</f>
        <v/>
      </c>
      <c r="C1987" t="inlineStr">
        <is>
          <t>INFO</t>
        </is>
      </c>
      <c r="D1987" t="inlineStr">
        <is>
          <t>vdh</t>
        </is>
      </c>
      <c r="E1987" t="inlineStr">
        <is>
          <t>pro17</t>
        </is>
      </c>
      <c r="F1987" t="inlineStr">
        <is>
          <t>prod</t>
        </is>
      </c>
    </row>
    <row r="1988">
      <c r="A1988" t="inlineStr">
        <is>
          <t>2025-05-09 07:11:02.142</t>
        </is>
      </c>
      <c r="B1988">
        <f>=请求结束== [请求耗时]:13毫秒, [返回数据]:{"code":"000000","msg":"Success","traceId":"467044b2f4e7777a45c4ad23f68fdc97"}</f>
        <v/>
      </c>
      <c r="C1988" t="inlineStr">
        <is>
          <t>INFO</t>
        </is>
      </c>
      <c r="D1988" t="inlineStr">
        <is>
          <t>vdh</t>
        </is>
      </c>
      <c r="E1988" t="inlineStr">
        <is>
          <t>pro14</t>
        </is>
      </c>
      <c r="F1988" t="inlineStr">
        <is>
          <t>prod</t>
        </is>
      </c>
    </row>
    <row r="1989">
      <c r="A1989" t="inlineStr">
        <is>
          <t>2025-05-09 07:11:02.129</t>
        </is>
      </c>
      <c r="B1989">
        <f>=请求开始== [请求IP]:222.217.159.63 ,[请求方式]:POST， [请求URL]:https://172.30.212.148:8080/api/appservice/bfv/v1/chatHistory/batchSave, [请求类名]:com.yingzi.appservice.bfv.provider.rest.ChatHistoryController,[请求方法名]:batchSave, [请求头参数]:{"host":"172.30.212.148:8080"}, [请求参数]:[[{"userId":908023034473390081,"deviceId":"64:79:F0:79:7B:1F","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7,"minute":10,"second":56,"nano":0,"chronology":{"id":"ISO","calendarType":"iso8601"}},"response":1746745856941}]]</f>
        <v/>
      </c>
      <c r="C1989" t="inlineStr">
        <is>
          <t>INFO</t>
        </is>
      </c>
      <c r="D1989" t="inlineStr">
        <is>
          <t>vdh</t>
        </is>
      </c>
      <c r="E1989" t="inlineStr">
        <is>
          <t>pro14</t>
        </is>
      </c>
      <c r="F1989" t="inlineStr">
        <is>
          <t>prod</t>
        </is>
      </c>
    </row>
    <row r="1990">
      <c r="A1990" t="inlineStr">
        <is>
          <t>2025-05-09 07:10:40.296</t>
        </is>
      </c>
      <c r="B1990">
        <f>=请求结束== [请求耗时]:13毫秒, [返回数据]:{"code":"000000","msg":"Success","traceId":"849e1526ac8042daaf74169530bc2550"}</f>
        <v/>
      </c>
      <c r="C1990" t="inlineStr">
        <is>
          <t>INFO</t>
        </is>
      </c>
      <c r="D1990" t="inlineStr">
        <is>
          <t>vdh</t>
        </is>
      </c>
      <c r="E1990" t="inlineStr">
        <is>
          <t>pro17</t>
        </is>
      </c>
      <c r="F1990" t="inlineStr">
        <is>
          <t>prod</t>
        </is>
      </c>
    </row>
    <row r="1991">
      <c r="A1991" t="inlineStr">
        <is>
          <t>2025-05-09 07:10:40.283</t>
        </is>
      </c>
      <c r="B1991">
        <f>=请求开始== [请求IP]:111.58.68.22 ,[请求方式]:POST， [请求URL]:https://172.30.103.196:8080/api/appservice/bfv/v1/chatHistory/batchSave, [请求类名]:com.yingzi.appservice.bfv.provider.rest.ChatHistoryController,[请求方法名]:batchSave, [请求头参数]:{"host":"172.30.103.196:8080"}, [请求参数]:[[{"userId":763771082330558464,"deviceId":"64:79:F0:79:7A:C5","sessionId":"","avatarId":"11200220000208050000000000000000","appCode":"VDHtestWDC","instructionTemplateType":"","recordId":"","asrResult":"","knowledgeId":"","knowledgeMasterId":"","instructionType":"","instructionName":"","instructionFlag":"","parameter":"{}","ttsResultSource":"local","ttsResult":"这道菜小万还没学会,可以使用自助烹饪!开始烹饪,请耐心等待这道菜小万还没学会,可以使用自助烹饪!","ttsResultTime":{"year":2025,"monthValue":5,"month":"MAY","dayOfMonth":9,"dayOfYear":129,"dayOfWeek":"FRIDAY","hour":7,"minute":10,"second":23,"nano":0,"chronology":{"id":"ISO","calendarType":"iso8601"}},"response":1746745823099}]]</f>
        <v/>
      </c>
      <c r="C1991" t="inlineStr">
        <is>
          <t>INFO</t>
        </is>
      </c>
      <c r="D1991" t="inlineStr">
        <is>
          <t>vdh</t>
        </is>
      </c>
      <c r="E1991" t="inlineStr">
        <is>
          <t>pro17</t>
        </is>
      </c>
      <c r="F1991" t="inlineStr">
        <is>
          <t>prod</t>
        </is>
      </c>
    </row>
    <row r="1992">
      <c r="A1992" t="inlineStr">
        <is>
          <t>2025-05-09 07:10:28.911</t>
        </is>
      </c>
      <c r="B1992">
        <f>=请求结束== [请求耗时]:14毫秒, [返回数据]:{"code":"000000","msg":"Success","traceId":"46275e5e127925e930db23ceaf4e67d9"}</f>
        <v/>
      </c>
      <c r="C1992" t="inlineStr">
        <is>
          <t>INFO</t>
        </is>
      </c>
      <c r="D1992" t="inlineStr">
        <is>
          <t>vdh</t>
        </is>
      </c>
      <c r="E1992" t="inlineStr">
        <is>
          <t>pro17</t>
        </is>
      </c>
      <c r="F1992" t="inlineStr">
        <is>
          <t>prod</t>
        </is>
      </c>
    </row>
    <row r="1993">
      <c r="A1993" t="inlineStr">
        <is>
          <t>2025-05-09 07:10:28.897</t>
        </is>
      </c>
      <c r="B1993">
        <f>=请求开始== [请求IP]:111.58.69.143 ,[请求方式]:POST， [请求URL]:https://172.30.103.196:8080/api/appservice/bfv/v1/chatHistory/batchSave, [请求类名]:com.yingzi.appservice.bfv.provider.rest.ChatHistoryController,[请求方法名]:batchSave, [请求头参数]:{"host":"172.30.103.196:8080"}, [请求参数]:[[{"userId":766333364509347840,"deviceId":"64:79:F0:78:CF:58","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7,"minute":10,"second":20,"nano":0,"chronology":{"id":"ISO","calendarType":"iso8601"}},"response":1746745820035}]]</f>
        <v/>
      </c>
      <c r="C1993" t="inlineStr">
        <is>
          <t>INFO</t>
        </is>
      </c>
      <c r="D1993" t="inlineStr">
        <is>
          <t>vdh</t>
        </is>
      </c>
      <c r="E1993" t="inlineStr">
        <is>
          <t>pro17</t>
        </is>
      </c>
      <c r="F1993" t="inlineStr">
        <is>
          <t>prod</t>
        </is>
      </c>
    </row>
    <row r="1994">
      <c r="A1994" t="inlineStr">
        <is>
          <t>2025-05-09 07:08:49.857</t>
        </is>
      </c>
      <c r="B1994">
        <f>=请求结束== [请求耗时]:15毫秒, [返回数据]:{"code":"000000","msg":"Success","traceId":"8bdbfbb2847dab7c1d7c460af9d83942"}</f>
        <v/>
      </c>
      <c r="C1994" t="inlineStr">
        <is>
          <t>INFO</t>
        </is>
      </c>
      <c r="D1994" t="inlineStr">
        <is>
          <t>vdh</t>
        </is>
      </c>
      <c r="E1994" t="inlineStr">
        <is>
          <t>pro14</t>
        </is>
      </c>
      <c r="F1994" t="inlineStr">
        <is>
          <t>prod</t>
        </is>
      </c>
    </row>
    <row r="1995">
      <c r="A1995" t="inlineStr">
        <is>
          <t>2025-05-09 07:08:49.842</t>
        </is>
      </c>
      <c r="B1995">
        <f>=请求开始== [请求IP]:222.217.159.63 ,[请求方式]:POST， [请求URL]:https://172.30.212.148:8080/api/appservice/bfv/v1/chatHistory/batchSave, [请求类名]:com.yingzi.appservice.bfv.provider.rest.ChatHistoryController,[请求方法名]:batchSave, [请求头参数]:{"host":"172.30.212.148:8080"}, [请求参数]:[[{"userId":908023034473390081,"deviceId":"64:79:F0:79:7B:1F","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7,"minute":8,"second":44,"nano":0,"chronology":{"id":"ISO","calendarType":"iso8601"}},"response":1746745724605}]]</f>
        <v/>
      </c>
      <c r="C1995" t="inlineStr">
        <is>
          <t>INFO</t>
        </is>
      </c>
      <c r="D1995" t="inlineStr">
        <is>
          <t>vdh</t>
        </is>
      </c>
      <c r="E1995" t="inlineStr">
        <is>
          <t>pro14</t>
        </is>
      </c>
      <c r="F1995" t="inlineStr">
        <is>
          <t>prod</t>
        </is>
      </c>
    </row>
    <row r="1996">
      <c r="A1996" t="inlineStr">
        <is>
          <t>2025-05-09 07:08:37.997</t>
        </is>
      </c>
      <c r="B1996">
        <f>=请求结束== [请求耗时]:14毫秒, [返回数据]:{"code":"000000","msg":"Success","traceId":"11be78021879cda4752c9eb0470f63e2"}</f>
        <v/>
      </c>
      <c r="C1996" t="inlineStr">
        <is>
          <t>INFO</t>
        </is>
      </c>
      <c r="D1996" t="inlineStr">
        <is>
          <t>vdh</t>
        </is>
      </c>
      <c r="E1996" t="inlineStr">
        <is>
          <t>pro17</t>
        </is>
      </c>
      <c r="F1996" t="inlineStr">
        <is>
          <t>prod</t>
        </is>
      </c>
    </row>
    <row r="1997">
      <c r="A1997" t="inlineStr">
        <is>
          <t>2025-05-09 07:08:37.983</t>
        </is>
      </c>
      <c r="B1997">
        <f>=请求开始== [请求IP]:222.217.159.63 ,[请求方式]:POST， [请求URL]:https://172.30.103.196:8080/api/appservice/bfv/v1/chatHistory/batchSave, [请求类名]:com.yingzi.appservice.bfv.provider.rest.ChatHistoryController,[请求方法名]:batchSave, [请求头参数]:{"host":"172.30.103.196:8080"}, [请求参数]:[[{"userId":908023034473390081,"deviceId":"64:79:F0:79:7B:1F","sessionId":"","avatarId":"11200220000208050000000000000000","appCode":"VDHtestWDC","instructionTemplateType":"","recordId":"","asrResult":"","knowledgeId":"","knowledgeMasterId":"","instructionType":"","instructionName":"","instructionFlag":"","parameter":"{}","ttsResultSource":"local","ttsResult":"小万发现了油条,请选择烹饪模式","ttsResultTime":{"year":2025,"monthValue":5,"month":"MAY","dayOfMonth":9,"dayOfYear":129,"dayOfWeek":"FRIDAY","hour":7,"minute":8,"second":34,"nano":0,"chronology":{"id":"ISO","calendarType":"iso8601"}},"response":1746745714575}]]</f>
        <v/>
      </c>
      <c r="C1997" t="inlineStr">
        <is>
          <t>INFO</t>
        </is>
      </c>
      <c r="D1997" t="inlineStr">
        <is>
          <t>vdh</t>
        </is>
      </c>
      <c r="E1997" t="inlineStr">
        <is>
          <t>pro17</t>
        </is>
      </c>
      <c r="F1997" t="inlineStr">
        <is>
          <t>prod</t>
        </is>
      </c>
    </row>
    <row r="1998">
      <c r="A1998" t="inlineStr">
        <is>
          <t>2025-05-09 07:04:56.643</t>
        </is>
      </c>
      <c r="B1998">
        <f>=请求结束== [请求耗时]:16毫秒, [返回数据]:{"code":"000000","msg":"Success","traceId":"b8ab943f5af590cdec843e0dbf2e69d4"}</f>
        <v/>
      </c>
      <c r="C1998" t="inlineStr">
        <is>
          <t>INFO</t>
        </is>
      </c>
      <c r="D1998" t="inlineStr">
        <is>
          <t>vdh</t>
        </is>
      </c>
      <c r="E1998" t="inlineStr">
        <is>
          <t>pro14</t>
        </is>
      </c>
      <c r="F1998" t="inlineStr">
        <is>
          <t>prod</t>
        </is>
      </c>
    </row>
    <row r="1999">
      <c r="A1999" t="inlineStr">
        <is>
          <t>2025-05-09 07:04:56.627</t>
        </is>
      </c>
      <c r="B1999">
        <f>=请求开始== [请求IP]:222.217.159.63 ,[请求方式]:POST， [请求URL]:https://172.30.212.148:8080/api/appservice/bfv/v1/chatHistory/batchSave, [请求类名]:com.yingzi.appservice.bfv.provider.rest.ChatHistoryController,[请求方法名]:batchSave, [请求头参数]:{"host":"172.30.212.148:8080"}, [请求参数]:[[{"userId":908023034473390081,"deviceId":"64:79:F0:79:7B:1F","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7,"minute":4,"second":51,"nano":0,"chronology":{"id":"ISO","calendarType":"iso8601"}},"response":1746745491373}]]</f>
        <v/>
      </c>
      <c r="C1999" t="inlineStr">
        <is>
          <t>INFO</t>
        </is>
      </c>
      <c r="D1999" t="inlineStr">
        <is>
          <t>vdh</t>
        </is>
      </c>
      <c r="E1999" t="inlineStr">
        <is>
          <t>pro14</t>
        </is>
      </c>
      <c r="F1999" t="inlineStr">
        <is>
          <t>prod</t>
        </is>
      </c>
    </row>
    <row r="2000">
      <c r="A2000" t="inlineStr">
        <is>
          <t>2025-05-09 07:02:58.963</t>
        </is>
      </c>
      <c r="B2000">
        <f>=请求结束== [请求耗时]:16毫秒, [返回数据]:{"code":"000000","msg":"Success","traceId":"c8070319d8ac660e889fa01d8bf26ca6"}</f>
        <v/>
      </c>
      <c r="C2000" t="inlineStr">
        <is>
          <t>INFO</t>
        </is>
      </c>
      <c r="D2000" t="inlineStr">
        <is>
          <t>vdh</t>
        </is>
      </c>
      <c r="E2000" t="inlineStr">
        <is>
          <t>pro17</t>
        </is>
      </c>
      <c r="F2000" t="inlineStr">
        <is>
          <t>prod</t>
        </is>
      </c>
    </row>
    <row r="2001">
      <c r="A2001" t="inlineStr">
        <is>
          <t>2025-05-09 07:02:58.948</t>
        </is>
      </c>
      <c r="B2001">
        <f>=请求开始== [请求IP]:222.217.159.63 ,[请求方式]:POST， [请求URL]:https://172.30.103.196:8080/api/appservice/bfv/v1/chatHistory/batchSave, [请求类名]:com.yingzi.appservice.bfv.provider.rest.ChatHistoryController,[请求方法名]:batchSave, [请求头参数]:{"host":"172.30.103.196:8080"}, [请求参数]:[[{"userId":908023034473390081,"deviceId":"64:79:F0:79:7B:1F","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7,"minute":2,"second":51,"nano":0,"chronology":{"id":"ISO","calendarType":"iso8601"}},"response":1746745371072}]]</f>
        <v/>
      </c>
      <c r="C2001" t="inlineStr">
        <is>
          <t>INFO</t>
        </is>
      </c>
      <c r="D2001" t="inlineStr">
        <is>
          <t>vdh</t>
        </is>
      </c>
      <c r="E2001" t="inlineStr">
        <is>
          <t>pro17</t>
        </is>
      </c>
      <c r="F2001" t="inlineStr">
        <is>
          <t>prod</t>
        </is>
      </c>
    </row>
    <row r="2002">
      <c r="A2002" t="inlineStr">
        <is>
          <t>2025-05-09 07:02:35.147</t>
        </is>
      </c>
      <c r="B2002">
        <f>=请求结束== [请求耗时]:13毫秒, [返回数据]:{"code":"000000","msg":"Success","traceId":"87e1cd75c726b2aab0566bfd4b6d8153"}</f>
        <v/>
      </c>
      <c r="C2002" t="inlineStr">
        <is>
          <t>INFO</t>
        </is>
      </c>
      <c r="D2002" t="inlineStr">
        <is>
          <t>vdh</t>
        </is>
      </c>
      <c r="E2002" t="inlineStr">
        <is>
          <t>pro14</t>
        </is>
      </c>
      <c r="F2002" t="inlineStr">
        <is>
          <t>prod</t>
        </is>
      </c>
    </row>
    <row r="2003">
      <c r="A2003" t="inlineStr">
        <is>
          <t>2025-05-09 07:02:35.134</t>
        </is>
      </c>
      <c r="B2003">
        <f>=请求开始== [请求IP]:222.217.159.63 ,[请求方式]:POST， [请求URL]:https://172.30.212.148:8080/api/appservice/bfv/v1/chatHistory/batchSave, [请求类名]:com.yingzi.appservice.bfv.provider.rest.ChatHistoryController,[请求方法名]:batchSave, [请求头参数]:{"host":"172.30.212.148:8080"}, [请求参数]:[[{"userId":908023034473390081,"deviceId":"64:79:F0:79:7B:1F","sessionId":"","avatarId":"11200220000208050000000000000000","appCode":"VDHtestWDC","instructionTemplateType":"","recordId":"","asrResult":"","knowledgeId":"","knowledgeMasterId":"","instructionType":"","instructionName":"","instructionFlag":"","parameter":"{}","ttsResultSource":"local","ttsResult":"这道菜小万还没学会,可以使用自助烹饪!","ttsResultTime":{"year":2025,"monthValue":5,"month":"MAY","dayOfMonth":9,"dayOfYear":129,"dayOfWeek":"FRIDAY","hour":7,"minute":2,"second":27,"nano":0,"chronology":{"id":"ISO","calendarType":"iso8601"}},"response":1746745347127}]]</f>
        <v/>
      </c>
      <c r="C2003" t="inlineStr">
        <is>
          <t>INFO</t>
        </is>
      </c>
      <c r="D2003" t="inlineStr">
        <is>
          <t>vdh</t>
        </is>
      </c>
      <c r="E2003" t="inlineStr">
        <is>
          <t>pro14</t>
        </is>
      </c>
      <c r="F2003" t="inlineStr">
        <is>
          <t>prod</t>
        </is>
      </c>
    </row>
    <row r="2004">
      <c r="A2004" t="inlineStr">
        <is>
          <t>2025-05-09 07:01:42.666</t>
        </is>
      </c>
      <c r="B2004">
        <f>=请求结束== [请求耗时]:13毫秒, [返回数据]:{"code":"000000","msg":"Success","traceId":"8a648f486402934e09b36b02405b7606"}</f>
        <v/>
      </c>
      <c r="C2004" t="inlineStr">
        <is>
          <t>INFO</t>
        </is>
      </c>
      <c r="D2004" t="inlineStr">
        <is>
          <t>vdh</t>
        </is>
      </c>
      <c r="E2004" t="inlineStr">
        <is>
          <t>pro17</t>
        </is>
      </c>
      <c r="F2004" t="inlineStr">
        <is>
          <t>prod</t>
        </is>
      </c>
    </row>
    <row r="2005">
      <c r="A2005" t="inlineStr">
        <is>
          <t>2025-05-09 07:01:42.653</t>
        </is>
      </c>
      <c r="B2005">
        <f>=请求开始== [请求IP]:117.183.10.218 ,[请求方式]:POST， [请求URL]:https://172.30.103.196:8080/api/appservice/bfv/v1/chatHistory/batchSave, [请求类名]:com.yingzi.appservice.bfv.provider.rest.ChatHistoryController,[请求方法名]:batchSave, [请求头参数]:{"host":"172.30.103.196:8080"}, [请求参数]:[[{"userId":903284567812497412,"deviceId":"14:18:C3:DC:26:98","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7,"minute":1,"second":37,"nano":0,"chronology":{"id":"ISO","calendarType":"iso8601"}},"response":1746745297468}]]</f>
        <v/>
      </c>
      <c r="C2005" t="inlineStr">
        <is>
          <t>INFO</t>
        </is>
      </c>
      <c r="D2005" t="inlineStr">
        <is>
          <t>vdh</t>
        </is>
      </c>
      <c r="E2005" t="inlineStr">
        <is>
          <t>pro17</t>
        </is>
      </c>
      <c r="F2005" t="inlineStr">
        <is>
          <t>prod</t>
        </is>
      </c>
    </row>
    <row r="2006">
      <c r="A2006" t="inlineStr">
        <is>
          <t>2025-05-09 06:59:41.723</t>
        </is>
      </c>
      <c r="B2006">
        <f>=请求结束== [请求耗时]:14毫秒, [返回数据]:{"code":"000000","msg":"Success","traceId":"73a847dd528913ef82d5c55800e24b99"}</f>
        <v/>
      </c>
      <c r="C2006" t="inlineStr">
        <is>
          <t>INFO</t>
        </is>
      </c>
      <c r="D2006" t="inlineStr">
        <is>
          <t>vdh</t>
        </is>
      </c>
      <c r="E2006" t="inlineStr">
        <is>
          <t>pro14</t>
        </is>
      </c>
      <c r="F2006" t="inlineStr">
        <is>
          <t>prod</t>
        </is>
      </c>
    </row>
    <row r="2007">
      <c r="A2007" t="inlineStr">
        <is>
          <t>2025-05-09 06:59:41.710</t>
        </is>
      </c>
      <c r="B2007">
        <f>=请求开始== [请求IP]:117.183.10.218 ,[请求方式]:POST， [请求URL]:https://172.30.212.148:8080/api/appservice/bfv/v1/chatHistory/batchSave, [请求类名]:com.yingzi.appservice.bfv.provider.rest.ChatHistoryController,[请求方法名]:batchSave, [请求头参数]:{"host":"172.30.212.148:8080"}, [请求参数]:[[{"userId":903284567812497412,"deviceId":"14:18:C3:DC:26:98","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6,"minute":59,"second":36,"nano":0,"chronology":{"id":"ISO","calendarType":"iso8601"}},"response":1746745176460}]]</f>
        <v/>
      </c>
      <c r="C2007" t="inlineStr">
        <is>
          <t>INFO</t>
        </is>
      </c>
      <c r="D2007" t="inlineStr">
        <is>
          <t>vdh</t>
        </is>
      </c>
      <c r="E2007" t="inlineStr">
        <is>
          <t>pro14</t>
        </is>
      </c>
      <c r="F2007" t="inlineStr">
        <is>
          <t>prod</t>
        </is>
      </c>
    </row>
    <row r="2008">
      <c r="A2008" t="inlineStr">
        <is>
          <t>2025-05-09 06:59:32.671</t>
        </is>
      </c>
      <c r="B2008">
        <f>=请求结束== [请求耗时]:15毫秒, [返回数据]:{"code":"000000","msg":"Success","traceId":"405a5bbb53916dedf0b56a121051955a"}</f>
        <v/>
      </c>
      <c r="C2008" t="inlineStr">
        <is>
          <t>INFO</t>
        </is>
      </c>
      <c r="D2008" t="inlineStr">
        <is>
          <t>vdh</t>
        </is>
      </c>
      <c r="E2008" t="inlineStr">
        <is>
          <t>pro17</t>
        </is>
      </c>
      <c r="F2008" t="inlineStr">
        <is>
          <t>prod</t>
        </is>
      </c>
    </row>
    <row r="2009">
      <c r="A2009" t="inlineStr">
        <is>
          <t>2025-05-09 06:59:32.656</t>
        </is>
      </c>
      <c r="B2009">
        <f>=请求开始== [请求IP]:117.183.10.218 ,[请求方式]:POST， [请求URL]:https://172.30.103.196:8080/api/appservice/bfv/v1/chatHistory/batchSave, [请求类名]:com.yingzi.appservice.bfv.provider.rest.ChatHistoryController,[请求方法名]:batchSave, [请求头参数]:{"host":"172.30.103.196:8080"}, [请求参数]:[[{"userId":903284567812497412,"deviceId":"14:18:C3:DC:26:98","sessionId":"","avatarId":"11200220000208050000000000000000","appCode":"VDHtestWDC","instructionTemplateType":"","recordId":"","asrResult":"","knowledgeId":"","knowledgeMasterId":"","instructionType":"","instructionName":"","instructionFlag":"","parameter":"{}","ttsResultSource":"local","ttsResult":"小万发现了红薯糖水,请选择烹饪模式","ttsResultTime":{"year":2025,"monthValue":5,"month":"MAY","dayOfMonth":9,"dayOfYear":129,"dayOfWeek":"FRIDAY","hour":6,"minute":59,"second":28,"nano":0,"chronology":{"id":"ISO","calendarType":"iso8601"}},"response":1746745168813}]]</f>
        <v/>
      </c>
      <c r="C2009" t="inlineStr">
        <is>
          <t>INFO</t>
        </is>
      </c>
      <c r="D2009" t="inlineStr">
        <is>
          <t>vdh</t>
        </is>
      </c>
      <c r="E2009" t="inlineStr">
        <is>
          <t>pro17</t>
        </is>
      </c>
      <c r="F2009" t="inlineStr">
        <is>
          <t>prod</t>
        </is>
      </c>
    </row>
    <row r="2010">
      <c r="A2010" t="inlineStr">
        <is>
          <t>2025-05-09 06:56:15.792</t>
        </is>
      </c>
      <c r="B2010">
        <f>=请求结束== [请求耗时]:16毫秒, [返回数据]:{"code":"000000","msg":"Success","traceId":"2f6720d1c934ee09e9d95c42de12f8ae"}</f>
        <v/>
      </c>
      <c r="C2010" t="inlineStr">
        <is>
          <t>INFO</t>
        </is>
      </c>
      <c r="D2010" t="inlineStr">
        <is>
          <t>vdh</t>
        </is>
      </c>
      <c r="E2010" t="inlineStr">
        <is>
          <t>pro14</t>
        </is>
      </c>
      <c r="F2010" t="inlineStr">
        <is>
          <t>prod</t>
        </is>
      </c>
    </row>
    <row r="2011">
      <c r="A2011" t="inlineStr">
        <is>
          <t>2025-05-09 06:56:15.777</t>
        </is>
      </c>
      <c r="B2011">
        <f>=请求开始== [请求IP]:117.183.10.218 ,[请求方式]:POST， [请求URL]:https://172.30.212.148:8080/api/appservice/bfv/v1/chatHistory/batchSave, [请求类名]:com.yingzi.appservice.bfv.provider.rest.ChatHistoryController,[请求方法名]:batchSave, [请求头参数]:{"host":"172.30.212.148:8080"}, [请求参数]:[[{"userId":903284567812497412,"deviceId":"14:18:C3:DC:26:98","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6,"minute":56,"second":10,"nano":0,"chronology":{"id":"ISO","calendarType":"iso8601"}},"response":1746744970469}]]</f>
        <v/>
      </c>
      <c r="C2011" t="inlineStr">
        <is>
          <t>INFO</t>
        </is>
      </c>
      <c r="D2011" t="inlineStr">
        <is>
          <t>vdh</t>
        </is>
      </c>
      <c r="E2011" t="inlineStr">
        <is>
          <t>pro14</t>
        </is>
      </c>
      <c r="F2011" t="inlineStr">
        <is>
          <t>prod</t>
        </is>
      </c>
    </row>
    <row r="2012">
      <c r="A2012" t="inlineStr">
        <is>
          <t>2025-05-09 06:55:49.886</t>
        </is>
      </c>
      <c r="B2012">
        <f>=请求结束== [请求耗时]:13毫秒, [返回数据]:{"code":"000000","msg":"Success","traceId":"60e9a1011877082f10464ff4f6c2f6e5"}</f>
        <v/>
      </c>
      <c r="C2012" t="inlineStr">
        <is>
          <t>INFO</t>
        </is>
      </c>
      <c r="D2012" t="inlineStr">
        <is>
          <t>vdh</t>
        </is>
      </c>
      <c r="E2012" t="inlineStr">
        <is>
          <t>pro14</t>
        </is>
      </c>
      <c r="F2012" t="inlineStr">
        <is>
          <t>prod</t>
        </is>
      </c>
    </row>
    <row r="2013">
      <c r="A2013" t="inlineStr">
        <is>
          <t>2025-05-09 06:55:49.874</t>
        </is>
      </c>
      <c r="B2013">
        <f>=请求开始== [请求IP]:117.183.10.213 ,[请求方式]:POST， [请求URL]:https://172.30.212.148:8080/api/appservice/bfv/v1/chatHistory/batchSave, [请求类名]:com.yingzi.appservice.bfv.provider.rest.ChatHistoryController,[请求方法名]:batchSave, [请求头参数]:{"host":"172.30.212.148:8080"}, [请求参数]:[[{"userId":787335123823247360,"deviceId":"64:79:F0:FF:F2:8F","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6,"minute":55,"second":44,"nano":0,"chronology":{"id":"ISO","calendarType":"iso8601"}},"response":1746744944706}]]</f>
        <v/>
      </c>
      <c r="C2013" t="inlineStr">
        <is>
          <t>INFO</t>
        </is>
      </c>
      <c r="D2013" t="inlineStr">
        <is>
          <t>vdh</t>
        </is>
      </c>
      <c r="E2013" t="inlineStr">
        <is>
          <t>pro14</t>
        </is>
      </c>
      <c r="F2013" t="inlineStr">
        <is>
          <t>prod</t>
        </is>
      </c>
    </row>
    <row r="2014">
      <c r="A2014" t="inlineStr">
        <is>
          <t>2025-05-09 06:55:28.715</t>
        </is>
      </c>
      <c r="B2014">
        <f>=请求结束== [请求耗时]:16毫秒, [返回数据]:{"code":"000000","msg":"Success","traceId":"1193f562019ce554143f694a1870ce0d"}</f>
        <v/>
      </c>
      <c r="C2014" t="inlineStr">
        <is>
          <t>INFO</t>
        </is>
      </c>
      <c r="D2014" t="inlineStr">
        <is>
          <t>vdh</t>
        </is>
      </c>
      <c r="E2014" t="inlineStr">
        <is>
          <t>pro17</t>
        </is>
      </c>
      <c r="F2014" t="inlineStr">
        <is>
          <t>prod</t>
        </is>
      </c>
    </row>
    <row r="2015">
      <c r="A2015" t="inlineStr">
        <is>
          <t>2025-05-09 06:55:28.699</t>
        </is>
      </c>
      <c r="B2015">
        <f>=请求开始== [请求IP]:117.183.10.213 ,[请求方式]:POST， [请求URL]:https://172.30.103.196:8080/api/appservice/bfv/v1/chatHistory/batchSave, [请求类名]:com.yingzi.appservice.bfv.provider.rest.ChatHistoryController,[请求方法名]:batchSave, [请求头参数]:{"host":"172.30.103.196:8080"}, [请求参数]:[[{"userId":787335123823247360,"deviceId":"64:79:F0:FF:F2:8F","sessionId":"","avatarId":"11200220000208050000000000000000","appCode":"VDHtestWDC","instructionTemplateType":"","recordId":"","asrResult":"","knowledgeId":"","knowledgeMasterId":"","instructionType":"","instructionName":"","instructionFlag":"","parameter":"{}","ttsResultSource":"local","ttsResult":"好的","ttsResultTime":{"year":2025,"monthValue":5,"month":"MAY","dayOfMonth":9,"dayOfYear":129,"dayOfWeek":"FRIDAY","hour":6,"minute":55,"second":24,"nano":0,"chronology":{"id":"ISO","calendarType":"iso8601"}},"response":1746744924685}]]</f>
        <v/>
      </c>
      <c r="C2015" t="inlineStr">
        <is>
          <t>INFO</t>
        </is>
      </c>
      <c r="D2015" t="inlineStr">
        <is>
          <t>vdh</t>
        </is>
      </c>
      <c r="E2015" t="inlineStr">
        <is>
          <t>pro17</t>
        </is>
      </c>
      <c r="F2015" t="inlineStr">
        <is>
          <t>prod</t>
        </is>
      </c>
    </row>
    <row r="2016">
      <c r="A2016" t="inlineStr">
        <is>
          <t>2025-05-09 06:50:23.286</t>
        </is>
      </c>
      <c r="B2016">
        <f>=请求结束== [请求耗时]:14毫秒, [返回数据]:{"code":"000000","msg":"Success","traceId":"6da38249c148c027b780e23296cdbe13"}</f>
        <v/>
      </c>
      <c r="C2016" t="inlineStr">
        <is>
          <t>INFO</t>
        </is>
      </c>
      <c r="D2016" t="inlineStr">
        <is>
          <t>vdh</t>
        </is>
      </c>
      <c r="E2016" t="inlineStr">
        <is>
          <t>pro17</t>
        </is>
      </c>
      <c r="F2016" t="inlineStr">
        <is>
          <t>prod</t>
        </is>
      </c>
    </row>
    <row r="2017">
      <c r="A2017" t="inlineStr">
        <is>
          <t>2025-05-09 06:50:23.272</t>
        </is>
      </c>
      <c r="B2017">
        <f>=请求开始== [请求IP]:117.183.10.213 ,[请求方式]:POST， [请求URL]:https://172.30.103.196:8080/api/appservice/bfv/v1/chatHistory/batchSave, [请求类名]:com.yingzi.appservice.bfv.provider.rest.ChatHistoryController,[请求方法名]:batchSave, [请求头参数]:{"host":"172.30.103.196:8080"}, [请求参数]:[[{"userId":787335123823247360,"deviceId":"64:79:F0:FF:F2:8F","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6,"minute":50,"second":17,"nano":0,"chronology":{"id":"ISO","calendarType":"iso8601"}},"response":1746744617854}]]</f>
        <v/>
      </c>
      <c r="C2017" t="inlineStr">
        <is>
          <t>INFO</t>
        </is>
      </c>
      <c r="D2017" t="inlineStr">
        <is>
          <t>vdh</t>
        </is>
      </c>
      <c r="E2017" t="inlineStr">
        <is>
          <t>pro17</t>
        </is>
      </c>
      <c r="F2017" t="inlineStr">
        <is>
          <t>prod</t>
        </is>
      </c>
    </row>
    <row r="2018">
      <c r="A2018" t="inlineStr">
        <is>
          <t>2025-05-09 06:49:54.441</t>
        </is>
      </c>
      <c r="B2018">
        <f>=请求结束== [请求耗时]:15毫秒, [返回数据]:{"code":"000000","msg":"Success","traceId":"15ac50726efe45af9b153249f3965003"}</f>
        <v/>
      </c>
      <c r="C2018" t="inlineStr">
        <is>
          <t>INFO</t>
        </is>
      </c>
      <c r="D2018" t="inlineStr">
        <is>
          <t>vdh</t>
        </is>
      </c>
      <c r="E2018" t="inlineStr">
        <is>
          <t>pro14</t>
        </is>
      </c>
      <c r="F2018" t="inlineStr">
        <is>
          <t>prod</t>
        </is>
      </c>
    </row>
    <row r="2019">
      <c r="A2019" t="inlineStr">
        <is>
          <t>2025-05-09 06:49:54.426</t>
        </is>
      </c>
      <c r="B2019">
        <f>=请求开始== [请求IP]:117.183.10.213 ,[请求方式]:POST， [请求URL]:https://172.30.212.148:8080/api/appservice/bfv/v1/chatHistory/batchSave, [请求类名]:com.yingzi.appservice.bfv.provider.rest.ChatHistoryController,[请求方法名]:batchSave, [请求头参数]:{"host":"172.30.212.148:8080"}, [请求参数]:[[{"userId":787335123823247360,"deviceId":"64:79:F0:FF:F2:8F","sessionId":"","avatarId":"11200220000208050000000000000000","appCode":"VDHtestWDC","instructionTemplateType":"","recordId":"","asrResult":"","knowledgeId":"","knowledgeMasterId":"","instructionType":"","instructionName":"","instructionFlag":"","parameter":"{}","ttsResultSource":"local","ttsResult":"小万发现了水煮荷包蛋,请选择烹饪模式","ttsResultTime":{"year":2025,"monthValue":5,"month":"MAY","dayOfMonth":9,"dayOfYear":129,"dayOfWeek":"FRIDAY","hour":6,"minute":49,"second":50,"nano":0,"chronology":{"id":"ISO","calendarType":"iso8601"}},"response":1746744590311}]]</f>
        <v/>
      </c>
      <c r="C2019" t="inlineStr">
        <is>
          <t>INFO</t>
        </is>
      </c>
      <c r="D2019" t="inlineStr">
        <is>
          <t>vdh</t>
        </is>
      </c>
      <c r="E2019" t="inlineStr">
        <is>
          <t>pro14</t>
        </is>
      </c>
      <c r="F2019" t="inlineStr">
        <is>
          <t>prod</t>
        </is>
      </c>
    </row>
    <row r="2020">
      <c r="A2020" t="inlineStr">
        <is>
          <t>2025-05-09 06:49:36.018</t>
        </is>
      </c>
      <c r="B2020">
        <f>=请求结束== [请求耗时]:15毫秒, [返回数据]:{"code":"000000","msg":"Success","traceId":"589227374bc512242fbd3c5f3fa0ca0b"}</f>
        <v/>
      </c>
      <c r="C2020" t="inlineStr">
        <is>
          <t>INFO</t>
        </is>
      </c>
      <c r="D2020" t="inlineStr">
        <is>
          <t>vdh</t>
        </is>
      </c>
      <c r="E2020" t="inlineStr">
        <is>
          <t>pro17</t>
        </is>
      </c>
      <c r="F2020" t="inlineStr">
        <is>
          <t>prod</t>
        </is>
      </c>
    </row>
    <row r="2021">
      <c r="A2021" t="inlineStr">
        <is>
          <t>2025-05-09 06:49:36.003</t>
        </is>
      </c>
      <c r="B2021">
        <f>=请求开始== [请求IP]:120.230.118.128 ,[请求方式]:POST， [请求URL]:https://172.30.103.196:8080/api/appservice/bfv/v1/chatHistory/batchSave, [请求类名]:com.yingzi.appservice.bfv.provider.rest.ChatHistoryController,[请求方法名]:batchSave, [请求头参数]:{"host":"172.30.103.196:8080"}, [请求参数]:[[{"userId":871342215734112256,"deviceId":"28:D0:EA:87:90:5B","sessionId":"","avatarId":"11200220000208050000000000000000","appCode":"VDHtestWDC","instructionTemplateType":"","recordId":"","asrResult":"","knowledgeId":"","knowledgeMasterId":"","instructionType":"","instructionName":"","instructionFlag":"","parameter":"{}","ttsResultSource":"local","ttsResult":"烹饪完成,请取餐,小心烫","ttsResultTime":{"year":2025,"monthValue":5,"month":"MAY","dayOfMonth":9,"dayOfYear":129,"dayOfWeek":"FRIDAY","hour":6,"minute":49,"second":30,"nano":0,"chronology":{"id":"ISO","calendarType":"iso8601"}},"response":106015}]]</f>
        <v/>
      </c>
      <c r="C2021" t="inlineStr">
        <is>
          <t>INFO</t>
        </is>
      </c>
      <c r="D2021" t="inlineStr">
        <is>
          <t>vdh</t>
        </is>
      </c>
      <c r="E2021" t="inlineStr">
        <is>
          <t>pro17</t>
        </is>
      </c>
      <c r="F2021" t="inlineStr">
        <is>
          <t>prod</t>
        </is>
      </c>
    </row>
    <row r="2022">
      <c r="A2022" t="inlineStr">
        <is>
          <t>2025-05-09 06:49:15.781</t>
        </is>
      </c>
      <c r="B2022">
        <f>=请求结束== [请求耗时]:16毫秒, [返回数据]:{"code":"000000","msg":"Success","traceId":"b545814a261ee9e0af00467ebad2de39"}</f>
        <v/>
      </c>
      <c r="C2022" t="inlineStr">
        <is>
          <t>INFO</t>
        </is>
      </c>
      <c r="D2022" t="inlineStr">
        <is>
          <t>vdh</t>
        </is>
      </c>
      <c r="E2022" t="inlineStr">
        <is>
          <t>pro14</t>
        </is>
      </c>
      <c r="F2022" t="inlineStr">
        <is>
          <t>prod</t>
        </is>
      </c>
    </row>
    <row r="2023">
      <c r="A2023" t="inlineStr">
        <is>
          <t>2025-05-09 06:49:15.765</t>
        </is>
      </c>
      <c r="B2023">
        <f>=请求开始== [请求IP]:117.183.10.218 ,[请求方式]:POST， [请求URL]:https://172.30.212.148:8080/api/appservice/bfv/v1/chatHistory/batchSave, [请求类名]:com.yingzi.appservice.bfv.provider.rest.ChatHistoryController,[请求方法名]:batchSave, [请求头参数]:{"host":"172.30.212.148:8080"}, [请求参数]:[[{"userId":903284567812497412,"deviceId":"14:18:C3:DC:26:98","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6,"minute":49,"second":10,"nano":0,"chronology":{"id":"ISO","calendarType":"iso8601"}},"response":1746744550469}]]</f>
        <v/>
      </c>
      <c r="C2023" t="inlineStr">
        <is>
          <t>INFO</t>
        </is>
      </c>
      <c r="D2023" t="inlineStr">
        <is>
          <t>vdh</t>
        </is>
      </c>
      <c r="E2023" t="inlineStr">
        <is>
          <t>pro14</t>
        </is>
      </c>
      <c r="F2023" t="inlineStr">
        <is>
          <t>prod</t>
        </is>
      </c>
    </row>
    <row r="2024">
      <c r="A2024" t="inlineStr">
        <is>
          <t>2025-05-09 06:47:47.683</t>
        </is>
      </c>
      <c r="B2024">
        <f>=请求结束== [请求耗时]:16毫秒, [返回数据]:{"code":"000000","msg":"Success","traceId":"9b14bceef20c3a20c67a997feb15778f"}</f>
        <v/>
      </c>
      <c r="C2024" t="inlineStr">
        <is>
          <t>INFO</t>
        </is>
      </c>
      <c r="D2024" t="inlineStr">
        <is>
          <t>vdh</t>
        </is>
      </c>
      <c r="E2024" t="inlineStr">
        <is>
          <t>pro14</t>
        </is>
      </c>
      <c r="F2024" t="inlineStr">
        <is>
          <t>prod</t>
        </is>
      </c>
    </row>
    <row r="2025">
      <c r="A2025" t="inlineStr">
        <is>
          <t>2025-05-09 06:47:47.668</t>
        </is>
      </c>
      <c r="B2025">
        <f>=请求开始== [请求IP]:120.230.118.128 ,[请求方式]:POST， [请求URL]:https://172.30.212.148:8080/api/appservice/bfv/v1/chatHistory/batchSave, [请求类名]:com.yingzi.appservice.bfv.provider.rest.ChatHistoryController,[请求方法名]:batchSave, [请求头参数]:{"host":"172.30.212.148:8080"}, [请求参数]:[[{"userId":871342215734112256,"deviceId":"28:D0:EA:87:90:5B","sessionId":"","avatarId":"11200220000208050000000000000000","appCode":"VDHtestWDC","instructionTemplateType":"Instruction_library","recordId":"","asrResult":"声音降低","instructionAsrFirstTime":{"year":2025,"monthValue":5,"month":"MAY","dayOfMonth":9,"dayOfYear":129,"dayOfWeek":"FRIDAY","hour":6,"minute":47,"second":43,"nano":0,"chronology":{"id":"ISO","calendarType":"iso8601"}},"knowledgeId":"","knowledgeMasterId":"295","instructionType":"SYSTEM","instructionName":"调低音量","instructionFlag":"volume_down","parameter":"{\"answer\":\"DEFAULT\",\"code\":\"volume_down\",\"continue_answer\":\"\",\"continue_failed_answer\":\"\",\"entities\":\"\",\"failed_answer\":\"{\\\"answerId\\\":\\\"\\\",\\\"value\\\":\\\"抱歉，音量设置失败\\\",\\\"hidb\\\":\\\"\\\",\\\"aplusId\\\":\\\"\\\",\\\"flag\\\":true,\\\"updFlag\\\":false,\\\"cache\\\":false}\",\"hitBusiness\":\"295\",\"init_state\":\"false\",\"intent\":\"调低音量\",\"intentType\":\"SYSTEM\",\"isEnd\":\"true\",\"isMulti\":\"false\",\"service\":\"Instruction_library\",\"succeed_answer\":\"{\\\"answerId\\\":\\\"\\\",\\\"value\\\":\\\"音量已调低\\\",\\\"hidb\\\":\\\"\\\",\\\"aplusId\\\":\\\"\\\",\\\"flag\\\":true,\\\"updFlag\\\":false,\\\"cache\\\":false}\"}","ttsResultSource":"local","ttsResult":"音量已调到最低","ttsResultTime":{"year":2025,"monthValue":5,"month":"MAY","dayOfMonth":9,"dayOfYear":129,"dayOfWeek":"FRIDAY","hour":6,"minute":47,"second":45,"nano":0,"chronology":{"id":"ISO","calendarType":"iso8601"}},"response":1135}]]</f>
        <v/>
      </c>
      <c r="C2025" t="inlineStr">
        <is>
          <t>INFO</t>
        </is>
      </c>
      <c r="D2025" t="inlineStr">
        <is>
          <t>vdh</t>
        </is>
      </c>
      <c r="E2025" t="inlineStr">
        <is>
          <t>pro14</t>
        </is>
      </c>
      <c r="F2025" t="inlineStr">
        <is>
          <t>prod</t>
        </is>
      </c>
    </row>
    <row r="2026">
      <c r="A2026" t="inlineStr">
        <is>
          <t>2025-05-09 06:47:36.539</t>
        </is>
      </c>
      <c r="B2026">
        <f>=请求结束== [请求耗时]:17毫秒, [返回数据]:{"code":"000000","msg":"Success","traceId":"883c807db9d3801d4885290239dafc03"}</f>
        <v/>
      </c>
      <c r="C2026" t="inlineStr">
        <is>
          <t>INFO</t>
        </is>
      </c>
      <c r="D2026" t="inlineStr">
        <is>
          <t>vdh</t>
        </is>
      </c>
      <c r="E2026" t="inlineStr">
        <is>
          <t>pro17</t>
        </is>
      </c>
      <c r="F2026" t="inlineStr">
        <is>
          <t>prod</t>
        </is>
      </c>
    </row>
    <row r="2027">
      <c r="A2027" t="inlineStr">
        <is>
          <t>2025-05-09 06:47:36.523</t>
        </is>
      </c>
      <c r="B2027">
        <f>=请求开始== [请求IP]:120.230.118.128 ,[请求方式]:POST， [请求URL]:https://172.30.103.196:8080/api/appservice/bfv/v1/chatHistory/batchSave, [请求类名]:com.yingzi.appservice.bfv.provider.rest.ChatHistoryController,[请求方法名]:batchSave, [请求头参数]:{"host":"172.30.103.196:8080"}, [请求参数]:[[{"userId":871342215734112256,"deviceId":"28:D0:EA:87:90:5B","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6,"minute":47,"second":31,"nano":0,"chronology":{"id":"ISO","calendarType":"iso8601"}},"response":1746744451264}]]</f>
        <v/>
      </c>
      <c r="C2027" t="inlineStr">
        <is>
          <t>INFO</t>
        </is>
      </c>
      <c r="D2027" t="inlineStr">
        <is>
          <t>vdh</t>
        </is>
      </c>
      <c r="E2027" t="inlineStr">
        <is>
          <t>pro17</t>
        </is>
      </c>
      <c r="F2027" t="inlineStr">
        <is>
          <t>prod</t>
        </is>
      </c>
    </row>
    <row r="2028">
      <c r="A2028" t="inlineStr">
        <is>
          <t>2025-05-09 06:34:29.282</t>
        </is>
      </c>
      <c r="B2028">
        <f>=请求结束== [请求耗时]:22毫秒, [返回数据]:{"code":"000000","msg":"Success","traceId":"6a4ac536ddb9cda1ae68c81b563206e1"}</f>
        <v/>
      </c>
      <c r="C2028" t="inlineStr">
        <is>
          <t>INFO</t>
        </is>
      </c>
      <c r="D2028" t="inlineStr">
        <is>
          <t>vdh</t>
        </is>
      </c>
      <c r="E2028" t="inlineStr">
        <is>
          <t>pro17</t>
        </is>
      </c>
      <c r="F2028" t="inlineStr">
        <is>
          <t>prod</t>
        </is>
      </c>
    </row>
    <row r="2029">
      <c r="A2029" t="inlineStr">
        <is>
          <t>2025-05-09 06:34:29.260</t>
        </is>
      </c>
      <c r="B2029">
        <f>=请求开始== [请求IP]:110.72.22.171 ,[请求方式]:POST， [请求URL]:https://172.30.103.196:8080/api/appservice/bfv/v1/chatHistory/batchSave, [请求类名]:com.yingzi.appservice.bfv.provider.rest.ChatHistoryController,[请求方法名]:batchSave, [请求头参数]:{"host":"172.30.103.196:8080"}, [请求参数]:[[{"userId":769295539718475776,"deviceId":"14:18:C3:DC:26:5C","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6,"minute":34,"second":23,"nano":0,"chronology":{"id":"ISO","calendarType":"iso8601"}},"response":1746743663689}]]</f>
        <v/>
      </c>
      <c r="C2029" t="inlineStr">
        <is>
          <t>INFO</t>
        </is>
      </c>
      <c r="D2029" t="inlineStr">
        <is>
          <t>vdh</t>
        </is>
      </c>
      <c r="E2029" t="inlineStr">
        <is>
          <t>pro17</t>
        </is>
      </c>
      <c r="F2029" t="inlineStr">
        <is>
          <t>prod</t>
        </is>
      </c>
    </row>
    <row r="2030">
      <c r="A2030" t="inlineStr">
        <is>
          <t>2025-05-09 06:18:30.465</t>
        </is>
      </c>
      <c r="B2030">
        <f>=请求结束== [请求耗时]:18毫秒, [返回数据]:{"code":"000000","msg":"Success","traceId":"6cb1d2935c48863cc11c518e7bcfb5b3"}</f>
        <v/>
      </c>
      <c r="C2030" t="inlineStr">
        <is>
          <t>INFO</t>
        </is>
      </c>
      <c r="D2030" t="inlineStr">
        <is>
          <t>vdh</t>
        </is>
      </c>
      <c r="E2030" t="inlineStr">
        <is>
          <t>pro14</t>
        </is>
      </c>
      <c r="F2030" t="inlineStr">
        <is>
          <t>prod</t>
        </is>
      </c>
    </row>
    <row r="2031">
      <c r="A2031" t="inlineStr">
        <is>
          <t>2025-05-09 06:18:30.448</t>
        </is>
      </c>
      <c r="B2031">
        <f>=请求开始== [请求IP]:111.58.143.86 ,[请求方式]:POST， [请求URL]:https://172.30.212.148:8080/api/appservice/bfv/v1/chatHistory/batchSave, [请求类名]:com.yingzi.appservice.bfv.provider.rest.ChatHistoryController,[请求方法名]:batchSave, [请求头参数]:{"host":"172.30.212.148:8080"}, [请求参数]:[[{"userId":1152116363876749313,"deviceId":"28:D0:EA:87:98:6C","sessionId":"","avatarId":"11200220000208050000000000000000","appCode":"VDHtestWDC","instructionTemplateType":"","recordId":"","asrResult":"","knowledgeId":"","knowledgeMasterId":"","instructionType":"","instructionName":"","instructionFlag":"","parameter":"{}","ttsResultSource":"local","ttsResult":"开始烹饪,请耐心等待","ttsResultTime":{"year":2025,"monthValue":5,"month":"MAY","dayOfMonth":9,"dayOfYear":129,"dayOfWeek":"FRIDAY","hour":6,"minute":18,"second":21,"nano":0,"chronology":{"id":"ISO","calendarType":"iso8601"}},"response":1746742701058}]]</f>
        <v/>
      </c>
      <c r="C2031" t="inlineStr">
        <is>
          <t>INFO</t>
        </is>
      </c>
      <c r="D2031" t="inlineStr">
        <is>
          <t>vdh</t>
        </is>
      </c>
      <c r="E2031" t="inlineStr">
        <is>
          <t>pro14</t>
        </is>
      </c>
      <c r="F2031" t="inlineStr">
        <is>
          <t>prod</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2025-05-09T13:55:27Z</dcterms:created>
  <dcterms:modified xmlns:dcterms="http://purl.org/dc/terms/" xmlns:xsi="http://www.w3.org/2001/XMLSchema-instance" xsi:type="dcterms:W3CDTF">2025-05-09T13:55:27Z</dcterms:modified>
</cp:coreProperties>
</file>