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mei\Desktop\"/>
    </mc:Choice>
  </mc:AlternateContent>
  <bookViews>
    <workbookView xWindow="0" yWindow="0" windowWidth="23040" windowHeight="12360" firstSheet="2" activeTab="3"/>
  </bookViews>
  <sheets>
    <sheet name="軸承壽命估算" sheetId="1" r:id="rId1"/>
    <sheet name="軸承溫升估算" sheetId="2" r:id="rId2"/>
    <sheet name="斜角滾珠軸承彈簧預壓力估算" sheetId="7" r:id="rId3"/>
    <sheet name="斜角滾珠軸承剛性轉速估算" sheetId="3" r:id="rId4"/>
    <sheet name="油氣潤滑量" sheetId="4" r:id="rId5"/>
    <sheet name="NN30 &amp;N10 軸承預壓與轉速估算 " sheetId="6" r:id="rId6"/>
    <sheet name="球面滾子推力軸承計算預壓" sheetId="5" r:id="rId7"/>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B22" i="3" l="1"/>
  <c r="B12" i="7"/>
  <c r="B14" i="7"/>
  <c r="B6" i="7"/>
  <c r="B13" i="7" s="1"/>
  <c r="B9" i="6"/>
  <c r="B6" i="6"/>
  <c r="B8" i="6" s="1" a="1"/>
  <c r="B8" i="6" s="1"/>
  <c r="B8" i="2"/>
  <c r="G18" i="2" s="1"/>
  <c r="K7" i="5"/>
  <c r="B3" i="5"/>
  <c r="B7" i="5" s="1"/>
  <c r="B15" i="7" l="1"/>
  <c r="B18" i="7"/>
  <c r="B19" i="7" s="1"/>
  <c r="B20" i="7" s="1"/>
  <c r="B14" i="2"/>
  <c r="B19" i="4"/>
  <c r="B22" i="4" s="1"/>
  <c r="B14" i="4" l="1"/>
  <c r="B15" i="4" s="1"/>
  <c r="B6" i="4"/>
  <c r="B7" i="4" s="1"/>
  <c r="B26" i="3"/>
  <c r="B23" i="3"/>
  <c r="B4" i="2"/>
  <c r="B20" i="3"/>
  <c r="B8" i="3"/>
  <c r="B14" i="3"/>
  <c r="B5" i="3"/>
  <c r="B12" i="3" s="1"/>
  <c r="B11" i="3"/>
  <c r="B10" i="3"/>
  <c r="B17" i="3"/>
  <c r="B16" i="3"/>
  <c r="B15" i="2" l="1"/>
  <c r="B16" i="2" s="1"/>
  <c r="B17" i="2"/>
  <c r="B18" i="2" s="1"/>
  <c r="B10" i="2"/>
  <c r="B11" i="2" s="1"/>
  <c r="B24" i="3"/>
  <c r="B18" i="3"/>
  <c r="B7" i="1"/>
  <c r="B8" i="1" s="1"/>
  <c r="B19" i="2" l="1"/>
  <c r="B20" i="2" l="1"/>
  <c r="B24" i="2" l="1"/>
  <c r="B25" i="2" s="1"/>
  <c r="B26" i="2"/>
  <c r="B27" i="2" s="1"/>
</calcChain>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<sst xmlns="http://schemas.openxmlformats.org/spreadsheetml/2006/main" count="236" uniqueCount="145">
  <si>
    <t>KN</t>
    <phoneticPr fontId="1" type="noConversion"/>
  </si>
  <si>
    <t>基本額定壽命</t>
    <phoneticPr fontId="1" type="noConversion"/>
  </si>
  <si>
    <t>百萬轉</t>
    <phoneticPr fontId="1" type="noConversion"/>
  </si>
  <si>
    <t>轉速</t>
    <phoneticPr fontId="1" type="noConversion"/>
  </si>
  <si>
    <t>基本额定寿命</t>
    <phoneticPr fontId="1" type="noConversion"/>
  </si>
  <si>
    <t>小時</t>
    <phoneticPr fontId="1" type="noConversion"/>
  </si>
  <si>
    <t>rpm</t>
    <phoneticPr fontId="1" type="noConversion"/>
  </si>
  <si>
    <t xml:space="preserve"> 球轴承輸入=3   滚子轴承=3.33333333333</t>
    <phoneticPr fontId="1" type="noConversion"/>
  </si>
  <si>
    <t>軸承摩擦係數</t>
    <phoneticPr fontId="1" type="noConversion"/>
  </si>
  <si>
    <t>軸承等效負荷</t>
    <phoneticPr fontId="1" type="noConversion"/>
  </si>
  <si>
    <t>N</t>
    <phoneticPr fontId="1" type="noConversion"/>
  </si>
  <si>
    <t>(等效負荷以≈ 0.1計)</t>
  </si>
  <si>
    <t>軸承內徑</t>
    <phoneticPr fontId="1" type="noConversion"/>
  </si>
  <si>
    <t>mm</t>
    <phoneticPr fontId="1" type="noConversion"/>
  </si>
  <si>
    <t>軸承轉速</t>
    <phoneticPr fontId="1" type="noConversion"/>
  </si>
  <si>
    <t>軸承力矩估算</t>
    <phoneticPr fontId="1" type="noConversion"/>
  </si>
  <si>
    <t>N-mm</t>
    <phoneticPr fontId="1" type="noConversion"/>
  </si>
  <si>
    <t>軸向剛性</t>
    <phoneticPr fontId="1" type="noConversion"/>
  </si>
  <si>
    <t>徑向剛性</t>
    <phoneticPr fontId="1" type="noConversion"/>
  </si>
  <si>
    <t>軸承角度</t>
    <phoneticPr fontId="1" type="noConversion"/>
  </si>
  <si>
    <t>N/µm</t>
  </si>
  <si>
    <t>斜角滾珠軸承剛性估算</t>
    <phoneticPr fontId="1" type="noConversion"/>
  </si>
  <si>
    <t>軸承溫升估算</t>
    <phoneticPr fontId="1" type="noConversion"/>
  </si>
  <si>
    <t>軸承壽命估算</t>
    <phoneticPr fontId="1" type="noConversion"/>
  </si>
  <si>
    <t>基本&lt;&gt; or &gt;&lt; 預壓力(DB、DF)</t>
    <phoneticPr fontId="1" type="noConversion"/>
  </si>
  <si>
    <t>採&lt;&lt;&gt; 組合時有效預壓力(DBD、DFD)</t>
    <phoneticPr fontId="1" type="noConversion"/>
  </si>
  <si>
    <t>預壓係數</t>
    <phoneticPr fontId="1" type="noConversion"/>
  </si>
  <si>
    <t>EL</t>
    <phoneticPr fontId="1" type="noConversion"/>
  </si>
  <si>
    <t>L</t>
    <phoneticPr fontId="1" type="noConversion"/>
  </si>
  <si>
    <t>M</t>
    <phoneticPr fontId="1" type="noConversion"/>
  </si>
  <si>
    <t>H</t>
    <phoneticPr fontId="1" type="noConversion"/>
  </si>
  <si>
    <t>預壓等級</t>
    <phoneticPr fontId="1" type="noConversion"/>
  </si>
  <si>
    <t>N(查型錄表)</t>
    <phoneticPr fontId="1" type="noConversion"/>
  </si>
  <si>
    <r>
      <t>N/</t>
    </r>
    <r>
      <rPr>
        <sz val="12"/>
        <color theme="1"/>
        <rFont val="新細明體"/>
        <family val="1"/>
        <charset val="136"/>
      </rPr>
      <t>µ</t>
    </r>
    <r>
      <rPr>
        <sz val="12"/>
        <color theme="1"/>
        <rFont val="新細明體"/>
        <family val="2"/>
        <charset val="136"/>
      </rPr>
      <t>m(查型錄表)</t>
    </r>
  </si>
  <si>
    <t>查表</t>
  </si>
  <si>
    <t>查表</t>
    <phoneticPr fontId="1" type="noConversion"/>
  </si>
  <si>
    <t>軸承容許迴轉速</t>
    <phoneticPr fontId="1" type="noConversion"/>
  </si>
  <si>
    <t>RPM</t>
    <phoneticPr fontId="1" type="noConversion"/>
  </si>
  <si>
    <t>RPM(查型錄表)</t>
    <phoneticPr fontId="1" type="noConversion"/>
  </si>
  <si>
    <t>定預壓速度係數</t>
  </si>
  <si>
    <t>定預壓速度係數</t>
    <phoneticPr fontId="1" type="noConversion"/>
  </si>
  <si>
    <t>&lt;&gt; or &gt;&lt; 組裝後(DB、DF)最大容許轉速</t>
    <phoneticPr fontId="1" type="noConversion"/>
  </si>
  <si>
    <t>採&lt;&lt;&gt;&gt; 組合時有效預壓力(DBB、DFF)</t>
    <phoneticPr fontId="1" type="noConversion"/>
  </si>
  <si>
    <t>組裝後最大容許轉速</t>
    <phoneticPr fontId="1" type="noConversion"/>
  </si>
  <si>
    <t>施予軸承負荷</t>
    <phoneticPr fontId="1" type="noConversion"/>
  </si>
  <si>
    <t>壽命公式的指数</t>
    <phoneticPr fontId="1" type="noConversion"/>
  </si>
  <si>
    <t>軸承當量動载荷</t>
    <phoneticPr fontId="1" type="noConversion"/>
  </si>
  <si>
    <t>額定動载荷</t>
    <phoneticPr fontId="1" type="noConversion"/>
  </si>
  <si>
    <t>採&lt;&lt;&lt;&gt;&gt; 組合時有效預壓力(DBBD、DFFD)</t>
    <phoneticPr fontId="1" type="noConversion"/>
  </si>
  <si>
    <t>油氣潤滑油量估算</t>
    <phoneticPr fontId="1" type="noConversion"/>
  </si>
  <si>
    <t>斜角滾珠</t>
    <phoneticPr fontId="1" type="noConversion"/>
  </si>
  <si>
    <t>軸承外徑</t>
    <phoneticPr fontId="1" type="noConversion"/>
  </si>
  <si>
    <t>單顆軸承供油量</t>
    <phoneticPr fontId="1" type="noConversion"/>
  </si>
  <si>
    <t>L/h</t>
    <phoneticPr fontId="1" type="noConversion"/>
  </si>
  <si>
    <t>cc/min</t>
    <phoneticPr fontId="1" type="noConversion"/>
  </si>
  <si>
    <t xml:space="preserve">圓柱滾子軸承 &amp; 雙向角接觸推力軸承 </t>
    <phoneticPr fontId="1" type="noConversion"/>
  </si>
  <si>
    <t>軸承寬度</t>
    <phoneticPr fontId="1" type="noConversion"/>
  </si>
  <si>
    <t>軸承潤滑係數</t>
    <phoneticPr fontId="1" type="noConversion"/>
  </si>
  <si>
    <t>( 圓柱滾子: 1~2 :雙向角接觸推力軸承: 2~5 )</t>
    <phoneticPr fontId="1" type="noConversion"/>
  </si>
  <si>
    <t>一般使用的是溫度40 °C (105 °F) 時粘度爲40–100 mm2/s的潤滑油。此粘度下含有極壓添加劑的潤滑油，尤其適合滾子軸承。</t>
  </si>
  <si>
    <t xml:space="preserve">潤滑油適合用於油氣潤滑系 統。一般使用的是溫度40 °C (105 °F) 時粘度爲40–100 mm2/s的潤滑油。 </t>
    <phoneticPr fontId="1" type="noConversion"/>
  </si>
  <si>
    <t>40 °C (105 °F) 時粘度爲10–15 mm2/s的潤滑油通常用于噴油潤滑，而油霧潤滑系統通常用的是40 °C (105 °F) 時粘度爲32 mm2/s的潤 滑油。</t>
  </si>
  <si>
    <t>mm</t>
    <phoneticPr fontId="1" type="noConversion"/>
  </si>
  <si>
    <t>流速</t>
  </si>
  <si>
    <t>流量</t>
    <phoneticPr fontId="7" type="noConversion"/>
  </si>
  <si>
    <t>m3/hr</t>
    <phoneticPr fontId="7" type="noConversion"/>
  </si>
  <si>
    <t>㎡</t>
    <phoneticPr fontId="7" type="noConversion"/>
  </si>
  <si>
    <t>壓力</t>
    <phoneticPr fontId="7" type="noConversion"/>
  </si>
  <si>
    <t>kg/cm2</t>
    <phoneticPr fontId="7" type="noConversion"/>
  </si>
  <si>
    <t>溫度</t>
    <phoneticPr fontId="7" type="noConversion"/>
  </si>
  <si>
    <t>°c</t>
    <phoneticPr fontId="7" type="noConversion"/>
  </si>
  <si>
    <t>m/s</t>
    <phoneticPr fontId="7" type="noConversion"/>
  </si>
  <si>
    <t>管路面積</t>
    <phoneticPr fontId="7" type="noConversion"/>
  </si>
  <si>
    <t>管路內徑</t>
    <phoneticPr fontId="1" type="noConversion"/>
  </si>
  <si>
    <r>
      <t>影響溫升和可靠潤滑的一個因素是潤滑時間間隔，即兩次相鄰從油氣潤滑器提供潤滑油所花費的時間。通常0.03 CC分配器潤滑時間間隔由每個噴油嘴産生的潤滑油的流量和每小時提供 油量所决定。時間間隔在1分鐘到1小時間變化，通常是</t>
    </r>
    <r>
      <rPr>
        <sz val="12"/>
        <color rgb="FFFF0000"/>
        <rFont val="新細明體"/>
        <family val="1"/>
        <charset val="136"/>
        <scheme val="minor"/>
      </rPr>
      <t>15–20</t>
    </r>
    <r>
      <rPr>
        <sz val="12"/>
        <color theme="1"/>
        <rFont val="新細明體"/>
        <family val="1"/>
        <charset val="136"/>
        <scheme val="minor"/>
      </rPr>
      <t>分鐘，0.005 CC 的分配器時間間隔在</t>
    </r>
    <r>
      <rPr>
        <sz val="12"/>
        <color rgb="FFFF0000"/>
        <rFont val="新細明體"/>
        <family val="1"/>
        <charset val="136"/>
        <scheme val="minor"/>
      </rPr>
      <t>1~5分鐘</t>
    </r>
    <r>
      <rPr>
        <sz val="12"/>
        <color theme="1"/>
        <rFont val="新細明體"/>
        <family val="1"/>
        <charset val="136"/>
        <scheme val="minor"/>
      </rPr>
      <t>間變化。 　與潤滑器連接的輸油管的長度爲1–5 m， 其取决于潤滑間隔。還應包含一個過濾器， 以阻止大於5 µm的顆粒進入軸承。空氣壓力應爲2</t>
    </r>
    <r>
      <rPr>
        <sz val="12"/>
        <color rgb="FFFF0000"/>
        <rFont val="新細明體"/>
        <family val="1"/>
        <charset val="136"/>
        <scheme val="minor"/>
      </rPr>
      <t>–10BAR 視實際狀況調整。</t>
    </r>
    <phoneticPr fontId="1" type="noConversion"/>
  </si>
  <si>
    <t>(管路壓力在2~5 kg/cm2 調整，視噪音與噴點孔直徑調整)</t>
    <phoneticPr fontId="1" type="noConversion"/>
  </si>
  <si>
    <t>(管路流速維持30m/s~80m/s，視溫度而定流速低時溫度較高可透過提升空氣流速減少溫升，特殊情況下可高達150～200m/s)</t>
    <phoneticPr fontId="1" type="noConversion"/>
  </si>
  <si>
    <t>kN</t>
    <phoneticPr fontId="1" type="noConversion"/>
  </si>
  <si>
    <t>最小荷載係數</t>
    <phoneticPr fontId="1" type="noConversion"/>
  </si>
  <si>
    <t>(查表)</t>
    <phoneticPr fontId="1" type="noConversion"/>
  </si>
  <si>
    <t>聯合荷載下的徑向推力Fr</t>
  </si>
  <si>
    <t>基本額定荷載C0</t>
    <phoneticPr fontId="1" type="noConversion"/>
  </si>
  <si>
    <t>球面滾子推力軸承最小軸向荷載計算</t>
    <phoneticPr fontId="1" type="noConversion"/>
  </si>
  <si>
    <t>(只供軸承軸向推力使用不受徑向載荷使用或徑向荷載≦軸向荷載時使用下式計算)</t>
    <phoneticPr fontId="1" type="noConversion"/>
  </si>
  <si>
    <t>最小預壓力</t>
    <phoneticPr fontId="1" type="noConversion"/>
  </si>
  <si>
    <r>
      <t>如單獨使用沒有其餘軸承承受徑力向徑向荷載</t>
    </r>
    <r>
      <rPr>
        <sz val="12"/>
        <color rgb="FFFF0000"/>
        <rFont val="新細明體"/>
        <family val="1"/>
        <charset val="136"/>
      </rPr>
      <t>≧</t>
    </r>
    <r>
      <rPr>
        <sz val="12"/>
        <color rgb="FFFF0000"/>
        <rFont val="新細明體"/>
        <family val="1"/>
        <charset val="136"/>
        <scheme val="minor"/>
      </rPr>
      <t>軸向荷載時使用下式計算</t>
    </r>
    <phoneticPr fontId="1" type="noConversion"/>
  </si>
  <si>
    <t>室溫</t>
    <phoneticPr fontId="1" type="noConversion"/>
  </si>
  <si>
    <t>℃</t>
    <phoneticPr fontId="1" type="noConversion"/>
  </si>
  <si>
    <t>W</t>
    <phoneticPr fontId="1" type="noConversion"/>
  </si>
  <si>
    <t>油脂黏度</t>
    <phoneticPr fontId="1" type="noConversion"/>
  </si>
  <si>
    <t>mm2/s</t>
    <phoneticPr fontId="1" type="noConversion"/>
  </si>
  <si>
    <t>N-mm</t>
  </si>
  <si>
    <t>軸承平均徑</t>
    <phoneticPr fontId="1" type="noConversion"/>
  </si>
  <si>
    <r>
      <t>油脂入口剪切作用縮減係數</t>
    </r>
    <r>
      <rPr>
        <sz val="12"/>
        <color theme="1"/>
        <rFont val="Calibri"/>
        <family val="2"/>
        <charset val="161"/>
      </rPr>
      <t>Φ</t>
    </r>
    <r>
      <rPr>
        <sz val="12"/>
        <color theme="1"/>
        <rFont val="新細明體"/>
        <family val="2"/>
        <charset val="136"/>
        <scheme val="minor"/>
      </rPr>
      <t>ish</t>
    </r>
    <phoneticPr fontId="1" type="noConversion"/>
  </si>
  <si>
    <t>軸承滾動力矩(Mrr)</t>
    <phoneticPr fontId="1" type="noConversion"/>
  </si>
  <si>
    <t>軸承滑動係數(Gsl)</t>
    <phoneticPr fontId="1" type="noConversion"/>
  </si>
  <si>
    <t>軸承滑動力距(Msl)</t>
    <phoneticPr fontId="1" type="noConversion"/>
  </si>
  <si>
    <t>軸承滾動係數(Grr)</t>
    <phoneticPr fontId="1" type="noConversion"/>
  </si>
  <si>
    <t>總力距</t>
    <phoneticPr fontId="1" type="noConversion"/>
  </si>
  <si>
    <t>溫升</t>
    <phoneticPr fontId="1" type="noConversion"/>
  </si>
  <si>
    <t>KW</t>
    <phoneticPr fontId="1" type="noConversion"/>
  </si>
  <si>
    <t>軸承溫度(風冷)</t>
    <phoneticPr fontId="1" type="noConversion"/>
  </si>
  <si>
    <t>軸承溫度(油冷)</t>
    <phoneticPr fontId="1" type="noConversion"/>
  </si>
  <si>
    <t>單軸承總輸出熱量</t>
    <phoneticPr fontId="1" type="noConversion"/>
  </si>
  <si>
    <t>珠子種類</t>
    <phoneticPr fontId="1" type="noConversion"/>
  </si>
  <si>
    <t>(鋼珠:1 陶珠:0.41</t>
    <phoneticPr fontId="1" type="noConversion"/>
  </si>
  <si>
    <t>推估單軸承輸出熱量</t>
    <phoneticPr fontId="1" type="noConversion"/>
  </si>
  <si>
    <t>預計轉速</t>
    <phoneticPr fontId="1" type="noConversion"/>
  </si>
  <si>
    <t>dmn</t>
    <phoneticPr fontId="1" type="noConversion"/>
  </si>
  <si>
    <t>可預壓量</t>
    <phoneticPr fontId="1" type="noConversion"/>
  </si>
  <si>
    <t>μ</t>
    <phoneticPr fontId="1" type="noConversion"/>
  </si>
  <si>
    <t>1~2</t>
    <phoneticPr fontId="1" type="noConversion"/>
  </si>
  <si>
    <t>NN30 &amp;N10 軸承轉速估算預壓干涉值</t>
    <phoneticPr fontId="1" type="noConversion"/>
  </si>
  <si>
    <r>
      <t>使用時軸心與套筒真圓與圓筒度都須控制在 1</t>
    </r>
    <r>
      <rPr>
        <sz val="12"/>
        <color theme="1"/>
        <rFont val="Calibri"/>
        <family val="2"/>
        <charset val="161"/>
      </rPr>
      <t>μ</t>
    </r>
    <r>
      <rPr>
        <sz val="12"/>
        <color theme="1"/>
        <rFont val="新細明體"/>
        <family val="2"/>
        <charset val="136"/>
        <scheme val="minor"/>
      </rPr>
      <t>以下</t>
    </r>
    <phoneticPr fontId="1" type="noConversion"/>
  </si>
  <si>
    <t>綜合可能零件干擾因素之軸承最高轉速為可達轉速的 85% 訂為主軸成品最高轉速</t>
    <phoneticPr fontId="1" type="noConversion"/>
  </si>
  <si>
    <t>軸承可達轉速</t>
    <phoneticPr fontId="1" type="noConversion"/>
  </si>
  <si>
    <t>如欲使用至軸承最高轉速預壓量</t>
    <phoneticPr fontId="1" type="noConversion"/>
  </si>
  <si>
    <t>上述預壓下軸承推薦最高轉速</t>
    <phoneticPr fontId="1" type="noConversion"/>
  </si>
  <si>
    <t>並列軸承數</t>
    <phoneticPr fontId="1" type="noConversion"/>
  </si>
  <si>
    <t>前軸承中預壓軸向壓力(查表)</t>
    <phoneticPr fontId="1" type="noConversion"/>
  </si>
  <si>
    <t>ea</t>
    <phoneticPr fontId="1" type="noConversion"/>
  </si>
  <si>
    <t>後軸承中預壓軸向壓力(查表)</t>
    <phoneticPr fontId="1" type="noConversion"/>
  </si>
  <si>
    <t>後軸承同向並列數量</t>
    <phoneticPr fontId="1" type="noConversion"/>
  </si>
  <si>
    <t>前軸承同向並列數量</t>
    <phoneticPr fontId="1" type="noConversion"/>
  </si>
  <si>
    <t>後軸承彈簧預壓力</t>
    <phoneticPr fontId="1" type="noConversion"/>
  </si>
  <si>
    <t>項目</t>
    <phoneticPr fontId="1" type="noConversion"/>
  </si>
  <si>
    <t>數值</t>
    <phoneticPr fontId="1" type="noConversion"/>
  </si>
  <si>
    <t>單位</t>
    <phoneticPr fontId="1" type="noConversion"/>
  </si>
  <si>
    <t>主軸旋轉體含後軸承滑動套等會產生軸向移位零件的總體質量</t>
    <phoneticPr fontId="1" type="noConversion"/>
  </si>
  <si>
    <t>前後軸承跨距長度</t>
    <phoneticPr fontId="1" type="noConversion"/>
  </si>
  <si>
    <t>預設軸承內外徑溫差</t>
    <phoneticPr fontId="1" type="noConversion"/>
  </si>
  <si>
    <t>軸常膨脹量</t>
    <phoneticPr fontId="1" type="noConversion"/>
  </si>
  <si>
    <t>N/mm</t>
    <phoneticPr fontId="1" type="noConversion"/>
  </si>
  <si>
    <t>每條彈簧k值</t>
    <phoneticPr fontId="1" type="noConversion"/>
  </si>
  <si>
    <t>每條彈簧預設壓縮量</t>
    <phoneticPr fontId="1" type="noConversion"/>
  </si>
  <si>
    <t>運轉溫昇預壓力減量</t>
    <phoneticPr fontId="1" type="noConversion"/>
  </si>
  <si>
    <t>系統實際彈簧預力</t>
    <phoneticPr fontId="1" type="noConversion"/>
  </si>
  <si>
    <t>後軸承必須滿足的承載軸向力</t>
    <phoneticPr fontId="1" type="noConversion"/>
  </si>
  <si>
    <t>後軸承套非半固定式最大刀具載重(排除軸因同心度不良、軸承軌道與軸不垂直產生的軸向竄動)</t>
    <phoneticPr fontId="1" type="noConversion"/>
  </si>
  <si>
    <t>SKF &amp; NSK斜角滾珠軸承DBB&lt;&lt;&gt;&gt;形排列彈簧預壓力估算</t>
    <phoneticPr fontId="1" type="noConversion"/>
  </si>
  <si>
    <r>
      <rPr>
        <sz val="14"/>
        <color rgb="FFFF0000"/>
        <rFont val="標楷體"/>
        <family val="4"/>
        <charset val="136"/>
      </rPr>
      <t xml:space="preserve">注意事項: </t>
    </r>
    <r>
      <rPr>
        <sz val="14"/>
        <color theme="1"/>
        <rFont val="標楷體"/>
        <family val="4"/>
        <charset val="136"/>
      </rPr>
      <t>後軸承必須給予獨立的冷卻管道不得串接前軸承或其他熱源，應維持前與軸承並連管路。後軸承彈簧預壓力不得小於系統實際彈簧預力。如後軸承彈簧預壓力小於系統實際彈簧預力需適當增加軸承承載數量，但每個軸承分配最小軸向預力不得低於軸承軸向輕預壓軸向預力。</t>
    </r>
    <phoneticPr fontId="1" type="noConversion"/>
  </si>
  <si>
    <t>前軸承輕預壓軸向壓力(查表)</t>
    <phoneticPr fontId="1" type="noConversion"/>
  </si>
  <si>
    <t>預壓等級區分超輕 (EL)(A)、輕 (L)(B)、中(M)(C)、重(H)(D) 或 輕(L)(A)、中(M)(B)、重(H)(C) 請查軸承型錄表列全部取中預壓填入，因軸承旋轉後會產生熱量內環溫度會高於外環溫度，軸長度會膨脹使彈簧預力減小，故彈簧採用的自由長度宜長不宜短且具高壓縮行程的彈簧減少因軸溫升造成的預壓釋放。</t>
    <phoneticPr fontId="1" type="noConversion"/>
  </si>
  <si>
    <t>前軸承組預壓力</t>
    <phoneticPr fontId="1" type="noConversion"/>
  </si>
  <si>
    <t>軸承預壓縮需彈簧數量</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</si>
</sst>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76" formatCode="0_ "/>
    <numFmt numFmtId="177" formatCode="0.00_ "/>
  </numFmts>
  <fonts count="20" x14ac:knownFonts="1">
    <font>
      <sz val="12"/>
      <color theme="1"/>
      <name val="新細明體"/>
      <family val="2"/>
      <charset val="136"/>
      <scheme val="minor"/>
    </font>
    <font>
      <sz val="9"/>
      <name val="新細明體"/>
      <family val="2"/>
      <charset val="136"/>
      <scheme val="minor"/>
    </font>
    <font>
      <sz val="12"/>
      <color theme="1"/>
      <name val="新細明體"/>
      <family val="1"/>
      <charset val="136"/>
    </font>
    <font>
      <sz val="12"/>
      <color theme="1"/>
      <name val="新細明體"/>
      <family val="2"/>
      <charset val="136"/>
    </font>
    <font>
      <sz val="12"/>
      <color rgb="FFFF0000"/>
      <name val="新細明體"/>
      <family val="1"/>
      <charset val="136"/>
      <scheme val="minor"/>
    </font>
    <font>
      <sz val="12"/>
      <color theme="1"/>
      <name val="新細明體"/>
      <family val="1"/>
      <charset val="136"/>
      <scheme val="minor"/>
    </font>
    <font>
      <sz val="8"/>
      <color rgb="FF000000"/>
      <name val="Arial"/>
      <family val="2"/>
      <charset val="238"/>
    </font>
    <font>
      <sz val="9"/>
      <name val="新細明體"/>
      <family val="1"/>
      <charset val="136"/>
    </font>
    <font>
      <sz val="12"/>
      <color rgb="FFFF0000"/>
      <name val="新細明體"/>
      <family val="2"/>
      <charset val="136"/>
      <scheme val="minor"/>
    </font>
    <font>
      <sz val="12"/>
      <color rgb="FFFF0000"/>
      <name val="新細明體"/>
      <family val="1"/>
      <charset val="136"/>
    </font>
    <font>
      <sz val="12"/>
      <color theme="1"/>
      <name val="新細明體"/>
      <family val="1"/>
      <charset val="161"/>
      <scheme val="minor"/>
    </font>
    <font>
      <sz val="12"/>
      <color theme="1"/>
      <name val="Calibri"/>
      <family val="2"/>
      <charset val="161"/>
    </font>
    <font>
      <sz val="12"/>
      <color theme="1"/>
      <name val="Calibri"/>
      <family val="1"/>
      <charset val="161"/>
    </font>
    <font>
      <sz val="12"/>
      <color theme="1"/>
      <name val="細明體"/>
      <family val="1"/>
      <charset val="136"/>
    </font>
    <font>
      <sz val="12"/>
      <color theme="0"/>
      <name val="新細明體"/>
      <family val="2"/>
      <charset val="136"/>
      <scheme val="minor"/>
    </font>
    <font>
      <sz val="20"/>
      <color theme="1"/>
      <name val="標楷體"/>
      <family val="4"/>
      <charset val="136"/>
    </font>
    <font>
      <sz val="14"/>
      <color theme="1"/>
      <name val="標楷體"/>
      <family val="4"/>
      <charset val="136"/>
    </font>
    <font>
      <sz val="14"/>
      <color theme="0"/>
      <name val="標楷體"/>
      <family val="4"/>
      <charset val="136"/>
    </font>
    <font>
      <sz val="14"/>
      <color theme="1"/>
      <name val="新細明體"/>
      <family val="1"/>
      <charset val="136"/>
    </font>
    <font>
      <sz val="14"/>
      <color rgb="FFFF0000"/>
      <name val="標楷體"/>
      <family val="4"/>
      <charset val="136"/>
    </font>
  </fonts>
  <fills count="9">
    <fill>
      <patternFill patternType="none"/>
    </fill>
    <fill>
      <patternFill patternType="gray125"/>
    </fill>
    <fill>
      <patternFill patternType="solid">
        <fgColor rgb="FF00B050"/>
        <bgColor indexed="64"/>
      </patternFill>
    </fill>
    <fill>
      <patternFill patternType="solid">
        <fgColor theme="7" tint="0.39997558519241921"/>
        <bgColor indexed="64"/>
      </patternFill>
    </fill>
    <fill>
      <patternFill patternType="solid">
        <fgColor theme="7" tint="0.59999389629810485"/>
        <bgColor indexed="64"/>
      </patternFill>
    </fill>
    <fill>
      <patternFill patternType="solid">
        <fgColor theme="0"/>
        <bgColor indexed="64"/>
      </patternFill>
    </fill>
    <fill>
      <patternFill patternType="solid">
        <fgColor rgb="FFFFFF00"/>
        <bgColor indexed="64"/>
      </patternFill>
    </fill>
    <fill>
      <patternFill patternType="solid">
        <fgColor rgb="FFFFC000"/>
        <bgColor indexed="64"/>
      </patternFill>
    </fill>
    <fill>
      <patternFill patternType="solid">
        <fgColor rgb="FFFF0000"/>
        <bgColor indexed="64"/>
      </patternFill>
    </fill>
  </fills>
  <borders count="9">
    <border>
      <left/>
      <right/>
      <top/>
      <bottom/>
      <diagonal/>
    </border>
    <border>
      <left style="thick">
        <color auto="1"/>
      </left>
      <right style="thick">
        <color auto="1"/>
      </right>
      <top style="thick">
        <color auto="1"/>
      </top>
      <bottom style="thick">
        <color auto="1"/>
      </bottom>
      <diagonal/>
    </border>
    <border>
      <left style="thick">
        <color auto="1"/>
      </left>
      <right/>
      <top style="thick">
        <color auto="1"/>
      </top>
      <bottom style="thick">
        <color auto="1"/>
      </bottom>
      <diagonal/>
    </border>
    <border>
      <left/>
      <right/>
      <top style="thick">
        <color auto="1"/>
      </top>
      <bottom style="thick">
        <color auto="1"/>
      </bottom>
      <diagonal/>
    </border>
    <border>
      <left/>
      <right style="thick">
        <color auto="1"/>
      </right>
      <top style="thick">
        <color auto="1"/>
      </top>
      <bottom style="thick">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diagonal/>
    </border>
    <border>
      <left style="medium">
        <color auto="1"/>
      </left>
      <right style="medium">
        <color auto="1"/>
      </right>
      <top/>
      <bottom/>
      <diagonal/>
    </border>
    <border>
      <left style="medium">
        <color auto="1"/>
      </left>
      <right style="medium">
        <color auto="1"/>
      </right>
      <top/>
      <bottom style="medium">
        <color auto="1"/>
      </bottom>
      <diagonal/>
    </border>
  </borders>
  <cellStyleXfs count="1">
    <xf numFmtId="0" fontId="0" fillId="0" borderId="0">
      <alignment vertical="center"/>
    </xf>
  </cellStyleXfs>
  <cellXfs count="56">
    <xf numFmtId="0" fontId="0" fillId="0" borderId="0" xfId="0">
      <alignment vertical="center"/>
    </xf>
    <xf numFmtId="0" fontId="0" fillId="0" borderId="1" xfId="0" applyBorder="1">
      <alignment vertical="center"/>
    </xf>
    <xf numFmtId="0" fontId="0" fillId="0" borderId="1" xfId="0" applyBorder="1" applyAlignment="1">
      <alignment horizontal="right" vertical="center"/>
    </xf>
    <xf numFmtId="0" fontId="0" fillId="2" borderId="0" xfId="0" applyFill="1" applyProtection="1">
      <alignment vertical="center"/>
      <protection locked="0"/>
    </xf>
    <xf numFmtId="0" fontId="0" fillId="3" borderId="0" xfId="0" applyFill="1">
      <alignment vertical="center"/>
    </xf>
    <xf numFmtId="0" fontId="0" fillId="0" borderId="0" xfId="0" applyAlignment="1">
      <alignment horizontal="left" vertical="center"/>
    </xf>
    <xf numFmtId="0" fontId="0" fillId="4" borderId="0" xfId="0" applyFill="1">
      <alignment vertical="center"/>
    </xf>
    <xf numFmtId="176" fontId="0" fillId="2" borderId="0" xfId="0" applyNumberFormat="1" applyFill="1" applyProtection="1">
      <alignment vertical="center"/>
      <protection locked="0"/>
    </xf>
    <xf numFmtId="0" fontId="6" fillId="0" borderId="0" xfId="0" applyFont="1">
      <alignment vertical="center"/>
    </xf>
    <xf numFmtId="0" fontId="0" fillId="5" borderId="0" xfId="0" applyFill="1">
      <alignment vertical="center"/>
    </xf>
    <xf numFmtId="0" fontId="2" fillId="0" borderId="0" xfId="0" applyFont="1">
      <alignment vertical="center"/>
    </xf>
    <xf numFmtId="0" fontId="0" fillId="6" borderId="0" xfId="0" applyFill="1" applyProtection="1">
      <alignment vertical="center"/>
      <protection locked="0"/>
    </xf>
    <xf numFmtId="0" fontId="0" fillId="6" borderId="0" xfId="0" applyFill="1" applyProtection="1">
      <alignment vertical="center"/>
    </xf>
    <xf numFmtId="177" fontId="0" fillId="0" borderId="0" xfId="0" applyNumberFormat="1">
      <alignment vertical="center"/>
    </xf>
    <xf numFmtId="0" fontId="10" fillId="0" borderId="0" xfId="0" applyFont="1">
      <alignment vertical="center"/>
    </xf>
    <xf numFmtId="0" fontId="0" fillId="7" borderId="0" xfId="0" applyFill="1" applyProtection="1">
      <alignment vertical="center"/>
    </xf>
    <xf numFmtId="0" fontId="0" fillId="7" borderId="0" xfId="0" applyFill="1">
      <alignment vertical="center"/>
    </xf>
    <xf numFmtId="0" fontId="0" fillId="0" borderId="0" xfId="0" applyProtection="1">
      <alignment vertical="center"/>
      <protection locked="0"/>
    </xf>
    <xf numFmtId="0" fontId="12" fillId="0" borderId="0" xfId="0" applyFont="1">
      <alignment vertical="center"/>
    </xf>
    <xf numFmtId="0" fontId="8" fillId="0" borderId="0" xfId="0" applyFont="1">
      <alignment vertical="center"/>
    </xf>
    <xf numFmtId="0" fontId="13" fillId="0" borderId="0" xfId="0" applyFont="1">
      <alignment vertical="center"/>
    </xf>
    <xf numFmtId="0" fontId="0" fillId="7" borderId="0" xfId="0" applyFill="1" applyAlignment="1">
      <alignment horizontal="right" vertical="center"/>
    </xf>
    <xf numFmtId="0" fontId="16" fillId="0" borderId="5" xfId="0" applyFont="1" applyBorder="1">
      <alignment vertical="center"/>
    </xf>
    <xf numFmtId="0" fontId="15" fillId="0" borderId="0" xfId="0" applyFont="1" applyAlignment="1">
      <alignment horizontal="center" vertical="center"/>
    </xf>
    <xf numFmtId="0" fontId="18" fillId="0" borderId="5" xfId="0" applyFont="1" applyBorder="1">
      <alignment vertical="center"/>
    </xf>
    <xf numFmtId="0" fontId="16" fillId="0" borderId="5" xfId="0" applyFont="1" applyFill="1" applyBorder="1">
      <alignment vertical="center"/>
    </xf>
    <xf numFmtId="0" fontId="16" fillId="0" borderId="5" xfId="0" applyFont="1" applyFill="1" applyBorder="1" applyAlignment="1">
      <alignment vertical="center" wrapText="1"/>
    </xf>
    <xf numFmtId="0" fontId="16" fillId="0" borderId="5" xfId="0" applyFont="1" applyBorder="1" applyAlignment="1">
      <alignment horizontal="left" vertical="center"/>
    </xf>
    <xf numFmtId="0" fontId="16" fillId="2" borderId="5" xfId="0" applyFont="1" applyFill="1" applyBorder="1" applyAlignment="1" applyProtection="1">
      <alignment horizontal="right" vertical="center"/>
      <protection locked="0"/>
    </xf>
    <xf numFmtId="0" fontId="16" fillId="2" borderId="5" xfId="0" applyFont="1" applyFill="1" applyBorder="1" applyProtection="1">
      <alignment vertical="center"/>
      <protection locked="0"/>
    </xf>
    <xf numFmtId="0" fontId="0" fillId="2" borderId="5" xfId="0" applyFill="1" applyBorder="1" applyProtection="1">
      <alignment vertical="center"/>
      <protection locked="0"/>
    </xf>
    <xf numFmtId="177" fontId="0" fillId="0" borderId="0" xfId="0" applyNumberFormat="1" applyProtection="1">
      <alignment vertical="center"/>
      <protection hidden="1"/>
    </xf>
    <xf numFmtId="0" fontId="14" fillId="8" borderId="5" xfId="0" applyFont="1" applyFill="1" applyBorder="1" applyProtection="1">
      <alignment vertical="center"/>
      <protection hidden="1"/>
    </xf>
    <xf numFmtId="0" fontId="17" fillId="8" borderId="5" xfId="0" applyFont="1" applyFill="1" applyBorder="1" applyAlignment="1" applyProtection="1">
      <alignment horizontal="right" vertical="center"/>
      <protection hidden="1"/>
    </xf>
    <xf numFmtId="0" fontId="17" fillId="8" borderId="5" xfId="0" applyFont="1" applyFill="1" applyBorder="1" applyProtection="1">
      <alignment vertical="center"/>
      <protection hidden="1"/>
    </xf>
    <xf numFmtId="0" fontId="0" fillId="0" borderId="0" xfId="0" applyAlignment="1">
      <alignment horizontal="center" vertical="center"/>
    </xf>
    <xf numFmtId="0" fontId="15" fillId="0" borderId="0" xfId="0" applyFont="1" applyAlignment="1">
      <alignment horizontal="center" vertical="center"/>
    </xf>
    <xf numFmtId="0" fontId="16" fillId="6" borderId="6" xfId="0" applyFont="1" applyFill="1" applyBorder="1" applyAlignment="1">
      <alignment horizontal="left" vertical="top" wrapText="1"/>
    </xf>
    <xf numFmtId="0" fontId="16" fillId="6" borderId="7" xfId="0" applyFont="1" applyFill="1" applyBorder="1" applyAlignment="1">
      <alignment horizontal="left" vertical="top" wrapText="1"/>
    </xf>
    <xf numFmtId="0" fontId="16" fillId="6" borderId="8" xfId="0" applyFont="1" applyFill="1" applyBorder="1" applyAlignment="1">
      <alignment horizontal="left" vertical="top" wrapText="1"/>
    </xf>
    <xf numFmtId="0" fontId="0" fillId="0" borderId="1" xfId="0"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2" xfId="0" applyBorder="1" applyAlignment="1">
      <alignment horizontal="left" vertical="center" wrapText="1"/>
    </xf>
    <xf numFmtId="0" fontId="0" fillId="0" borderId="3" xfId="0" applyBorder="1" applyAlignment="1">
      <alignment horizontal="left" vertical="center" wrapText="1"/>
    </xf>
    <xf numFmtId="0" fontId="0" fillId="0" borderId="4" xfId="0" applyBorder="1" applyAlignment="1">
      <alignment horizontal="left" vertical="center" wrapText="1"/>
    </xf>
    <xf numFmtId="49" fontId="5" fillId="0" borderId="2" xfId="0" applyNumberFormat="1" applyFont="1" applyBorder="1" applyAlignment="1">
      <alignment horizontal="left" vertical="center" wrapText="1"/>
    </xf>
    <xf numFmtId="49" fontId="4" fillId="0" borderId="3" xfId="0" applyNumberFormat="1" applyFont="1" applyBorder="1" applyAlignment="1">
      <alignment horizontal="left" vertical="center" wrapText="1"/>
    </xf>
    <xf numFmtId="49" fontId="4" fillId="0" borderId="4" xfId="0" applyNumberFormat="1" applyFont="1" applyBorder="1" applyAlignment="1">
      <alignment horizontal="left" vertical="center" wrapText="1"/>
    </xf>
    <xf numFmtId="0" fontId="0" fillId="0" borderId="0" xfId="0" applyAlignment="1">
      <alignment horizontal="left" vertical="center"/>
    </xf>
    <xf numFmtId="49" fontId="0" fillId="0" borderId="2" xfId="0" applyNumberFormat="1" applyBorder="1" applyAlignment="1">
      <alignment horizontal="left" vertical="center" wrapText="1"/>
    </xf>
    <xf numFmtId="49" fontId="0" fillId="0" borderId="3" xfId="0" applyNumberFormat="1" applyBorder="1" applyAlignment="1">
      <alignment horizontal="left" vertical="center" wrapText="1"/>
    </xf>
    <xf numFmtId="49" fontId="0" fillId="0" borderId="4" xfId="0" applyNumberFormat="1" applyBorder="1" applyAlignment="1">
      <alignment horizontal="left" vertical="center" wrapText="1"/>
    </xf>
    <xf numFmtId="0" fontId="8" fillId="6" borderId="0" xfId="0" applyFont="1" applyFill="1" applyAlignment="1">
      <alignment horizontal="center" vertical="center"/>
    </xf>
    <xf numFmtId="0" fontId="4" fillId="6" borderId="0" xfId="0" applyFont="1" applyFill="1" applyAlignment="1">
      <alignment horizontal="center"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_rels/drawing2.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3.png"/><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5.png"/></Relationships>
</file>

<file path=xl/drawings/drawing1.xml><?xml version="1.0" encoding="utf-8"?>
<xdr:wsDr xmlns:xdr="http://schemas.openxmlformats.org/drawingml/2006/spreadsheetDrawing" xmlns:a="http://schemas.openxmlformats.org/drawingml/2006/main">
  <xdr:twoCellAnchor editAs="oneCell">
    <xdr:from>
      <xdr:col>5</xdr:col>
      <xdr:colOff>586740</xdr:colOff>
      <xdr:row>0</xdr:row>
      <xdr:rowOff>190500</xdr:rowOff>
    </xdr:from>
    <xdr:to>
      <xdr:col>10</xdr:col>
      <xdr:colOff>304800</xdr:colOff>
      <xdr:row>22</xdr:row>
      <xdr:rowOff>182880</xdr:rowOff>
    </xdr:to>
    <xdr:pic>
      <xdr:nvPicPr>
        <xdr:cNvPr id="2" name="圖片 1">
          <a:extLst>
            <a:ext uri="{FF2B5EF4-FFF2-40B4-BE49-F238E27FC236}">
              <a16:creationId xmlns:a16="http://schemas.microsoft.com/office/drawing/2014/main" id="{C9A41F2A-B54A-45BA-BA97-92FA6BF7622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562600" y="190500"/>
          <a:ext cx="3070860" cy="45186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11</xdr:col>
      <xdr:colOff>7620</xdr:colOff>
      <xdr:row>0</xdr:row>
      <xdr:rowOff>95250</xdr:rowOff>
    </xdr:from>
    <xdr:to>
      <xdr:col>20</xdr:col>
      <xdr:colOff>302895</xdr:colOff>
      <xdr:row>22</xdr:row>
      <xdr:rowOff>3810</xdr:rowOff>
    </xdr:to>
    <xdr:pic>
      <xdr:nvPicPr>
        <xdr:cNvPr id="7" name="圖片 6">
          <a:extLst>
            <a:ext uri="{FF2B5EF4-FFF2-40B4-BE49-F238E27FC236}">
              <a16:creationId xmlns:a16="http://schemas.microsoft.com/office/drawing/2014/main" id="{639C643E-4FE9-EA30-28EF-204C5C93DC2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0418445" y="95250"/>
          <a:ext cx="5781675" cy="457581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7620</xdr:colOff>
      <xdr:row>7</xdr:row>
      <xdr:rowOff>190500</xdr:rowOff>
    </xdr:from>
    <xdr:to>
      <xdr:col>10</xdr:col>
      <xdr:colOff>167640</xdr:colOff>
      <xdr:row>17</xdr:row>
      <xdr:rowOff>68580</xdr:rowOff>
    </xdr:to>
    <xdr:pic>
      <xdr:nvPicPr>
        <xdr:cNvPr id="8" name="圖片 7">
          <a:extLst>
            <a:ext uri="{FF2B5EF4-FFF2-40B4-BE49-F238E27FC236}">
              <a16:creationId xmlns:a16="http://schemas.microsoft.com/office/drawing/2014/main" id="{7F719ED2-6718-0BB4-FE89-C71AEF70006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042660" y="1729740"/>
          <a:ext cx="3924300" cy="19431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38100</xdr:colOff>
      <xdr:row>8</xdr:row>
      <xdr:rowOff>0</xdr:rowOff>
    </xdr:from>
    <xdr:to>
      <xdr:col>11</xdr:col>
      <xdr:colOff>15240</xdr:colOff>
      <xdr:row>20</xdr:row>
      <xdr:rowOff>15240</xdr:rowOff>
    </xdr:to>
    <xdr:sp macro="" textlink="">
      <xdr:nvSpPr>
        <xdr:cNvPr id="2049" name="AutoShape 1">
          <a:extLst>
            <a:ext uri="{FF2B5EF4-FFF2-40B4-BE49-F238E27FC236}">
              <a16:creationId xmlns:a16="http://schemas.microsoft.com/office/drawing/2014/main" id="{6CCC116E-7F02-28E7-BCC1-8219372AF07E}"/>
            </a:ext>
          </a:extLst>
        </xdr:cNvPr>
        <xdr:cNvSpPr>
          <a:spLocks noChangeAspect="1" noChangeArrowheads="1"/>
        </xdr:cNvSpPr>
      </xdr:nvSpPr>
      <xdr:spPr bwMode="auto">
        <a:xfrm>
          <a:off x="5463540" y="1752600"/>
          <a:ext cx="4960620" cy="248412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590551</xdr:colOff>
      <xdr:row>24</xdr:row>
      <xdr:rowOff>28576</xdr:rowOff>
    </xdr:from>
    <xdr:to>
      <xdr:col>23</xdr:col>
      <xdr:colOff>247651</xdr:colOff>
      <xdr:row>46</xdr:row>
      <xdr:rowOff>200366</xdr:rowOff>
    </xdr:to>
    <xdr:pic>
      <xdr:nvPicPr>
        <xdr:cNvPr id="2" name="圖片 1">
          <a:extLst>
            <a:ext uri="{FF2B5EF4-FFF2-40B4-BE49-F238E27FC236}">
              <a16:creationId xmlns:a16="http://schemas.microsoft.com/office/drawing/2014/main" id="{F7E17B87-D90A-AF9B-D1A3-024BD2F04F4F}"/>
            </a:ext>
          </a:extLst>
        </xdr:cNvPr>
        <xdr:cNvPicPr>
          <a:picLocks noChangeAspect="1"/>
        </xdr:cNvPicPr>
      </xdr:nvPicPr>
      <xdr:blipFill>
        <a:blip xmlns:r="http://schemas.openxmlformats.org/officeDocument/2006/relationships" r:embed="rId3"/>
        <a:stretch>
          <a:fillRect/>
        </a:stretch>
      </xdr:blipFill>
      <xdr:spPr>
        <a:xfrm>
          <a:off x="6019801" y="5114926"/>
          <a:ext cx="11953875" cy="478189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8</xdr:row>
      <xdr:rowOff>167640</xdr:rowOff>
    </xdr:from>
    <xdr:to>
      <xdr:col>8</xdr:col>
      <xdr:colOff>492472</xdr:colOff>
      <xdr:row>35</xdr:row>
      <xdr:rowOff>88850</xdr:rowOff>
    </xdr:to>
    <xdr:pic>
      <xdr:nvPicPr>
        <xdr:cNvPr id="2" name="圖片 1">
          <a:extLst>
            <a:ext uri="{FF2B5EF4-FFF2-40B4-BE49-F238E27FC236}">
              <a16:creationId xmlns:a16="http://schemas.microsoft.com/office/drawing/2014/main" id="{AA221499-B476-4564-B0AF-9D80488BF599}"/>
            </a:ext>
          </a:extLst>
        </xdr:cNvPr>
        <xdr:cNvPicPr>
          <a:picLocks noChangeAspect="1"/>
        </xdr:cNvPicPr>
      </xdr:nvPicPr>
      <xdr:blipFill>
        <a:blip xmlns:r="http://schemas.openxmlformats.org/officeDocument/2006/relationships" r:embed="rId1"/>
        <a:stretch>
          <a:fillRect/>
        </a:stretch>
      </xdr:blipFill>
      <xdr:spPr>
        <a:xfrm>
          <a:off x="0" y="1607820"/>
          <a:ext cx="7380952" cy="5476190"/>
        </a:xfrm>
        <a:prstGeom prst="rect">
          <a:avLst/>
        </a:prstGeom>
      </xdr:spPr>
    </xdr:pic>
    <xdr:clientData/>
  </xdr:twoCellAnchor>
</xdr:wsDr>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workbookViewId="0">
      <selection activeCell="B4" sqref="B4"/>
    </sheetView>
  </sheetViews>
  <sheetFormatPr defaultRowHeight="16.5" x14ac:dyDescent="0.25"/>
  <cols>
    <col min="1" max="1" width="17.75" bestFit="1" customWidth="1"/>
    <col min="3" max="3" width="42.625" bestFit="1" customWidth="1"/>
  </cols>
  <sheetData>
    <row r="1" spans="1:3" x14ac:dyDescent="0.25">
      <c r="A1" s="35" t="s">
        <v>23</v>
      </c>
      <c r="B1" s="35"/>
      <c r="C1" s="35"/>
    </row>
    <row r="2" spans="1:3" x14ac:dyDescent="0.25">
      <c r="A2" t="s">
        <v>47</v>
      </c>
      <c r="B2" s="3">
        <v>50</v>
      </c>
      <c r="C2" t="s">
        <v>0</v>
      </c>
    </row>
    <row r="3" spans="1:3" x14ac:dyDescent="0.25">
      <c r="A3" t="s">
        <v>46</v>
      </c>
      <c r="B3" s="3">
        <v>5</v>
      </c>
      <c r="C3" t="s">
        <v>0</v>
      </c>
    </row>
    <row r="4" spans="1:3" x14ac:dyDescent="0.25">
      <c r="A4" t="s">
        <v>45</v>
      </c>
      <c r="B4" s="3">
        <v>3</v>
      </c>
      <c r="C4" t="s">
        <v>7</v>
      </c>
    </row>
    <row r="5" spans="1:3" x14ac:dyDescent="0.25">
      <c r="A5" t="s">
        <v>3</v>
      </c>
      <c r="B5" s="3">
        <v>2000</v>
      </c>
      <c r="C5" t="s">
        <v>6</v>
      </c>
    </row>
    <row r="7" spans="1:3" x14ac:dyDescent="0.25">
      <c r="A7" t="s">
        <v>1</v>
      </c>
      <c r="B7" s="4">
        <f>(B2/B3)^B4</f>
        <v>1000</v>
      </c>
      <c r="C7" t="s">
        <v>2</v>
      </c>
    </row>
    <row r="8" spans="1:3" x14ac:dyDescent="0.25">
      <c r="A8" t="s">
        <v>4</v>
      </c>
      <c r="B8" s="4">
        <f>(B7*10^6)/(60*B5)</f>
        <v>8333.3333333333339</v>
      </c>
      <c r="C8" t="s">
        <v>5</v>
      </c>
    </row>
  </sheetData>
  <sheetProtection algorithmName="SHA-512" hashValue="8vEEapPsqlRtlV7Ko2vVAJmuan+wGWlP1twLptZWG5/RtdcR1X500Kr6PKP7RgFZOuDkvk7r/71oPfXfaruVjg==" saltValue="2JKPYBIqiqYpTdklFX00NQ==" spinCount="100000" sheet="1" objects="1" scenarios="1"/>
  <mergeCells count="1">
    <mergeCell ref="A1:C1"/>
  </mergeCells>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7"/>
  <sheetViews>
    <sheetView workbookViewId="0">
      <selection activeCell="B8" sqref="B8"/>
    </sheetView>
  </sheetViews>
  <sheetFormatPr defaultRowHeight="16.5" x14ac:dyDescent="0.25"/>
  <cols>
    <col min="1" max="1" width="34.375" bestFit="1" customWidth="1"/>
    <col min="2" max="2" width="13.375" bestFit="1" customWidth="1"/>
    <col min="3" max="3" width="7.125" bestFit="1" customWidth="1"/>
    <col min="7" max="7" width="13.375" bestFit="1" customWidth="1"/>
    <col min="14" max="14" width="13.375" bestFit="1" customWidth="1"/>
  </cols>
  <sheetData>
    <row r="1" spans="1:4" x14ac:dyDescent="0.25">
      <c r="A1" s="35" t="s">
        <v>22</v>
      </c>
      <c r="B1" s="35"/>
      <c r="C1" s="35"/>
      <c r="D1" s="35"/>
    </row>
    <row r="2" spans="1:4" x14ac:dyDescent="0.25">
      <c r="A2" t="s">
        <v>8</v>
      </c>
      <c r="B2" s="3">
        <v>2.3999999999999998E-3</v>
      </c>
      <c r="C2" t="s">
        <v>35</v>
      </c>
    </row>
    <row r="3" spans="1:4" x14ac:dyDescent="0.25">
      <c r="A3" t="s">
        <v>44</v>
      </c>
      <c r="B3" s="3">
        <v>300</v>
      </c>
      <c r="C3" t="s">
        <v>10</v>
      </c>
    </row>
    <row r="4" spans="1:4" x14ac:dyDescent="0.25">
      <c r="A4" t="s">
        <v>9</v>
      </c>
      <c r="B4" s="4">
        <f>B3*0.1</f>
        <v>30</v>
      </c>
      <c r="C4" t="s">
        <v>10</v>
      </c>
      <c r="D4" t="s">
        <v>11</v>
      </c>
    </row>
    <row r="5" spans="1:4" x14ac:dyDescent="0.25">
      <c r="A5" t="s">
        <v>51</v>
      </c>
      <c r="B5" s="3">
        <v>150</v>
      </c>
      <c r="C5" t="s">
        <v>13</v>
      </c>
    </row>
    <row r="6" spans="1:4" x14ac:dyDescent="0.25">
      <c r="A6" t="s">
        <v>12</v>
      </c>
      <c r="B6" s="3">
        <v>100</v>
      </c>
      <c r="C6" t="s">
        <v>13</v>
      </c>
    </row>
    <row r="7" spans="1:4" x14ac:dyDescent="0.25">
      <c r="A7" t="s">
        <v>14</v>
      </c>
      <c r="B7" s="3">
        <v>12000</v>
      </c>
      <c r="C7" t="s">
        <v>6</v>
      </c>
    </row>
    <row r="8" spans="1:4" x14ac:dyDescent="0.25">
      <c r="A8" t="s">
        <v>92</v>
      </c>
      <c r="B8" s="15">
        <f>(B5+B6)/2</f>
        <v>125</v>
      </c>
      <c r="C8" t="s">
        <v>13</v>
      </c>
    </row>
    <row r="9" spans="1:4" x14ac:dyDescent="0.25">
      <c r="A9" t="s">
        <v>89</v>
      </c>
      <c r="B9" s="3">
        <v>10</v>
      </c>
      <c r="C9" t="s">
        <v>90</v>
      </c>
    </row>
    <row r="10" spans="1:4" x14ac:dyDescent="0.25">
      <c r="A10" t="s">
        <v>15</v>
      </c>
      <c r="B10" s="4">
        <f>0.5*B2*B4*B6</f>
        <v>3.5999999999999996</v>
      </c>
      <c r="C10" t="s">
        <v>16</v>
      </c>
    </row>
    <row r="11" spans="1:4" x14ac:dyDescent="0.25">
      <c r="A11" t="s">
        <v>106</v>
      </c>
      <c r="B11" s="4">
        <f>1.05*(10^-4)*B10*B7/1000</f>
        <v>4.5359999999999992E-3</v>
      </c>
      <c r="C11" t="s">
        <v>100</v>
      </c>
    </row>
    <row r="13" spans="1:4" x14ac:dyDescent="0.25">
      <c r="A13" t="s">
        <v>104</v>
      </c>
      <c r="B13" s="3">
        <v>0.41</v>
      </c>
      <c r="D13" t="s">
        <v>105</v>
      </c>
    </row>
    <row r="14" spans="1:4" x14ac:dyDescent="0.25">
      <c r="A14" t="s">
        <v>93</v>
      </c>
      <c r="B14" s="16">
        <f>1/(1+(1.84*10^(1/9))*((B7*B8)^1.28)*(B9^0.64))</f>
        <v>1.1985999459258923E-9</v>
      </c>
      <c r="C14" s="14"/>
    </row>
    <row r="15" spans="1:4" x14ac:dyDescent="0.25">
      <c r="A15" t="s">
        <v>97</v>
      </c>
      <c r="B15" s="16">
        <f>(5.03*10^(-12))*(B8^1.97)*((((B4*(1.9*10^(-12))*B13)*(B8^4)*(B7^2))+1.97*B3)^0.54)</f>
        <v>1.063081166723833E-4</v>
      </c>
      <c r="C15" s="14"/>
    </row>
    <row r="16" spans="1:4" x14ac:dyDescent="0.25">
      <c r="A16" t="s">
        <v>94</v>
      </c>
      <c r="B16" s="16">
        <f>B15*(B7*B9)^0.6</f>
        <v>0.1185974010546379</v>
      </c>
      <c r="C16" t="s">
        <v>16</v>
      </c>
    </row>
    <row r="17" spans="1:7" x14ac:dyDescent="0.25">
      <c r="A17" t="s">
        <v>95</v>
      </c>
      <c r="B17" s="16">
        <f>(1.3*10^-2)*(B8^0.26)*(((B4+ G18)^(4/3))+(0.68*B3^(4/3)))</f>
        <v>38040.141544615006</v>
      </c>
      <c r="C17" s="14"/>
    </row>
    <row r="18" spans="1:7" x14ac:dyDescent="0.25">
      <c r="A18" t="s">
        <v>96</v>
      </c>
      <c r="B18" s="16">
        <f>B17*0.05</f>
        <v>1902.0070772307504</v>
      </c>
      <c r="C18" s="14" t="s">
        <v>91</v>
      </c>
      <c r="G18">
        <f>(B13*1.91*10^-12)*B8^4*B7^2</f>
        <v>27530.859374999996</v>
      </c>
    </row>
    <row r="19" spans="1:7" x14ac:dyDescent="0.25">
      <c r="A19" t="s">
        <v>98</v>
      </c>
      <c r="B19" s="16">
        <f>((1-(1/(2.718^(0.00000006*B9*B7*(B5+B6)*(4.4/(2*(B5-B6))^0.5)))))*0.05+N7*0.15)*B16*B14+B18</f>
        <v>1902.0070772307542</v>
      </c>
      <c r="C19" s="14" t="s">
        <v>16</v>
      </c>
    </row>
    <row r="20" spans="1:7" x14ac:dyDescent="0.25">
      <c r="A20" t="s">
        <v>103</v>
      </c>
      <c r="B20" s="16">
        <f>1.05*10^-4*B19*B7</f>
        <v>2396.5289173107503</v>
      </c>
      <c r="C20" t="s">
        <v>88</v>
      </c>
    </row>
    <row r="21" spans="1:7" x14ac:dyDescent="0.25">
      <c r="A21" t="s">
        <v>118</v>
      </c>
      <c r="B21" s="3">
        <v>2</v>
      </c>
    </row>
    <row r="23" spans="1:7" x14ac:dyDescent="0.25">
      <c r="A23" t="s">
        <v>86</v>
      </c>
      <c r="B23" s="17">
        <v>36</v>
      </c>
      <c r="C23" s="10" t="s">
        <v>87</v>
      </c>
    </row>
    <row r="24" spans="1:7" x14ac:dyDescent="0.25">
      <c r="A24" t="s">
        <v>101</v>
      </c>
      <c r="B24" s="16">
        <f>(B23+((B20/(1*(B5^1.25)*((0.0013*0.024)^0.33)))))*(1+B21*0.147)</f>
        <v>227.85647323320916</v>
      </c>
      <c r="C24" s="10" t="s">
        <v>87</v>
      </c>
    </row>
    <row r="25" spans="1:7" x14ac:dyDescent="0.25">
      <c r="A25" t="s">
        <v>99</v>
      </c>
      <c r="B25" s="16">
        <f>B24-B23</f>
        <v>191.85647323320916</v>
      </c>
      <c r="C25" s="10" t="s">
        <v>87</v>
      </c>
    </row>
    <row r="26" spans="1:7" x14ac:dyDescent="0.25">
      <c r="A26" t="s">
        <v>102</v>
      </c>
      <c r="B26" s="16">
        <f>(B23+((B20/(1*(B5^1.25)*((0.88*1.97)^0.33)))))*(1+B21*0.147)</f>
        <v>51.510627648116561</v>
      </c>
      <c r="C26" s="10" t="s">
        <v>87</v>
      </c>
    </row>
    <row r="27" spans="1:7" x14ac:dyDescent="0.25">
      <c r="A27" t="s">
        <v>99</v>
      </c>
      <c r="B27" s="16">
        <f>B26-B23</f>
        <v>15.510627648116561</v>
      </c>
      <c r="C27" s="10" t="s">
        <v>87</v>
      </c>
    </row>
  </sheetData>
  <sheetProtection algorithmName="SHA-512" hashValue="HzYXvQB9irluWfzOZv+50rEVfydRXojk1ehz8nelgbLfs10ZEAGzSbExgkoZu+oM3B2fd3RILOIqLURf6LbVBA==" saltValue="7Cft6GAouJNv1A1B1Aay6Q==" spinCount="100000" sheet="1" objects="1" scenarios="1"/>
  <mergeCells count="1">
    <mergeCell ref="A1:D1"/>
  </mergeCells>
  <phoneticPr fontId="1" type="noConversion"/>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0"/>
  <sheetViews>
    <sheetView workbookViewId="0">
      <selection activeCell="A19" sqref="A19"/>
    </sheetView>
  </sheetViews>
  <sheetFormatPr defaultRowHeight="16.5" x14ac:dyDescent="0.25"/>
  <cols>
    <col min="1" max="1" width="79.75" bestFit="1" customWidth="1"/>
    <col min="4" max="4" width="55.125" customWidth="1"/>
  </cols>
  <sheetData>
    <row r="1" spans="1:4" ht="27.75" x14ac:dyDescent="0.25">
      <c r="A1" s="36" t="s">
        <v>139</v>
      </c>
      <c r="B1" s="36"/>
      <c r="C1" s="36"/>
      <c r="D1" s="36"/>
    </row>
    <row r="2" spans="1:4" ht="28.5" thickBot="1" x14ac:dyDescent="0.3">
      <c r="A2" s="23" t="s">
        <v>125</v>
      </c>
      <c r="B2" s="23" t="s">
        <v>126</v>
      </c>
      <c r="C2" s="23" t="s">
        <v>127</v>
      </c>
      <c r="D2" s="23"/>
    </row>
    <row r="3" spans="1:4" ht="20.25" thickBot="1" x14ac:dyDescent="0.3">
      <c r="A3" s="27" t="s">
        <v>141</v>
      </c>
      <c r="B3" s="28">
        <v>65</v>
      </c>
      <c r="C3" s="27" t="s">
        <v>10</v>
      </c>
      <c r="D3" s="37" t="s">
        <v>142</v>
      </c>
    </row>
    <row r="4" spans="1:4" ht="20.45" customHeight="1" thickBot="1" x14ac:dyDescent="0.3">
      <c r="A4" s="22" t="s">
        <v>119</v>
      </c>
      <c r="B4" s="29">
        <v>200</v>
      </c>
      <c r="C4" s="22" t="s">
        <v>10</v>
      </c>
      <c r="D4" s="38"/>
    </row>
    <row r="5" spans="1:4" ht="20.25" thickBot="1" x14ac:dyDescent="0.3">
      <c r="A5" s="22" t="s">
        <v>123</v>
      </c>
      <c r="B5" s="29">
        <v>2</v>
      </c>
      <c r="C5" s="22" t="s">
        <v>120</v>
      </c>
      <c r="D5" s="38"/>
    </row>
    <row r="6" spans="1:4" ht="20.25" thickBot="1" x14ac:dyDescent="0.3">
      <c r="A6" s="22" t="s">
        <v>143</v>
      </c>
      <c r="B6" s="34">
        <f>B4*1.66*B5</f>
        <v>664</v>
      </c>
      <c r="C6" s="22" t="s">
        <v>10</v>
      </c>
      <c r="D6" s="38"/>
    </row>
    <row r="7" spans="1:4" ht="20.25" thickBot="1" x14ac:dyDescent="0.3">
      <c r="A7" s="22" t="s">
        <v>128</v>
      </c>
      <c r="B7" s="29">
        <v>200</v>
      </c>
      <c r="C7" s="22" t="s">
        <v>10</v>
      </c>
      <c r="D7" s="38"/>
    </row>
    <row r="8" spans="1:4" ht="20.25" thickBot="1" x14ac:dyDescent="0.3">
      <c r="A8" s="22" t="s">
        <v>121</v>
      </c>
      <c r="B8" s="29">
        <v>300</v>
      </c>
      <c r="C8" s="22" t="s">
        <v>10</v>
      </c>
      <c r="D8" s="38"/>
    </row>
    <row r="9" spans="1:4" ht="20.25" thickBot="1" x14ac:dyDescent="0.3">
      <c r="A9" s="22" t="s">
        <v>122</v>
      </c>
      <c r="B9" s="29">
        <v>2</v>
      </c>
      <c r="C9" s="22" t="s">
        <v>120</v>
      </c>
      <c r="D9" s="39"/>
    </row>
    <row r="10" spans="1:4" ht="20.45" customHeight="1" thickBot="1" x14ac:dyDescent="0.3">
      <c r="A10" s="22" t="s">
        <v>129</v>
      </c>
      <c r="B10" s="29">
        <v>444.5</v>
      </c>
      <c r="C10" s="22" t="s">
        <v>13</v>
      </c>
      <c r="D10" s="37" t="s">
        <v>140</v>
      </c>
    </row>
    <row r="11" spans="1:4" ht="20.25" thickBot="1" x14ac:dyDescent="0.3">
      <c r="A11" s="22" t="s">
        <v>130</v>
      </c>
      <c r="B11" s="29">
        <v>25</v>
      </c>
      <c r="C11" s="24" t="s">
        <v>87</v>
      </c>
      <c r="D11" s="38"/>
    </row>
    <row r="12" spans="1:4" ht="20.25" thickBot="1" x14ac:dyDescent="0.3">
      <c r="A12" s="22" t="s">
        <v>131</v>
      </c>
      <c r="B12" s="29">
        <f>B10/1000*B11*0.01</f>
        <v>0.11112500000000002</v>
      </c>
      <c r="C12" s="24" t="s">
        <v>13</v>
      </c>
      <c r="D12" s="38"/>
    </row>
    <row r="13" spans="1:4" ht="20.45" customHeight="1" thickBot="1" x14ac:dyDescent="0.3">
      <c r="A13" s="22" t="s">
        <v>137</v>
      </c>
      <c r="B13" s="34">
        <f>B6+B7</f>
        <v>864</v>
      </c>
      <c r="C13" s="22" t="s">
        <v>10</v>
      </c>
      <c r="D13" s="38"/>
    </row>
    <row r="14" spans="1:4" ht="20.25" thickBot="1" x14ac:dyDescent="0.3">
      <c r="A14" s="22" t="s">
        <v>124</v>
      </c>
      <c r="B14" s="34">
        <f>B8*1.66*B9</f>
        <v>996</v>
      </c>
      <c r="C14" s="22" t="s">
        <v>10</v>
      </c>
      <c r="D14" s="38"/>
    </row>
    <row r="15" spans="1:4" ht="20.25" thickBot="1" x14ac:dyDescent="0.3">
      <c r="A15" s="22" t="s">
        <v>136</v>
      </c>
      <c r="B15" s="33">
        <f>IF(B14&gt;=B13,B13,"NG")</f>
        <v>864</v>
      </c>
      <c r="C15" s="22" t="s">
        <v>10</v>
      </c>
      <c r="D15" s="38"/>
    </row>
    <row r="16" spans="1:4" ht="20.25" thickBot="1" x14ac:dyDescent="0.3">
      <c r="A16" s="25" t="s">
        <v>133</v>
      </c>
      <c r="B16" s="30">
        <v>7.8</v>
      </c>
      <c r="C16" s="25" t="s">
        <v>132</v>
      </c>
      <c r="D16" s="38"/>
    </row>
    <row r="17" spans="1:8" ht="20.25" thickBot="1" x14ac:dyDescent="0.3">
      <c r="A17" s="25" t="s">
        <v>134</v>
      </c>
      <c r="B17" s="30">
        <v>10</v>
      </c>
      <c r="C17" s="25" t="s">
        <v>13</v>
      </c>
      <c r="D17" s="38"/>
    </row>
    <row r="18" spans="1:8" ht="20.25" thickBot="1" x14ac:dyDescent="0.3">
      <c r="A18" s="25" t="s">
        <v>144</v>
      </c>
      <c r="B18" s="32">
        <f>B13/(B16*B17)</f>
        <v>11.076923076923077</v>
      </c>
      <c r="C18" s="25" t="s">
        <v>120</v>
      </c>
      <c r="D18" s="38"/>
      <c r="H18" s="31"/>
    </row>
    <row r="19" spans="1:8" ht="20.25" thickBot="1" x14ac:dyDescent="0.3">
      <c r="A19" s="25" t="s">
        <v>135</v>
      </c>
      <c r="B19" s="32">
        <f>B16*B12*B18</f>
        <v>9.6012000000000004</v>
      </c>
      <c r="C19" s="25" t="s">
        <v>10</v>
      </c>
      <c r="D19" s="38"/>
    </row>
    <row r="20" spans="1:8" ht="39.75" thickBot="1" x14ac:dyDescent="0.3">
      <c r="A20" s="26" t="s">
        <v>138</v>
      </c>
      <c r="B20" s="32">
        <f>((B4*B5*1.66)-(B3*B5*1.66)-B7-B19)*0.7</f>
        <v>167.01916000000003</v>
      </c>
      <c r="C20" s="25" t="s">
        <v>10</v>
      </c>
      <c r="D20" s="39"/>
    </row>
  </sheetData>
  <sheetProtection algorithmName="SHA-512" hashValue="ojCsExPaadgucGU5eAAsS6qIjw2fjZBCu8mpJ40U8sYl6HoFPt3jkxZT4SGCfkaIsxwrRLaIQD1XvdBJ8SAmqg==" saltValue="ZNEgkqNC+9zq/XVO0tbYJA==" spinCount="100000" sheet="1" objects="1" scenarios="1"/>
  <mergeCells count="3">
    <mergeCell ref="A1:D1"/>
    <mergeCell ref="D3:D9"/>
    <mergeCell ref="D10:D20"/>
  </mergeCells>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6"/>
  <sheetViews>
    <sheetView tabSelected="1" zoomScale="80" zoomScaleNormal="80" workbookViewId="0">
      <selection activeCell="Z27" sqref="Z27"/>
    </sheetView>
  </sheetViews>
  <sheetFormatPr defaultRowHeight="16.5" x14ac:dyDescent="0.25"/>
  <cols>
    <col min="1" max="1" width="49.125" bestFit="1" customWidth="1"/>
    <col min="2" max="2" width="9.625" bestFit="1" customWidth="1"/>
    <col min="3" max="3" width="20.375" bestFit="1" customWidth="1"/>
    <col min="5" max="5" width="10.5" bestFit="1" customWidth="1"/>
  </cols>
  <sheetData>
    <row r="1" spans="1:9" ht="17.25" thickBot="1" x14ac:dyDescent="0.3">
      <c r="A1" t="s">
        <v>21</v>
      </c>
    </row>
    <row r="2" spans="1:9" ht="18" thickTop="1" thickBot="1" x14ac:dyDescent="0.3">
      <c r="A2" t="s">
        <v>24</v>
      </c>
      <c r="B2" s="3">
        <v>110</v>
      </c>
      <c r="C2" t="s">
        <v>32</v>
      </c>
      <c r="E2" s="2" t="s">
        <v>26</v>
      </c>
      <c r="F2" s="40" t="s">
        <v>31</v>
      </c>
      <c r="G2" s="40"/>
      <c r="H2" s="40"/>
      <c r="I2" s="40"/>
    </row>
    <row r="3" spans="1:9" ht="18" thickTop="1" thickBot="1" x14ac:dyDescent="0.3">
      <c r="A3" t="s">
        <v>17</v>
      </c>
      <c r="B3" s="3">
        <v>123</v>
      </c>
      <c r="C3" t="s">
        <v>33</v>
      </c>
      <c r="E3" s="2" t="s">
        <v>19</v>
      </c>
      <c r="F3" s="2" t="s">
        <v>27</v>
      </c>
      <c r="G3" s="2" t="s">
        <v>28</v>
      </c>
      <c r="H3" s="2" t="s">
        <v>29</v>
      </c>
      <c r="I3" s="2" t="s">
        <v>30</v>
      </c>
    </row>
    <row r="4" spans="1:9" ht="18" thickTop="1" thickBot="1" x14ac:dyDescent="0.3">
      <c r="A4" t="s">
        <v>26</v>
      </c>
      <c r="B4" s="3">
        <v>6</v>
      </c>
      <c r="C4" t="s">
        <v>35</v>
      </c>
      <c r="E4" s="2">
        <v>15</v>
      </c>
      <c r="F4" s="2">
        <v>6.5</v>
      </c>
      <c r="G4" s="2">
        <v>6</v>
      </c>
      <c r="H4" s="2">
        <v>5</v>
      </c>
      <c r="I4" s="2">
        <v>4.5</v>
      </c>
    </row>
    <row r="5" spans="1:9" ht="18" thickTop="1" thickBot="1" x14ac:dyDescent="0.3">
      <c r="A5" t="s">
        <v>18</v>
      </c>
      <c r="B5" s="4">
        <f>B4*B3</f>
        <v>738</v>
      </c>
      <c r="C5" t="s">
        <v>20</v>
      </c>
      <c r="E5" s="1">
        <v>18</v>
      </c>
      <c r="F5" s="40">
        <v>4.5</v>
      </c>
      <c r="G5" s="40"/>
      <c r="H5" s="40"/>
      <c r="I5" s="40"/>
    </row>
    <row r="6" spans="1:9" ht="18" thickTop="1" thickBot="1" x14ac:dyDescent="0.3">
      <c r="A6" t="s">
        <v>36</v>
      </c>
      <c r="B6" s="3">
        <v>15000</v>
      </c>
      <c r="C6" t="s">
        <v>38</v>
      </c>
      <c r="E6" s="1">
        <v>25</v>
      </c>
      <c r="F6" s="40">
        <v>2</v>
      </c>
      <c r="G6" s="40"/>
      <c r="H6" s="40"/>
      <c r="I6" s="40"/>
    </row>
    <row r="7" spans="1:9" ht="18" thickTop="1" thickBot="1" x14ac:dyDescent="0.3">
      <c r="A7" t="s">
        <v>40</v>
      </c>
      <c r="B7" s="3">
        <v>0.8</v>
      </c>
      <c r="C7" t="s">
        <v>35</v>
      </c>
      <c r="E7" s="1">
        <v>30</v>
      </c>
      <c r="F7" s="41">
        <v>1.4</v>
      </c>
      <c r="G7" s="42"/>
      <c r="H7" s="42"/>
      <c r="I7" s="43"/>
    </row>
    <row r="8" spans="1:9" ht="17.25" thickTop="1" x14ac:dyDescent="0.25">
      <c r="A8" t="s">
        <v>41</v>
      </c>
      <c r="B8" s="4">
        <f>B6*B7</f>
        <v>12000</v>
      </c>
      <c r="C8" t="s">
        <v>37</v>
      </c>
    </row>
    <row r="10" spans="1:9" x14ac:dyDescent="0.25">
      <c r="A10" t="s">
        <v>25</v>
      </c>
      <c r="B10" s="4">
        <f>1.36*B2</f>
        <v>149.60000000000002</v>
      </c>
      <c r="C10" t="s">
        <v>10</v>
      </c>
    </row>
    <row r="11" spans="1:9" x14ac:dyDescent="0.25">
      <c r="A11" t="s">
        <v>17</v>
      </c>
      <c r="B11" s="4">
        <f>1.48*B3</f>
        <v>182.04</v>
      </c>
      <c r="C11" t="s">
        <v>20</v>
      </c>
    </row>
    <row r="12" spans="1:9" x14ac:dyDescent="0.25">
      <c r="A12" t="s">
        <v>18</v>
      </c>
      <c r="B12" s="4">
        <f>B5*1.54</f>
        <v>1136.52</v>
      </c>
      <c r="C12" t="s">
        <v>20</v>
      </c>
    </row>
    <row r="13" spans="1:9" x14ac:dyDescent="0.25">
      <c r="A13" t="s">
        <v>40</v>
      </c>
      <c r="B13" s="3">
        <v>0.6</v>
      </c>
      <c r="C13" t="s">
        <v>34</v>
      </c>
    </row>
    <row r="14" spans="1:9" x14ac:dyDescent="0.25">
      <c r="A14" t="s">
        <v>43</v>
      </c>
      <c r="B14" s="4">
        <f>B6*B13</f>
        <v>9000</v>
      </c>
      <c r="C14" t="s">
        <v>37</v>
      </c>
    </row>
    <row r="16" spans="1:9" x14ac:dyDescent="0.25">
      <c r="A16" t="s">
        <v>42</v>
      </c>
      <c r="B16" s="4">
        <f>2*B2</f>
        <v>220</v>
      </c>
      <c r="C16" t="s">
        <v>10</v>
      </c>
    </row>
    <row r="17" spans="1:3" x14ac:dyDescent="0.25">
      <c r="A17" t="s">
        <v>17</v>
      </c>
      <c r="B17" s="4">
        <f>2*B3</f>
        <v>246</v>
      </c>
      <c r="C17" t="s">
        <v>20</v>
      </c>
    </row>
    <row r="18" spans="1:3" x14ac:dyDescent="0.25">
      <c r="A18" t="s">
        <v>18</v>
      </c>
      <c r="B18" s="4">
        <f>B5*2</f>
        <v>1476</v>
      </c>
      <c r="C18" t="s">
        <v>20</v>
      </c>
    </row>
    <row r="19" spans="1:3" x14ac:dyDescent="0.25">
      <c r="A19" t="s">
        <v>39</v>
      </c>
      <c r="B19" s="3">
        <v>0.62</v>
      </c>
      <c r="C19" t="s">
        <v>34</v>
      </c>
    </row>
    <row r="20" spans="1:3" x14ac:dyDescent="0.25">
      <c r="A20" t="s">
        <v>43</v>
      </c>
      <c r="B20" s="4">
        <f>B6*B19</f>
        <v>9300</v>
      </c>
      <c r="C20" t="s">
        <v>37</v>
      </c>
    </row>
    <row r="22" spans="1:3" x14ac:dyDescent="0.25">
      <c r="A22" t="s">
        <v>48</v>
      </c>
      <c r="B22" s="4">
        <f>2.3*B2</f>
        <v>252.99999999999997</v>
      </c>
      <c r="C22" t="s">
        <v>10</v>
      </c>
    </row>
    <row r="23" spans="1:3" x14ac:dyDescent="0.25">
      <c r="A23" t="s">
        <v>17</v>
      </c>
      <c r="B23" s="4">
        <f>2.64*B3</f>
        <v>324.72000000000003</v>
      </c>
      <c r="C23" t="s">
        <v>20</v>
      </c>
    </row>
    <row r="24" spans="1:3" x14ac:dyDescent="0.25">
      <c r="A24" t="s">
        <v>18</v>
      </c>
      <c r="B24" s="4">
        <f>B5*2.64</f>
        <v>1948.3200000000002</v>
      </c>
      <c r="C24" t="s">
        <v>20</v>
      </c>
    </row>
    <row r="25" spans="1:3" x14ac:dyDescent="0.25">
      <c r="A25" t="s">
        <v>39</v>
      </c>
      <c r="B25" s="3">
        <v>0.55000000000000004</v>
      </c>
      <c r="C25" t="s">
        <v>34</v>
      </c>
    </row>
    <row r="26" spans="1:3" x14ac:dyDescent="0.25">
      <c r="A26" t="s">
        <v>43</v>
      </c>
      <c r="B26" s="4">
        <f>B6*B25</f>
        <v>8250</v>
      </c>
      <c r="C26" t="s">
        <v>37</v>
      </c>
    </row>
  </sheetData>
  <mergeCells count="4">
    <mergeCell ref="F5:I5"/>
    <mergeCell ref="F6:I6"/>
    <mergeCell ref="F2:I2"/>
    <mergeCell ref="F7:I7"/>
  </mergeCells>
  <phoneticPr fontId="1" type="noConversion"/>
  <pageMargins left="0.7" right="0.7" top="0.75" bottom="0.75" header="0.3" footer="0.3"/>
  <pageSetup paperSize="9"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2"/>
  <sheetViews>
    <sheetView workbookViewId="0">
      <selection activeCell="B18" sqref="B18"/>
    </sheetView>
  </sheetViews>
  <sheetFormatPr defaultRowHeight="16.5" x14ac:dyDescent="0.25"/>
  <cols>
    <col min="1" max="1" width="20.25" bestFit="1" customWidth="1"/>
    <col min="2" max="2" width="13.375" bestFit="1" customWidth="1"/>
    <col min="5" max="5" width="129.125" bestFit="1" customWidth="1"/>
  </cols>
  <sheetData>
    <row r="1" spans="1:7" x14ac:dyDescent="0.25">
      <c r="A1" s="50" t="s">
        <v>49</v>
      </c>
      <c r="B1" s="50"/>
      <c r="C1" s="50"/>
      <c r="D1" s="50"/>
      <c r="E1" s="50"/>
      <c r="F1" s="50"/>
      <c r="G1" s="50"/>
    </row>
    <row r="3" spans="1:7" x14ac:dyDescent="0.25">
      <c r="A3" t="s">
        <v>50</v>
      </c>
    </row>
    <row r="4" spans="1:7" x14ac:dyDescent="0.25">
      <c r="A4" t="s">
        <v>51</v>
      </c>
      <c r="B4" s="3">
        <v>110</v>
      </c>
      <c r="C4" t="s">
        <v>13</v>
      </c>
    </row>
    <row r="5" spans="1:7" x14ac:dyDescent="0.25">
      <c r="A5" t="s">
        <v>12</v>
      </c>
      <c r="B5" s="3">
        <v>70</v>
      </c>
      <c r="C5" t="s">
        <v>13</v>
      </c>
    </row>
    <row r="6" spans="1:7" x14ac:dyDescent="0.25">
      <c r="A6" t="s">
        <v>52</v>
      </c>
      <c r="B6" s="6">
        <f>1.3*((B4+B5)/2)</f>
        <v>117</v>
      </c>
      <c r="C6" t="s">
        <v>53</v>
      </c>
    </row>
    <row r="7" spans="1:7" x14ac:dyDescent="0.25">
      <c r="B7" s="6">
        <f>B6/60/1000</f>
        <v>1.9499999999999999E-3</v>
      </c>
      <c r="C7" t="s">
        <v>54</v>
      </c>
    </row>
    <row r="9" spans="1:7" x14ac:dyDescent="0.25">
      <c r="A9" t="s">
        <v>55</v>
      </c>
    </row>
    <row r="10" spans="1:7" x14ac:dyDescent="0.25">
      <c r="A10" t="s">
        <v>51</v>
      </c>
      <c r="B10" s="7">
        <v>70</v>
      </c>
      <c r="C10" t="s">
        <v>13</v>
      </c>
    </row>
    <row r="11" spans="1:7" x14ac:dyDescent="0.25">
      <c r="A11" t="s">
        <v>12</v>
      </c>
      <c r="B11" s="7">
        <v>45</v>
      </c>
      <c r="C11" t="s">
        <v>13</v>
      </c>
    </row>
    <row r="12" spans="1:7" x14ac:dyDescent="0.25">
      <c r="A12" t="s">
        <v>56</v>
      </c>
      <c r="B12" s="7">
        <v>16</v>
      </c>
      <c r="C12" t="s">
        <v>13</v>
      </c>
    </row>
    <row r="13" spans="1:7" x14ac:dyDescent="0.25">
      <c r="A13" t="s">
        <v>57</v>
      </c>
      <c r="B13" s="7">
        <v>2</v>
      </c>
      <c r="C13" s="35" t="s">
        <v>58</v>
      </c>
      <c r="D13" s="35"/>
      <c r="E13" s="35"/>
      <c r="F13" s="35"/>
      <c r="G13" s="35"/>
    </row>
    <row r="14" spans="1:7" x14ac:dyDescent="0.25">
      <c r="A14" t="s">
        <v>52</v>
      </c>
      <c r="B14" s="6">
        <f>(B13*B12*B11)/100</f>
        <v>14.4</v>
      </c>
      <c r="C14" t="s">
        <v>53</v>
      </c>
    </row>
    <row r="15" spans="1:7" x14ac:dyDescent="0.25">
      <c r="B15" s="6">
        <f>B14/60/1000</f>
        <v>2.4000000000000001E-4</v>
      </c>
      <c r="C15" t="s">
        <v>54</v>
      </c>
    </row>
    <row r="16" spans="1:7" x14ac:dyDescent="0.25">
      <c r="B16" s="9"/>
    </row>
    <row r="17" spans="1:9" x14ac:dyDescent="0.25">
      <c r="A17" t="s">
        <v>64</v>
      </c>
      <c r="B17" s="11">
        <v>12</v>
      </c>
      <c r="C17" t="s">
        <v>65</v>
      </c>
    </row>
    <row r="18" spans="1:9" x14ac:dyDescent="0.25">
      <c r="A18" t="s">
        <v>73</v>
      </c>
      <c r="B18" s="11">
        <v>1</v>
      </c>
      <c r="C18" t="s">
        <v>62</v>
      </c>
    </row>
    <row r="19" spans="1:9" x14ac:dyDescent="0.25">
      <c r="A19" t="s">
        <v>72</v>
      </c>
      <c r="B19" s="12">
        <f>(B18/1000)^2*3.14159/4</f>
        <v>7.8539749999999996E-7</v>
      </c>
      <c r="C19" s="10" t="s">
        <v>66</v>
      </c>
    </row>
    <row r="20" spans="1:9" x14ac:dyDescent="0.25">
      <c r="A20" t="s">
        <v>67</v>
      </c>
      <c r="B20" s="11">
        <v>4</v>
      </c>
      <c r="C20" t="s">
        <v>68</v>
      </c>
      <c r="E20" t="s">
        <v>75</v>
      </c>
    </row>
    <row r="21" spans="1:9" x14ac:dyDescent="0.25">
      <c r="A21" t="s">
        <v>69</v>
      </c>
      <c r="B21" s="11">
        <v>35</v>
      </c>
      <c r="C21" t="s">
        <v>70</v>
      </c>
    </row>
    <row r="22" spans="1:9" x14ac:dyDescent="0.25">
      <c r="A22" t="s">
        <v>63</v>
      </c>
      <c r="B22" s="13">
        <f>(B17/(B19*3600))*(1.033/(B20+1.033))*((B21+273)/273)</f>
        <v>982.76728581322493</v>
      </c>
      <c r="C22" t="s">
        <v>71</v>
      </c>
      <c r="E22" t="s">
        <v>76</v>
      </c>
    </row>
    <row r="25" spans="1:9" ht="17.25" thickBot="1" x14ac:dyDescent="0.3"/>
    <row r="26" spans="1:9" ht="137.44999999999999" customHeight="1" thickTop="1" thickBot="1" x14ac:dyDescent="0.3">
      <c r="A26" s="47" t="s">
        <v>74</v>
      </c>
      <c r="B26" s="48"/>
      <c r="C26" s="48"/>
      <c r="D26" s="48"/>
      <c r="E26" s="48"/>
      <c r="F26" s="48"/>
      <c r="G26" s="49"/>
      <c r="I26" s="8"/>
    </row>
    <row r="27" spans="1:9" ht="47.45" customHeight="1" thickTop="1" thickBot="1" x14ac:dyDescent="0.3">
      <c r="A27" s="51" t="s">
        <v>60</v>
      </c>
      <c r="B27" s="52"/>
      <c r="C27" s="52"/>
      <c r="D27" s="52"/>
      <c r="E27" s="52"/>
      <c r="F27" s="52"/>
      <c r="G27" s="53"/>
    </row>
    <row r="28" spans="1:9" ht="49.9" customHeight="1" thickTop="1" thickBot="1" x14ac:dyDescent="0.3">
      <c r="A28" s="51" t="s">
        <v>59</v>
      </c>
      <c r="B28" s="52"/>
      <c r="C28" s="52"/>
      <c r="D28" s="52"/>
      <c r="E28" s="52"/>
      <c r="F28" s="52"/>
      <c r="G28" s="53"/>
    </row>
    <row r="29" spans="1:9" ht="46.9" customHeight="1" thickTop="1" thickBot="1" x14ac:dyDescent="0.3">
      <c r="A29" s="44" t="s">
        <v>61</v>
      </c>
      <c r="B29" s="45"/>
      <c r="C29" s="45"/>
      <c r="D29" s="45"/>
      <c r="E29" s="45"/>
      <c r="F29" s="45"/>
      <c r="G29" s="46"/>
    </row>
    <row r="30" spans="1:9" ht="17.25" thickTop="1" x14ac:dyDescent="0.25"/>
    <row r="32" spans="1:9" x14ac:dyDescent="0.25">
      <c r="G32" s="5"/>
    </row>
  </sheetData>
  <sheetProtection password="CC71" sheet="1" objects="1" scenarios="1"/>
  <mergeCells count="6">
    <mergeCell ref="A29:G29"/>
    <mergeCell ref="A26:G26"/>
    <mergeCell ref="C13:G13"/>
    <mergeCell ref="A1:G1"/>
    <mergeCell ref="A27:G27"/>
    <mergeCell ref="A28:G28"/>
  </mergeCells>
  <phoneticPr fontId="1"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workbookViewId="0">
      <selection activeCell="B6" sqref="B6"/>
    </sheetView>
  </sheetViews>
  <sheetFormatPr defaultRowHeight="16.5" x14ac:dyDescent="0.25"/>
  <cols>
    <col min="1" max="1" width="35.875" bestFit="1" customWidth="1"/>
    <col min="2" max="2" width="10.375" bestFit="1" customWidth="1"/>
    <col min="4" max="4" width="55" bestFit="1" customWidth="1"/>
  </cols>
  <sheetData>
    <row r="1" spans="1:4" x14ac:dyDescent="0.25">
      <c r="A1" s="35" t="s">
        <v>112</v>
      </c>
      <c r="B1" s="35"/>
      <c r="C1" s="35"/>
    </row>
    <row r="2" spans="1:4" x14ac:dyDescent="0.25">
      <c r="A2" t="s">
        <v>51</v>
      </c>
      <c r="B2" s="3">
        <v>140</v>
      </c>
      <c r="C2" t="s">
        <v>13</v>
      </c>
    </row>
    <row r="3" spans="1:4" x14ac:dyDescent="0.25">
      <c r="A3" t="s">
        <v>12</v>
      </c>
      <c r="B3" s="3">
        <v>100</v>
      </c>
      <c r="C3" t="s">
        <v>13</v>
      </c>
    </row>
    <row r="4" spans="1:4" x14ac:dyDescent="0.25">
      <c r="A4" t="s">
        <v>115</v>
      </c>
      <c r="B4" s="3">
        <v>5600</v>
      </c>
      <c r="C4" t="s">
        <v>6</v>
      </c>
    </row>
    <row r="5" spans="1:4" x14ac:dyDescent="0.25">
      <c r="A5" t="s">
        <v>107</v>
      </c>
      <c r="B5" s="3">
        <v>5600</v>
      </c>
      <c r="C5" t="s">
        <v>6</v>
      </c>
    </row>
    <row r="6" spans="1:4" x14ac:dyDescent="0.25">
      <c r="A6" t="s">
        <v>108</v>
      </c>
      <c r="B6" s="16">
        <f>(B2+B3)/2*B5</f>
        <v>672000</v>
      </c>
    </row>
    <row r="8" spans="1:4" x14ac:dyDescent="0.25">
      <c r="A8" t="s">
        <v>109</v>
      </c>
      <c r="B8" s="21" t="str" cm="1">
        <f t="array" ref="B8">_xlfn.IFS(B6&lt;1000000,"2~3",B6&gt;1000000,"0~2")</f>
        <v>2~3</v>
      </c>
      <c r="C8" s="18" t="s">
        <v>110</v>
      </c>
    </row>
    <row r="9" spans="1:4" x14ac:dyDescent="0.25">
      <c r="A9" t="s">
        <v>117</v>
      </c>
      <c r="B9" s="21">
        <f>B4*0.85</f>
        <v>4760</v>
      </c>
      <c r="C9" s="20" t="s">
        <v>6</v>
      </c>
    </row>
    <row r="10" spans="1:4" x14ac:dyDescent="0.25">
      <c r="A10" t="s">
        <v>116</v>
      </c>
      <c r="B10" s="16" t="s">
        <v>111</v>
      </c>
      <c r="C10" s="18" t="s">
        <v>110</v>
      </c>
      <c r="D10" t="s">
        <v>113</v>
      </c>
    </row>
    <row r="11" spans="1:4" x14ac:dyDescent="0.25">
      <c r="A11" s="19" t="s">
        <v>114</v>
      </c>
    </row>
  </sheetData>
  <sheetProtection algorithmName="SHA-512" hashValue="MQau7S6nytaPuiv/2Li51NQ+qsN4PmpqG4f+zT/bJSSzm/H05xjUAlCmLWSg/TBobQbpaHDeveHd1OWsh8FMoQ==" saltValue="ev+DquAjQDSQkv7VxKlv5w==" spinCount="100000" sheet="1" objects="1" scenarios="1"/>
  <mergeCells count="1">
    <mergeCell ref="A1:C1"/>
  </mergeCells>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7"/>
  <sheetViews>
    <sheetView workbookViewId="0">
      <selection activeCell="B7" sqref="B7"/>
    </sheetView>
  </sheetViews>
  <sheetFormatPr defaultRowHeight="16.5" x14ac:dyDescent="0.25"/>
  <cols>
    <col min="1" max="1" width="39.75" bestFit="1" customWidth="1"/>
    <col min="4" max="4" width="7.375" bestFit="1" customWidth="1"/>
    <col min="10" max="10" width="42.25" bestFit="1" customWidth="1"/>
  </cols>
  <sheetData>
    <row r="1" spans="1:14" x14ac:dyDescent="0.25">
      <c r="A1" t="s">
        <v>82</v>
      </c>
    </row>
    <row r="2" spans="1:14" x14ac:dyDescent="0.25">
      <c r="A2" s="54" t="s">
        <v>83</v>
      </c>
      <c r="B2" s="55"/>
      <c r="C2" s="55"/>
      <c r="D2" s="55"/>
      <c r="E2" s="55"/>
      <c r="F2" s="55"/>
      <c r="J2" s="55" t="s">
        <v>85</v>
      </c>
      <c r="K2" s="55"/>
      <c r="L2" s="55"/>
      <c r="M2" s="55"/>
      <c r="N2" s="55"/>
    </row>
    <row r="3" spans="1:14" x14ac:dyDescent="0.25">
      <c r="A3" t="s">
        <v>80</v>
      </c>
      <c r="B3" s="6">
        <f>B4*0.0005</f>
        <v>0.64500000000000002</v>
      </c>
      <c r="C3" t="s">
        <v>77</v>
      </c>
      <c r="J3" t="s">
        <v>80</v>
      </c>
      <c r="K3" s="3">
        <v>1</v>
      </c>
      <c r="L3" t="s">
        <v>77</v>
      </c>
    </row>
    <row r="4" spans="1:14" x14ac:dyDescent="0.25">
      <c r="A4" t="s">
        <v>81</v>
      </c>
      <c r="B4" s="3">
        <v>1290</v>
      </c>
      <c r="C4" t="s">
        <v>77</v>
      </c>
      <c r="D4" t="s">
        <v>79</v>
      </c>
      <c r="J4" t="s">
        <v>81</v>
      </c>
      <c r="K4" s="3">
        <v>1290</v>
      </c>
      <c r="L4" t="s">
        <v>77</v>
      </c>
      <c r="M4" t="s">
        <v>79</v>
      </c>
    </row>
    <row r="5" spans="1:14" x14ac:dyDescent="0.25">
      <c r="A5" t="s">
        <v>78</v>
      </c>
      <c r="B5" s="3">
        <v>0.16</v>
      </c>
      <c r="D5" t="s">
        <v>79</v>
      </c>
      <c r="J5" t="s">
        <v>78</v>
      </c>
      <c r="K5" s="3">
        <v>0.16</v>
      </c>
      <c r="M5" t="s">
        <v>79</v>
      </c>
    </row>
    <row r="6" spans="1:14" x14ac:dyDescent="0.25">
      <c r="A6" t="s">
        <v>3</v>
      </c>
      <c r="B6" s="3">
        <v>3000</v>
      </c>
      <c r="C6" t="s">
        <v>6</v>
      </c>
      <c r="J6" t="s">
        <v>3</v>
      </c>
      <c r="K6" s="3">
        <v>2500</v>
      </c>
      <c r="L6" t="s">
        <v>6</v>
      </c>
    </row>
    <row r="7" spans="1:14" x14ac:dyDescent="0.25">
      <c r="A7" t="s">
        <v>84</v>
      </c>
      <c r="B7" s="6">
        <f>B3+(B5*((B6/1000)^2))</f>
        <v>2.085</v>
      </c>
      <c r="C7" t="s">
        <v>77</v>
      </c>
      <c r="J7" t="s">
        <v>84</v>
      </c>
      <c r="K7" s="6">
        <f>(1.8*K3)+(K5*((K6/1000)^2))</f>
        <v>2.8</v>
      </c>
      <c r="L7" t="s">
        <v>77</v>
      </c>
    </row>
  </sheetData>
  <sheetProtection algorithmName="SHA-512" hashValue="172SBg/AbEPBsdkRSNXdf6FN/qgbdVGoX6D6KlPc9EFL5rRvkOIC/fZmkSfZStLpICLpJuwaiQm870iAnVM7qA==" saltValue="l5LEApGd/CTyBMxkhtBqxw==" spinCount="100000" sheet="1" objects="1" scenarios="1"/>
  <mergeCells count="2">
    <mergeCell ref="A2:F2"/>
    <mergeCell ref="J2:N2"/>
  </mergeCells>
  <phoneticPr fontId="1" type="noConversion"/>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7</vt:i4>
      </vt:variant>
    </vt:vector>
  </HeadingPairs>
  <TitlesOfParts>
    <vt:vector size="7" baseType="lpstr">
      <vt:lpstr>軸承壽命估算</vt:lpstr>
      <vt:lpstr>軸承溫升估算</vt:lpstr>
      <vt:lpstr>斜角滾珠軸承彈簧預壓力估算</vt:lpstr>
      <vt:lpstr>斜角滾珠軸承剛性轉速估算</vt:lpstr>
      <vt:lpstr>油氣潤滑量</vt:lpstr>
      <vt:lpstr>NN30 &amp;N10 軸承預壓與轉速估算 </vt:lpstr>
      <vt:lpstr>球面滾子推力軸承計算預壓</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dc:creator>
  <cp:lastModifiedBy>廖美惠</cp:lastModifiedBy>
  <dcterms:created xsi:type="dcterms:W3CDTF">2021-01-28T03:43:37Z</dcterms:created>
  <dcterms:modified xsi:type="dcterms:W3CDTF">2022-11-09T09:05:00Z</dcterms:modified>
</cp:coreProperties>
</file>