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code\"/>
    </mc:Choice>
  </mc:AlternateContent>
  <xr:revisionPtr revIDLastSave="0" documentId="13_ncr:1_{8DCA2B06-56C7-4CF5-B3BE-CDA3596691DB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  <sheet name="浮态计算" sheetId="5" r:id="rId5"/>
  </sheets>
  <calcPr calcId="191029"/>
</workbook>
</file>

<file path=xl/calcChain.xml><?xml version="1.0" encoding="utf-8"?>
<calcChain xmlns="http://schemas.openxmlformats.org/spreadsheetml/2006/main">
  <c r="E27" i="5" l="1"/>
  <c r="F27" i="5"/>
  <c r="G27" i="5"/>
  <c r="D27" i="5"/>
  <c r="E26" i="5"/>
  <c r="F26" i="5"/>
  <c r="G26" i="5"/>
  <c r="D26" i="5"/>
  <c r="D25" i="5"/>
  <c r="E25" i="5"/>
  <c r="F25" i="5"/>
  <c r="G25" i="5"/>
  <c r="G7" i="5"/>
  <c r="G9" i="5" s="1"/>
  <c r="F7" i="5"/>
  <c r="F9" i="5" s="1"/>
  <c r="E7" i="5"/>
  <c r="E9" i="5" s="1"/>
  <c r="E10" i="5" s="1"/>
  <c r="D7" i="5"/>
  <c r="D9" i="5" s="1"/>
  <c r="D10" i="5" s="1"/>
  <c r="G5" i="5"/>
  <c r="G12" i="5" s="1"/>
  <c r="F5" i="5"/>
  <c r="F12" i="5" s="1"/>
  <c r="E5" i="5"/>
  <c r="E12" i="5" s="1"/>
  <c r="D5" i="5"/>
  <c r="D12" i="5" s="1"/>
  <c r="D3" i="5"/>
  <c r="D29" i="5" s="1"/>
  <c r="E3" i="5"/>
  <c r="E29" i="5" s="1"/>
  <c r="B83" i="3"/>
  <c r="K12" i="1"/>
  <c r="K48" i="1"/>
  <c r="K53" i="1"/>
  <c r="K63" i="1"/>
  <c r="K67" i="1"/>
  <c r="K71" i="1"/>
  <c r="K80" i="2"/>
  <c r="K76" i="2"/>
  <c r="K71" i="2"/>
  <c r="K67" i="2"/>
  <c r="K63" i="2"/>
  <c r="K53" i="2"/>
  <c r="K12" i="2"/>
  <c r="K48" i="2"/>
  <c r="K76" i="4"/>
  <c r="K71" i="4"/>
  <c r="K67" i="4"/>
  <c r="K63" i="4"/>
  <c r="K53" i="4"/>
  <c r="K12" i="4"/>
  <c r="K48" i="4"/>
  <c r="K79" i="2"/>
  <c r="K79" i="4"/>
  <c r="J76" i="4"/>
  <c r="I76" i="4"/>
  <c r="J71" i="4"/>
  <c r="I71" i="4"/>
  <c r="J67" i="4"/>
  <c r="I67" i="4"/>
  <c r="J63" i="4"/>
  <c r="I63" i="4"/>
  <c r="J53" i="4"/>
  <c r="I53" i="4"/>
  <c r="J12" i="4"/>
  <c r="I12" i="4"/>
  <c r="J76" i="3"/>
  <c r="I76" i="3"/>
  <c r="J67" i="3"/>
  <c r="I67" i="3"/>
  <c r="J63" i="3"/>
  <c r="I63" i="3"/>
  <c r="J53" i="3"/>
  <c r="I53" i="3"/>
  <c r="J12" i="3"/>
  <c r="I12" i="3"/>
  <c r="J12" i="1"/>
  <c r="I12" i="1"/>
  <c r="J48" i="1"/>
  <c r="I48" i="1"/>
  <c r="J53" i="1"/>
  <c r="I53" i="1"/>
  <c r="J63" i="1"/>
  <c r="I63" i="1"/>
  <c r="J67" i="1"/>
  <c r="I67" i="1"/>
  <c r="J71" i="1"/>
  <c r="I71" i="1"/>
  <c r="J76" i="1"/>
  <c r="I76" i="1"/>
  <c r="J12" i="2"/>
  <c r="I12" i="2"/>
  <c r="J48" i="2"/>
  <c r="I48" i="2"/>
  <c r="J53" i="2"/>
  <c r="I53" i="2"/>
  <c r="J63" i="2"/>
  <c r="I63" i="2"/>
  <c r="J76" i="2"/>
  <c r="I76" i="2"/>
  <c r="J71" i="2"/>
  <c r="I71" i="2"/>
  <c r="J67" i="2"/>
  <c r="I67" i="2"/>
  <c r="K76" i="1"/>
  <c r="I15" i="4"/>
  <c r="I14" i="4"/>
  <c r="F39" i="4"/>
  <c r="F5" i="4"/>
  <c r="E11" i="4"/>
  <c r="F11" i="4" s="1"/>
  <c r="E10" i="4"/>
  <c r="F10" i="4" s="1"/>
  <c r="E9" i="4"/>
  <c r="F9" i="4" s="1"/>
  <c r="E8" i="4"/>
  <c r="F8" i="4" s="1"/>
  <c r="F7" i="4"/>
  <c r="E7" i="4"/>
  <c r="E6" i="4"/>
  <c r="F6" i="4" s="1"/>
  <c r="E5" i="4"/>
  <c r="F12" i="3"/>
  <c r="F6" i="3"/>
  <c r="F7" i="3"/>
  <c r="F8" i="3"/>
  <c r="F9" i="3"/>
  <c r="F10" i="3"/>
  <c r="F11" i="3"/>
  <c r="F5" i="3"/>
  <c r="E11" i="3"/>
  <c r="E10" i="3"/>
  <c r="E9" i="3"/>
  <c r="E8" i="3"/>
  <c r="E7" i="3"/>
  <c r="E6" i="3"/>
  <c r="E5" i="3"/>
  <c r="J70" i="4"/>
  <c r="I70" i="4"/>
  <c r="J69" i="4"/>
  <c r="I69" i="4"/>
  <c r="I66" i="4"/>
  <c r="I61" i="4"/>
  <c r="I57" i="4"/>
  <c r="I56" i="4"/>
  <c r="I50" i="4"/>
  <c r="B83" i="4"/>
  <c r="F76" i="4"/>
  <c r="F70" i="4"/>
  <c r="F69" i="4"/>
  <c r="H66" i="4"/>
  <c r="F66" i="4"/>
  <c r="F65" i="4"/>
  <c r="F62" i="4"/>
  <c r="F61" i="4"/>
  <c r="F60" i="4"/>
  <c r="F59" i="4"/>
  <c r="F58" i="4"/>
  <c r="F57" i="4"/>
  <c r="F56" i="4"/>
  <c r="F55" i="4"/>
  <c r="K80" i="4"/>
  <c r="F52" i="4"/>
  <c r="F51" i="4"/>
  <c r="F50" i="4"/>
  <c r="J47" i="4"/>
  <c r="I47" i="4"/>
  <c r="F47" i="4"/>
  <c r="J46" i="4"/>
  <c r="I46" i="4"/>
  <c r="F46" i="4"/>
  <c r="J45" i="4"/>
  <c r="I45" i="4"/>
  <c r="F45" i="4"/>
  <c r="J44" i="4"/>
  <c r="I44" i="4"/>
  <c r="F44" i="4"/>
  <c r="J43" i="4"/>
  <c r="I43" i="4"/>
  <c r="F43" i="4"/>
  <c r="J42" i="4"/>
  <c r="I42" i="4"/>
  <c r="F42" i="4"/>
  <c r="J41" i="4"/>
  <c r="I41" i="4"/>
  <c r="F41" i="4"/>
  <c r="J40" i="4"/>
  <c r="I40" i="4"/>
  <c r="F40" i="4"/>
  <c r="J39" i="4"/>
  <c r="I39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30" i="4"/>
  <c r="I30" i="4"/>
  <c r="F30" i="4"/>
  <c r="J29" i="4"/>
  <c r="I29" i="4"/>
  <c r="F29" i="4"/>
  <c r="J28" i="4"/>
  <c r="I28" i="4"/>
  <c r="F28" i="4"/>
  <c r="J27" i="4"/>
  <c r="I27" i="4"/>
  <c r="C27" i="4"/>
  <c r="F27" i="4" s="1"/>
  <c r="J26" i="4"/>
  <c r="I26" i="4"/>
  <c r="F26" i="4"/>
  <c r="C26" i="4"/>
  <c r="J25" i="4"/>
  <c r="I25" i="4"/>
  <c r="C25" i="4"/>
  <c r="F25" i="4" s="1"/>
  <c r="J24" i="4"/>
  <c r="I24" i="4"/>
  <c r="F24" i="4"/>
  <c r="C24" i="4"/>
  <c r="J23" i="4"/>
  <c r="I23" i="4"/>
  <c r="C23" i="4"/>
  <c r="F23" i="4" s="1"/>
  <c r="J22" i="4"/>
  <c r="I22" i="4"/>
  <c r="F22" i="4"/>
  <c r="C22" i="4"/>
  <c r="J21" i="4"/>
  <c r="I21" i="4"/>
  <c r="C21" i="4"/>
  <c r="F21" i="4" s="1"/>
  <c r="J20" i="4"/>
  <c r="I20" i="4"/>
  <c r="F20" i="4"/>
  <c r="C20" i="4"/>
  <c r="J19" i="4"/>
  <c r="I19" i="4"/>
  <c r="C19" i="4"/>
  <c r="F19" i="4" s="1"/>
  <c r="J18" i="4"/>
  <c r="I18" i="4"/>
  <c r="F18" i="4"/>
  <c r="C18" i="4"/>
  <c r="J17" i="4"/>
  <c r="I17" i="4"/>
  <c r="C17" i="4"/>
  <c r="F17" i="4" s="1"/>
  <c r="J16" i="4"/>
  <c r="I16" i="4"/>
  <c r="F16" i="4"/>
  <c r="C16" i="4"/>
  <c r="J15" i="4"/>
  <c r="C15" i="4"/>
  <c r="F15" i="4" s="1"/>
  <c r="J14" i="4"/>
  <c r="F14" i="4"/>
  <c r="C1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F63" i="3"/>
  <c r="F58" i="3"/>
  <c r="F59" i="3"/>
  <c r="F60" i="3"/>
  <c r="F61" i="3"/>
  <c r="F62" i="3"/>
  <c r="J62" i="3"/>
  <c r="I62" i="3"/>
  <c r="F55" i="3"/>
  <c r="F56" i="3"/>
  <c r="F57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14" i="3"/>
  <c r="F55" i="2"/>
  <c r="F59" i="2"/>
  <c r="F58" i="2"/>
  <c r="F62" i="2"/>
  <c r="J62" i="1"/>
  <c r="I62" i="1"/>
  <c r="F62" i="1"/>
  <c r="F63" i="1" s="1"/>
  <c r="D13" i="5" l="1"/>
  <c r="D14" i="5" s="1"/>
  <c r="E13" i="5"/>
  <c r="E14" i="5" s="1"/>
  <c r="J48" i="4"/>
  <c r="I48" i="4"/>
  <c r="F63" i="4"/>
  <c r="F53" i="4"/>
  <c r="F48" i="4"/>
  <c r="A85" i="4"/>
  <c r="B85" i="4" s="1"/>
  <c r="F71" i="4"/>
  <c r="F67" i="4"/>
  <c r="F41" i="2"/>
  <c r="F42" i="2"/>
  <c r="F43" i="2"/>
  <c r="F44" i="2"/>
  <c r="F45" i="2"/>
  <c r="F46" i="2"/>
  <c r="F47" i="2"/>
  <c r="F70" i="1"/>
  <c r="F69" i="1"/>
  <c r="F66" i="1"/>
  <c r="F65" i="1"/>
  <c r="F56" i="1"/>
  <c r="F57" i="1"/>
  <c r="F58" i="1"/>
  <c r="F59" i="1"/>
  <c r="F60" i="1"/>
  <c r="F61" i="1"/>
  <c r="F55" i="1"/>
  <c r="F51" i="1"/>
  <c r="F52" i="1"/>
  <c r="F50" i="1"/>
  <c r="F15" i="1"/>
  <c r="F16" i="1"/>
  <c r="F17" i="1"/>
  <c r="F18" i="1"/>
  <c r="F19" i="1"/>
  <c r="F20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4" i="1"/>
  <c r="F76" i="2"/>
  <c r="J75" i="2"/>
  <c r="I75" i="2"/>
  <c r="J74" i="2"/>
  <c r="I74" i="2"/>
  <c r="J73" i="2"/>
  <c r="I73" i="2"/>
  <c r="J70" i="2"/>
  <c r="I70" i="2"/>
  <c r="F70" i="2"/>
  <c r="J69" i="2"/>
  <c r="I69" i="2"/>
  <c r="F69" i="2"/>
  <c r="I66" i="2"/>
  <c r="F66" i="2"/>
  <c r="F65" i="2"/>
  <c r="I61" i="2"/>
  <c r="F61" i="2"/>
  <c r="F60" i="2"/>
  <c r="I57" i="2"/>
  <c r="F57" i="2"/>
  <c r="I56" i="2"/>
  <c r="F56" i="2"/>
  <c r="F52" i="2"/>
  <c r="F51" i="2"/>
  <c r="I50" i="2"/>
  <c r="F50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F40" i="2"/>
  <c r="J39" i="2"/>
  <c r="I39" i="2"/>
  <c r="F39" i="2"/>
  <c r="J38" i="2"/>
  <c r="I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J33" i="2"/>
  <c r="I33" i="2"/>
  <c r="F33" i="2"/>
  <c r="J32" i="2"/>
  <c r="I32" i="2"/>
  <c r="F32" i="2"/>
  <c r="J31" i="2"/>
  <c r="I31" i="2"/>
  <c r="F31" i="2"/>
  <c r="J30" i="2"/>
  <c r="I30" i="2"/>
  <c r="F30" i="2"/>
  <c r="J29" i="2"/>
  <c r="I29" i="2"/>
  <c r="F29" i="2"/>
  <c r="J28" i="2"/>
  <c r="I28" i="2"/>
  <c r="F28" i="2"/>
  <c r="J27" i="2"/>
  <c r="I27" i="2"/>
  <c r="C27" i="2"/>
  <c r="F27" i="2" s="1"/>
  <c r="J26" i="2"/>
  <c r="I26" i="2"/>
  <c r="F26" i="2"/>
  <c r="C26" i="2"/>
  <c r="J25" i="2"/>
  <c r="I25" i="2"/>
  <c r="F25" i="2"/>
  <c r="J24" i="2"/>
  <c r="I24" i="2"/>
  <c r="F24" i="2"/>
  <c r="J23" i="2"/>
  <c r="I23" i="2"/>
  <c r="F23" i="2"/>
  <c r="J22" i="2"/>
  <c r="I22" i="2"/>
  <c r="F22" i="2"/>
  <c r="J21" i="2"/>
  <c r="I21" i="2"/>
  <c r="F21" i="2"/>
  <c r="J20" i="2"/>
  <c r="I20" i="2"/>
  <c r="F20" i="2"/>
  <c r="J19" i="2"/>
  <c r="I19" i="2"/>
  <c r="F19" i="2"/>
  <c r="J18" i="2"/>
  <c r="I18" i="2"/>
  <c r="F18" i="2"/>
  <c r="J17" i="2"/>
  <c r="I17" i="2"/>
  <c r="F17" i="2"/>
  <c r="J16" i="2"/>
  <c r="I16" i="2"/>
  <c r="F16" i="2"/>
  <c r="J15" i="2"/>
  <c r="I15" i="2"/>
  <c r="F15" i="2"/>
  <c r="J14" i="2"/>
  <c r="I14" i="2"/>
  <c r="F14" i="2"/>
  <c r="J11" i="2"/>
  <c r="I11" i="2"/>
  <c r="E11" i="2"/>
  <c r="F11" i="2" s="1"/>
  <c r="J10" i="2"/>
  <c r="I10" i="2"/>
  <c r="F10" i="2"/>
  <c r="E10" i="2"/>
  <c r="J9" i="2"/>
  <c r="I9" i="2"/>
  <c r="E9" i="2"/>
  <c r="F9" i="2" s="1"/>
  <c r="J8" i="2"/>
  <c r="I8" i="2"/>
  <c r="F8" i="2"/>
  <c r="E8" i="2"/>
  <c r="J7" i="2"/>
  <c r="I7" i="2"/>
  <c r="E7" i="2"/>
  <c r="F7" i="2" s="1"/>
  <c r="J6" i="2"/>
  <c r="I6" i="2"/>
  <c r="F6" i="2"/>
  <c r="E6" i="2"/>
  <c r="J5" i="2"/>
  <c r="I5" i="2"/>
  <c r="E5" i="2"/>
  <c r="F5" i="2" s="1"/>
  <c r="J55" i="3"/>
  <c r="I55" i="3"/>
  <c r="J59" i="3"/>
  <c r="I59" i="3"/>
  <c r="J58" i="3"/>
  <c r="I58" i="3"/>
  <c r="J57" i="3"/>
  <c r="I57" i="3"/>
  <c r="J56" i="3"/>
  <c r="I56" i="3"/>
  <c r="J52" i="3"/>
  <c r="I52" i="3"/>
  <c r="F52" i="3"/>
  <c r="J51" i="3"/>
  <c r="I51" i="3"/>
  <c r="F51" i="3"/>
  <c r="J50" i="3"/>
  <c r="I50" i="3"/>
  <c r="F50" i="3"/>
  <c r="J55" i="1"/>
  <c r="I55" i="1"/>
  <c r="J59" i="1"/>
  <c r="I59" i="1"/>
  <c r="J58" i="1"/>
  <c r="I58" i="1"/>
  <c r="J57" i="1"/>
  <c r="I57" i="1"/>
  <c r="J56" i="1"/>
  <c r="I56" i="1"/>
  <c r="J52" i="1"/>
  <c r="I52" i="1"/>
  <c r="J51" i="1"/>
  <c r="I51" i="1"/>
  <c r="J50" i="1"/>
  <c r="I50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E16" i="5" l="1"/>
  <c r="E18" i="5" s="1"/>
  <c r="E15" i="5"/>
  <c r="E17" i="5" s="1"/>
  <c r="D16" i="5"/>
  <c r="D18" i="5" s="1"/>
  <c r="D15" i="5"/>
  <c r="D17" i="5" s="1"/>
  <c r="J79" i="4"/>
  <c r="B84" i="4"/>
  <c r="F79" i="4"/>
  <c r="F63" i="2"/>
  <c r="F53" i="2"/>
  <c r="F67" i="2"/>
  <c r="F48" i="2"/>
  <c r="F71" i="2"/>
  <c r="F12" i="2"/>
  <c r="K53" i="3"/>
  <c r="K80" i="3" s="1"/>
  <c r="K76" i="3"/>
  <c r="J66" i="3"/>
  <c r="K48" i="3"/>
  <c r="F44" i="3"/>
  <c r="F45" i="3"/>
  <c r="F46" i="3"/>
  <c r="F47" i="3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F28" i="3"/>
  <c r="F29" i="3"/>
  <c r="F30" i="3"/>
  <c r="F31" i="3"/>
  <c r="F32" i="3"/>
  <c r="F33" i="3"/>
  <c r="F34" i="3"/>
  <c r="F35" i="3"/>
  <c r="F36" i="3"/>
  <c r="F37" i="3"/>
  <c r="F38" i="3"/>
  <c r="F39" i="3"/>
  <c r="A85" i="3" s="1"/>
  <c r="F40" i="3"/>
  <c r="F41" i="3"/>
  <c r="F42" i="3"/>
  <c r="F43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C27" i="1"/>
  <c r="F27" i="1" s="1"/>
  <c r="C26" i="1"/>
  <c r="F26" i="1" s="1"/>
  <c r="K80" i="1"/>
  <c r="J61" i="1"/>
  <c r="I61" i="1"/>
  <c r="J60" i="1"/>
  <c r="I60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5" i="1"/>
  <c r="F5" i="1" s="1"/>
  <c r="F76" i="3"/>
  <c r="K71" i="3"/>
  <c r="F70" i="3"/>
  <c r="F69" i="3"/>
  <c r="K67" i="3"/>
  <c r="H66" i="3"/>
  <c r="F66" i="3"/>
  <c r="F65" i="3"/>
  <c r="K63" i="3"/>
  <c r="J74" i="1"/>
  <c r="J75" i="1"/>
  <c r="J73" i="1"/>
  <c r="I74" i="1"/>
  <c r="I75" i="1"/>
  <c r="I73" i="1"/>
  <c r="J70" i="1"/>
  <c r="J69" i="1"/>
  <c r="I70" i="1"/>
  <c r="I69" i="1"/>
  <c r="J65" i="1"/>
  <c r="I65" i="1"/>
  <c r="J66" i="1"/>
  <c r="I6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F76" i="1"/>
  <c r="F71" i="1"/>
  <c r="F53" i="1"/>
  <c r="I48" i="3" l="1"/>
  <c r="J48" i="3"/>
  <c r="J71" i="3"/>
  <c r="I71" i="3"/>
  <c r="J80" i="4"/>
  <c r="F80" i="4"/>
  <c r="G3" i="5" s="1"/>
  <c r="F67" i="3"/>
  <c r="J79" i="2"/>
  <c r="I79" i="2"/>
  <c r="F79" i="2"/>
  <c r="K79" i="3"/>
  <c r="K79" i="1"/>
  <c r="F48" i="3"/>
  <c r="F71" i="3"/>
  <c r="F53" i="3"/>
  <c r="F67" i="1"/>
  <c r="F12" i="1"/>
  <c r="F48" i="1"/>
  <c r="G29" i="5" l="1"/>
  <c r="G13" i="5"/>
  <c r="G10" i="5"/>
  <c r="G14" i="5" s="1"/>
  <c r="J80" i="2"/>
  <c r="I80" i="2"/>
  <c r="F80" i="2"/>
  <c r="B84" i="3"/>
  <c r="F79" i="3"/>
  <c r="J79" i="3"/>
  <c r="I79" i="3"/>
  <c r="F79" i="1"/>
  <c r="J79" i="1"/>
  <c r="I79" i="1"/>
  <c r="G16" i="5" l="1"/>
  <c r="G18" i="5" s="1"/>
  <c r="G15" i="5"/>
  <c r="G17" i="5" s="1"/>
  <c r="J80" i="3"/>
  <c r="F80" i="3"/>
  <c r="F3" i="5" s="1"/>
  <c r="I80" i="3"/>
  <c r="F80" i="1"/>
  <c r="J80" i="1"/>
  <c r="I80" i="1"/>
  <c r="I79" i="4"/>
  <c r="I80" i="4" s="1"/>
  <c r="F29" i="5" l="1"/>
  <c r="F13" i="5"/>
  <c r="F10" i="5"/>
  <c r="F14" i="5" s="1"/>
  <c r="F16" i="5" l="1"/>
  <c r="F18" i="5" s="1"/>
  <c r="F15" i="5"/>
  <c r="F17" i="5" s="1"/>
</calcChain>
</file>

<file path=xl/sharedStrings.xml><?xml version="1.0" encoding="utf-8"?>
<sst xmlns="http://schemas.openxmlformats.org/spreadsheetml/2006/main" count="934" uniqueCount="194">
  <si>
    <t>项目</t>
  </si>
  <si>
    <t>位置</t>
  </si>
  <si>
    <t>舱容</t>
  </si>
  <si>
    <t>密度</t>
  </si>
  <si>
    <t>重量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</si>
  <si>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</si>
  <si>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</si>
  <si>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</si>
  <si>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</si>
  <si>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</si>
  <si>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</si>
  <si>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</si>
  <si>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</si>
  <si>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</si>
  <si>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</si>
  <si>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</si>
  <si>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</si>
  <si>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</si>
  <si>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</si>
  <si>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</si>
  <si>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</si>
  <si>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</si>
  <si>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</si>
  <si>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</si>
  <si>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</si>
  <si>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</si>
  <si>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</si>
  <si>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</si>
  <si>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</si>
  <si>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</si>
  <si>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</si>
  <si>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</si>
  <si>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</si>
  <si>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</si>
  <si>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</si>
  <si>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</si>
  <si>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</si>
  <si>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</si>
  <si>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</si>
  <si>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</si>
  <si>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</si>
  <si>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</si>
  <si>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</si>
  <si>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</si>
  <si>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</si>
  <si>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</si>
  <si>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</si>
  <si>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</si>
  <si>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</si>
  <si>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</si>
  <si>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</si>
  <si>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</si>
  <si>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</si>
  <si>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</si>
  <si>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</si>
  <si>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</si>
  <si>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</si>
  <si>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</si>
  <si>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</si>
  <si>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</si>
  <si>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</si>
  <si>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</si>
  <si>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</si>
  <si>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</si>
  <si>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</si>
  <si>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</si>
  <si>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</si>
  <si>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</si>
  <si>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</si>
  <si>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</si>
  <si>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</si>
  <si>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</si>
  <si>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</si>
  <si>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</si>
  <si>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</si>
  <si>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#32-#34</t>
  </si>
  <si>
    <t>#20-#29</t>
  </si>
  <si>
    <t>No.1 燃油沉淀舱</t>
  </si>
  <si>
    <t>#24-#29</t>
  </si>
  <si>
    <t>#29-#34</t>
  </si>
  <si>
    <t>No.2 燃油舱（左）</t>
  </si>
  <si>
    <t>#93-#153</t>
  </si>
  <si>
    <t>No.2 燃油舱（右）</t>
  </si>
  <si>
    <t>#24-#34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</si>
  <si>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</si>
  <si>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</si>
  <si>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</si>
  <si>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</si>
  <si>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</si>
  <si>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</si>
  <si>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</si>
  <si>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</si>
  <si>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</si>
  <si>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</si>
  <si>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</si>
  <si>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</si>
  <si>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</si>
  <si>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</si>
  <si>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</si>
  <si>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</si>
  <si>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</si>
  <si>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</si>
  <si>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——</t>
    <phoneticPr fontId="6" type="noConversion"/>
  </si>
  <si>
    <t>形心位置</t>
    <phoneticPr fontId="6" type="noConversion"/>
  </si>
  <si>
    <t>重心位置</t>
    <phoneticPr fontId="6" type="noConversion"/>
  </si>
  <si>
    <t>LCG</t>
    <phoneticPr fontId="6" type="noConversion"/>
  </si>
  <si>
    <t>VCG</t>
    <phoneticPr fontId="6" type="noConversion"/>
  </si>
  <si>
    <t>(m)</t>
    <phoneticPr fontId="6" type="noConversion"/>
  </si>
  <si>
    <t>-</t>
    <phoneticPr fontId="6" type="noConversion"/>
  </si>
  <si>
    <t>压载舱</t>
    <phoneticPr fontId="6" type="noConversion"/>
  </si>
  <si>
    <t>No.2 燃油舱（右）</t>
    <phoneticPr fontId="6" type="noConversion"/>
  </si>
  <si>
    <t>No.2 燃油舱（左）</t>
    <phoneticPr fontId="6" type="noConversion"/>
  </si>
  <si>
    <t>(m^3)</t>
    <phoneticPr fontId="6" type="noConversion"/>
  </si>
  <si>
    <t>No.2顶压载舱（左）</t>
    <phoneticPr fontId="6" type="noConversion"/>
  </si>
  <si>
    <t>No.2顶压载舱（右）</t>
    <phoneticPr fontId="6" type="noConversion"/>
  </si>
  <si>
    <t>No.3顶压载舱（左）</t>
    <phoneticPr fontId="6" type="noConversion"/>
  </si>
  <si>
    <t>No.3顶压载舱（右）</t>
    <phoneticPr fontId="6" type="noConversion"/>
  </si>
  <si>
    <t>小计</t>
    <phoneticPr fontId="6" type="noConversion"/>
  </si>
  <si>
    <t>——</t>
  </si>
  <si>
    <t>需提供压载水质量</t>
    <phoneticPr fontId="6" type="noConversion"/>
  </si>
  <si>
    <t>可提供压载水质量</t>
    <phoneticPr fontId="6" type="noConversion"/>
  </si>
  <si>
    <t>-</t>
    <phoneticPr fontId="12" type="noConversion"/>
  </si>
  <si>
    <t>No.2 顶压载舱（左）</t>
    <phoneticPr fontId="12" type="noConversion"/>
  </si>
  <si>
    <t>No.2 顶压载舱（右）</t>
    <phoneticPr fontId="12" type="noConversion"/>
  </si>
  <si>
    <t>No.3 顶压载舱（左）</t>
    <phoneticPr fontId="12" type="noConversion"/>
  </si>
  <si>
    <t>No.3 顶压载舱（右）</t>
    <phoneticPr fontId="12" type="noConversion"/>
  </si>
  <si>
    <t>蒸馏水舱</t>
    <phoneticPr fontId="12" type="noConversion"/>
  </si>
  <si>
    <t>#9-#11</t>
    <phoneticPr fontId="12" type="noConversion"/>
  </si>
  <si>
    <t>No.1 燃油舱（左）</t>
    <phoneticPr fontId="12" type="noConversion"/>
  </si>
  <si>
    <t>No.1 燃油舱（右）</t>
    <phoneticPr fontId="12" type="noConversion"/>
  </si>
  <si>
    <t>柴油舱</t>
    <phoneticPr fontId="12" type="noConversion"/>
  </si>
  <si>
    <t>-</t>
    <phoneticPr fontId="6" type="noConversion"/>
  </si>
  <si>
    <t>No.3 燃油舱</t>
    <phoneticPr fontId="6" type="noConversion"/>
  </si>
  <si>
    <t>#22-#35</t>
    <phoneticPr fontId="6" type="noConversion"/>
  </si>
  <si>
    <t xml:space="preserve">项目 </t>
  </si>
  <si>
    <t xml:space="preserve">单位 </t>
  </si>
  <si>
    <t xml:space="preserve">符号及公式 </t>
  </si>
  <si>
    <t xml:space="preserve">垂线间长 </t>
  </si>
  <si>
    <t xml:space="preserve">m </t>
  </si>
  <si>
    <t xml:space="preserve">排水量 </t>
  </si>
  <si>
    <t xml:space="preserve">Δ </t>
  </si>
  <si>
    <t xml:space="preserve">平均吃水 </t>
  </si>
  <si>
    <t xml:space="preserve">重心纵向坐标 </t>
  </si>
  <si>
    <r>
      <t>X</t>
    </r>
    <r>
      <rPr>
        <sz val="7"/>
        <color rgb="FF000000"/>
        <rFont val="Times New Roman"/>
        <family val="1"/>
      </rPr>
      <t xml:space="preserve">g </t>
    </r>
  </si>
  <si>
    <t xml:space="preserve">浮心纵向坐标 </t>
  </si>
  <si>
    <r>
      <t>X</t>
    </r>
    <r>
      <rPr>
        <sz val="7"/>
        <color rgb="FF000000"/>
        <rFont val="Times New Roman"/>
        <family val="1"/>
      </rPr>
      <t xml:space="preserve">b </t>
    </r>
  </si>
  <si>
    <t xml:space="preserve">重心竖向坐标 </t>
  </si>
  <si>
    <t xml:space="preserve">纵稳心距基线高 </t>
  </si>
  <si>
    <r>
      <t>Z</t>
    </r>
    <r>
      <rPr>
        <sz val="7"/>
        <color rgb="FF000000"/>
        <rFont val="Times New Roman"/>
        <family val="1"/>
      </rPr>
      <t xml:space="preserve">ml </t>
    </r>
  </si>
  <si>
    <t xml:space="preserve">纵向初稳性高 </t>
  </si>
  <si>
    <r>
      <t>GM</t>
    </r>
    <r>
      <rPr>
        <sz val="7"/>
        <color rgb="FF000000"/>
        <rFont val="Times New Roman"/>
        <family val="1"/>
      </rPr>
      <t>l</t>
    </r>
    <r>
      <rPr>
        <sz val="10.95"/>
        <color rgb="FF000000"/>
        <rFont val="Times New Roman"/>
        <family val="1"/>
      </rPr>
      <t>=Z</t>
    </r>
    <r>
      <rPr>
        <sz val="7"/>
        <color rgb="FF000000"/>
        <rFont val="Times New Roman"/>
        <family val="1"/>
      </rPr>
      <t>ml</t>
    </r>
    <r>
      <rPr>
        <sz val="10.95"/>
        <color rgb="FF000000"/>
        <rFont val="Times New Roman"/>
        <family val="1"/>
      </rPr>
      <t>-Z</t>
    </r>
    <r>
      <rPr>
        <sz val="7"/>
        <color rgb="FF000000"/>
        <rFont val="Times New Roman"/>
        <family val="1"/>
      </rPr>
      <t xml:space="preserve">g </t>
    </r>
  </si>
  <si>
    <t xml:space="preserve">每厘米纵倾力矩 </t>
  </si>
  <si>
    <r>
      <t>MTC=ΔGM</t>
    </r>
    <r>
      <rPr>
        <sz val="7"/>
        <color rgb="FF000000"/>
        <rFont val="Times New Roman"/>
        <family val="1"/>
      </rPr>
      <t>l</t>
    </r>
    <r>
      <rPr>
        <sz val="10.95"/>
        <color rgb="FF000000"/>
        <rFont val="Times New Roman"/>
        <family val="1"/>
      </rPr>
      <t>/100L</t>
    </r>
  </si>
  <si>
    <t>满载出港</t>
  </si>
  <si>
    <t>满载到港</t>
  </si>
  <si>
    <t>压载出港</t>
  </si>
  <si>
    <t>压载到港</t>
  </si>
  <si>
    <t>m</t>
  </si>
  <si>
    <t>m</t>
    <phoneticPr fontId="6" type="noConversion"/>
  </si>
  <si>
    <t>t</t>
    <phoneticPr fontId="6" type="noConversion"/>
  </si>
  <si>
    <t>L</t>
    <phoneticPr fontId="6" type="noConversion"/>
  </si>
  <si>
    <t>d</t>
    <phoneticPr fontId="6" type="noConversion"/>
  </si>
  <si>
    <t>漂心纵向坐标</t>
  </si>
  <si>
    <t>纵倾力臂</t>
  </si>
  <si>
    <t>纵倾力矩</t>
  </si>
  <si>
    <t>纵倾值</t>
  </si>
  <si>
    <t>首吃水增量</t>
  </si>
  <si>
    <t>尾吃水增量</t>
  </si>
  <si>
    <t>首吃水</t>
  </si>
  <si>
    <t>尾吃水</t>
  </si>
  <si>
    <t>t·m</t>
    <phoneticPr fontId="6" type="noConversion"/>
  </si>
  <si>
    <t xml:space="preserve">t·cm </t>
    <phoneticPr fontId="6" type="noConversion"/>
  </si>
  <si>
    <r>
      <t>Z</t>
    </r>
    <r>
      <rPr>
        <sz val="7"/>
        <color rgb="FF000000"/>
        <rFont val="Times New Roman"/>
        <family val="1"/>
      </rPr>
      <t xml:space="preserve">g </t>
    </r>
    <phoneticPr fontId="6" type="noConversion"/>
  </si>
  <si>
    <r>
      <t>X</t>
    </r>
    <r>
      <rPr>
        <sz val="7"/>
        <color rgb="FF000000"/>
        <rFont val="Times New Roman"/>
        <family val="1"/>
      </rPr>
      <t>f</t>
    </r>
    <phoneticPr fontId="6" type="noConversion"/>
  </si>
  <si>
    <r>
      <t>X</t>
    </r>
    <r>
      <rPr>
        <sz val="7"/>
        <color rgb="FF000000"/>
        <rFont val="Times New Roman"/>
        <family val="1"/>
      </rPr>
      <t>g</t>
    </r>
    <r>
      <rPr>
        <sz val="10.95"/>
        <color rgb="FF000000"/>
        <rFont val="Times New Roman"/>
        <family val="1"/>
      </rPr>
      <t>-X</t>
    </r>
    <r>
      <rPr>
        <sz val="7"/>
        <color rgb="FF000000"/>
        <rFont val="Times New Roman"/>
        <family val="1"/>
      </rPr>
      <t>b</t>
    </r>
    <phoneticPr fontId="6" type="noConversion"/>
  </si>
  <si>
    <r>
      <t>M=Δ(X</t>
    </r>
    <r>
      <rPr>
        <sz val="7"/>
        <color rgb="FF000000"/>
        <rFont val="Times New Roman"/>
        <family val="1"/>
      </rPr>
      <t>g</t>
    </r>
    <r>
      <rPr>
        <sz val="10.95"/>
        <color rgb="FF000000"/>
        <rFont val="Times New Roman"/>
        <family val="1"/>
      </rPr>
      <t>-X</t>
    </r>
    <r>
      <rPr>
        <sz val="7"/>
        <color rgb="FF000000"/>
        <rFont val="Times New Roman"/>
        <family val="1"/>
      </rPr>
      <t>b</t>
    </r>
    <r>
      <rPr>
        <sz val="10.95"/>
        <color rgb="FF000000"/>
        <rFont val="Times New Roman"/>
        <family val="1"/>
      </rPr>
      <t>)</t>
    </r>
    <phoneticPr fontId="6" type="noConversion"/>
  </si>
  <si>
    <r>
      <t>δd=M/100MTC=d</t>
    </r>
    <r>
      <rPr>
        <sz val="7"/>
        <color rgb="FF000000"/>
        <rFont val="Times New Roman"/>
        <family val="1"/>
      </rPr>
      <t>f</t>
    </r>
    <r>
      <rPr>
        <sz val="10.95"/>
        <color rgb="FF000000"/>
        <rFont val="Times New Roman"/>
        <family val="1"/>
      </rPr>
      <t>-d</t>
    </r>
    <r>
      <rPr>
        <sz val="7"/>
        <color rgb="FF000000"/>
        <rFont val="Times New Roman"/>
        <family val="1"/>
      </rPr>
      <t>a</t>
    </r>
    <phoneticPr fontId="6" type="noConversion"/>
  </si>
  <si>
    <r>
      <t>δd</t>
    </r>
    <r>
      <rPr>
        <sz val="7"/>
        <color rgb="FF000000"/>
        <rFont val="Times New Roman"/>
        <family val="1"/>
      </rPr>
      <t>f</t>
    </r>
    <r>
      <rPr>
        <sz val="10.95"/>
        <color rgb="FF000000"/>
        <rFont val="Times New Roman"/>
        <family val="1"/>
      </rPr>
      <t>=</t>
    </r>
    <r>
      <rPr>
        <sz val="10.95"/>
        <color rgb="FF000000"/>
        <rFont val="宋体"/>
        <family val="3"/>
        <charset val="134"/>
      </rPr>
      <t>（</t>
    </r>
    <r>
      <rPr>
        <sz val="10.95"/>
        <color rgb="FF000000"/>
        <rFont val="Times New Roman"/>
        <family val="1"/>
      </rPr>
      <t>L-X</t>
    </r>
    <r>
      <rPr>
        <sz val="7"/>
        <color rgb="FF000000"/>
        <rFont val="Times New Roman"/>
        <family val="1"/>
      </rPr>
      <t>f</t>
    </r>
    <r>
      <rPr>
        <sz val="10.95"/>
        <color rgb="FF000000"/>
        <rFont val="Times New Roman"/>
        <family val="1"/>
      </rPr>
      <t>)(δd/L)</t>
    </r>
    <phoneticPr fontId="6" type="noConversion"/>
  </si>
  <si>
    <r>
      <t>δda=-X</t>
    </r>
    <r>
      <rPr>
        <sz val="7"/>
        <color rgb="FF000000"/>
        <rFont val="Times New Roman"/>
        <family val="1"/>
      </rPr>
      <t>f</t>
    </r>
    <r>
      <rPr>
        <sz val="10.95"/>
        <color rgb="FF000000"/>
        <rFont val="Times New Roman"/>
        <family val="1"/>
      </rPr>
      <t>*δd/L</t>
    </r>
    <phoneticPr fontId="6" type="noConversion"/>
  </si>
  <si>
    <r>
      <t>df=d+δd</t>
    </r>
    <r>
      <rPr>
        <sz val="7"/>
        <color rgb="FF000000"/>
        <rFont val="Times New Roman"/>
        <family val="1"/>
      </rPr>
      <t>f</t>
    </r>
    <phoneticPr fontId="6" type="noConversion"/>
  </si>
  <si>
    <r>
      <t>da=d+δd</t>
    </r>
    <r>
      <rPr>
        <sz val="7"/>
        <color rgb="FF000000"/>
        <rFont val="Times New Roman"/>
        <family val="1"/>
      </rPr>
      <t>a</t>
    </r>
    <phoneticPr fontId="6" type="noConversion"/>
  </si>
  <si>
    <t>船体受风面积</t>
    <phoneticPr fontId="6" type="noConversion"/>
  </si>
  <si>
    <t>桥楼受风面积</t>
    <phoneticPr fontId="6" type="noConversion"/>
  </si>
  <si>
    <t>船体受风重心垂向坐标</t>
    <phoneticPr fontId="6" type="noConversion"/>
  </si>
  <si>
    <t>桥楼受风重心垂向坐标</t>
    <phoneticPr fontId="6" type="noConversion"/>
  </si>
  <si>
    <t>总受风面积</t>
    <phoneticPr fontId="6" type="noConversion"/>
  </si>
  <si>
    <t>液面惯性矩</t>
    <phoneticPr fontId="6" type="noConversion"/>
  </si>
  <si>
    <t>稳性高度降低值</t>
    <phoneticPr fontId="6" type="noConversion"/>
  </si>
  <si>
    <t>进水角</t>
    <phoneticPr fontId="6" type="noConversion"/>
  </si>
  <si>
    <t>47deg</t>
    <phoneticPr fontId="6" type="noConversion"/>
  </si>
  <si>
    <t>受风面积中心到水线的距离</t>
    <phoneticPr fontId="6" type="noConversion"/>
  </si>
  <si>
    <t>受风面积中心垂向坐标</t>
    <phoneticPr fontId="6" type="noConversion"/>
  </si>
  <si>
    <t>49deg</t>
    <phoneticPr fontId="6" type="noConversion"/>
  </si>
  <si>
    <t>50deg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</si>
</sst>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000000"/>
      <name val="Courier New"/>
      <family val="3"/>
    </font>
    <font>
      <sz val="9"/>
      <name val="宋体"/>
      <charset val="134"/>
      <scheme val="minor"/>
    </font>
    <font>
      <sz val="10.95"/>
      <color rgb="FF000000"/>
      <name val="宋体"/>
      <family val="3"/>
      <charset val="134"/>
      <scheme val="minor"/>
    </font>
    <font>
      <sz val="10.95"/>
      <color rgb="FF000000"/>
      <name val="Times New Roman"/>
      <family val="1"/>
    </font>
    <font>
      <sz val="7"/>
      <color rgb="FF000000"/>
      <name val="Times New Roman"/>
      <family val="1"/>
    </font>
    <font>
      <sz val="10.9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76" fontId="8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46" zoomScale="70" zoomScaleNormal="70" workbookViewId="0">
      <selection activeCell="F80" sqref="F80"/>
    </sheetView>
  </sheetViews>
  <sheetFormatPr defaultColWidth="9" defaultRowHeight="14" x14ac:dyDescent="0.25"/>
  <cols>
    <col min="1" max="1" width="24.36328125" style="57" customWidth="1"/>
    <col min="2" max="3" width="11.54296875" style="53" customWidth="1"/>
    <col min="4" max="5" width="9" style="53"/>
    <col min="6" max="6" width="19" style="53" customWidth="1"/>
    <col min="7" max="8" width="9" style="53"/>
    <col min="9" max="9" width="14.1796875" style="53" customWidth="1"/>
    <col min="10" max="10" width="9" style="53"/>
    <col min="11" max="11" width="15.81640625" style="53" bestFit="1" customWidth="1"/>
    <col min="12" max="14" width="9" style="5"/>
  </cols>
  <sheetData>
    <row r="1" spans="1:14" s="42" customFormat="1" x14ac:dyDescent="0.25">
      <c r="A1" s="71" t="s">
        <v>0</v>
      </c>
      <c r="B1" s="71" t="s">
        <v>1</v>
      </c>
      <c r="C1" s="71" t="s">
        <v>2</v>
      </c>
      <c r="D1" s="71" t="s">
        <v>2</v>
      </c>
      <c r="E1" s="71" t="s">
        <v>3</v>
      </c>
      <c r="F1" s="71" t="s">
        <v>4</v>
      </c>
      <c r="G1" s="71" t="s">
        <v>103</v>
      </c>
      <c r="H1" s="71"/>
      <c r="I1" s="71" t="s">
        <v>104</v>
      </c>
      <c r="J1" s="71"/>
      <c r="K1" s="71" t="s">
        <v>5</v>
      </c>
      <c r="L1" s="52"/>
      <c r="M1" s="52"/>
      <c r="N1" s="52"/>
    </row>
    <row r="2" spans="1:14" s="42" customFormat="1" x14ac:dyDescent="0.25">
      <c r="A2" s="71"/>
      <c r="B2" s="71"/>
      <c r="C2" s="71"/>
      <c r="D2" s="71"/>
      <c r="E2" s="71"/>
      <c r="F2" s="71"/>
      <c r="G2" s="21" t="s">
        <v>6</v>
      </c>
      <c r="H2" s="21" t="s">
        <v>7</v>
      </c>
      <c r="I2" s="21" t="s">
        <v>105</v>
      </c>
      <c r="J2" s="21" t="s">
        <v>106</v>
      </c>
      <c r="K2" s="71"/>
      <c r="L2" s="52"/>
      <c r="M2" s="52"/>
      <c r="N2" s="52"/>
    </row>
    <row r="3" spans="1:14" s="42" customFormat="1" x14ac:dyDescent="0.25">
      <c r="A3" s="21" t="s">
        <v>8</v>
      </c>
      <c r="B3" s="53"/>
      <c r="C3" s="16" t="s">
        <v>112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13</v>
      </c>
      <c r="I3" s="21" t="s">
        <v>107</v>
      </c>
      <c r="J3" s="21" t="s">
        <v>107</v>
      </c>
      <c r="K3" s="21" t="s">
        <v>14</v>
      </c>
      <c r="L3" s="52"/>
      <c r="M3" s="52"/>
      <c r="N3" s="52"/>
    </row>
    <row r="4" spans="1:14" x14ac:dyDescent="0.25">
      <c r="A4" s="72" t="s">
        <v>15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4" s="42" customFormat="1" x14ac:dyDescent="0.25">
      <c r="A5" s="21" t="s">
        <v>16</v>
      </c>
      <c r="B5" s="21" t="s">
        <v>17</v>
      </c>
      <c r="C5" s="21">
        <v>10024.379999999999</v>
      </c>
      <c r="D5" s="21">
        <v>99.5</v>
      </c>
      <c r="E5" s="26">
        <f>1/1.26</f>
        <v>0.79365079365079361</v>
      </c>
      <c r="F5" s="26">
        <f>C5*D5/100*E5</f>
        <v>7916.0778571428564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1" t="s">
        <v>108</v>
      </c>
      <c r="L5" s="52"/>
      <c r="M5" s="52"/>
      <c r="N5" s="52"/>
    </row>
    <row r="6" spans="1:14" s="42" customFormat="1" x14ac:dyDescent="0.25">
      <c r="A6" s="21" t="s">
        <v>18</v>
      </c>
      <c r="B6" s="21" t="s">
        <v>19</v>
      </c>
      <c r="C6" s="21">
        <v>13085.42</v>
      </c>
      <c r="D6" s="21">
        <v>99.5</v>
      </c>
      <c r="E6" s="26">
        <f t="shared" ref="E6:E11" si="0">1/1.26</f>
        <v>0.79365079365079361</v>
      </c>
      <c r="F6" s="26">
        <f t="shared" ref="F6:F11" si="1">C6*D6/100*E6</f>
        <v>10333.327698412699</v>
      </c>
      <c r="G6" s="26">
        <v>166.49</v>
      </c>
      <c r="H6" s="26">
        <v>10.94</v>
      </c>
      <c r="I6" s="26">
        <f t="shared" ref="I6:I11" si="2">G6</f>
        <v>166.49</v>
      </c>
      <c r="J6" s="26">
        <f t="shared" ref="J6:J11" si="3">H6</f>
        <v>10.94</v>
      </c>
      <c r="K6" s="21" t="s">
        <v>108</v>
      </c>
      <c r="L6" s="52"/>
      <c r="M6" s="52"/>
      <c r="N6" s="52"/>
    </row>
    <row r="7" spans="1:14" s="42" customFormat="1" x14ac:dyDescent="0.25">
      <c r="A7" s="21" t="s">
        <v>20</v>
      </c>
      <c r="B7" s="21" t="s">
        <v>21</v>
      </c>
      <c r="C7" s="21">
        <v>12955.22</v>
      </c>
      <c r="D7" s="21">
        <v>99.5</v>
      </c>
      <c r="E7" s="26">
        <f t="shared" si="0"/>
        <v>0.79365079365079361</v>
      </c>
      <c r="F7" s="26">
        <f t="shared" si="1"/>
        <v>10230.511031746029</v>
      </c>
      <c r="G7" s="26">
        <v>141.04</v>
      </c>
      <c r="H7" s="26">
        <v>10.9</v>
      </c>
      <c r="I7" s="26">
        <f t="shared" si="2"/>
        <v>141.04</v>
      </c>
      <c r="J7" s="26">
        <f t="shared" si="3"/>
        <v>10.9</v>
      </c>
      <c r="K7" s="21" t="s">
        <v>108</v>
      </c>
      <c r="L7" s="52"/>
      <c r="M7" s="52"/>
      <c r="N7" s="52"/>
    </row>
    <row r="8" spans="1:14" s="42" customFormat="1" x14ac:dyDescent="0.25">
      <c r="A8" s="21" t="s">
        <v>22</v>
      </c>
      <c r="B8" s="21" t="s">
        <v>23</v>
      </c>
      <c r="C8" s="21">
        <v>12959.84</v>
      </c>
      <c r="D8" s="21">
        <v>99.5</v>
      </c>
      <c r="E8" s="26">
        <f t="shared" si="0"/>
        <v>0.79365079365079361</v>
      </c>
      <c r="F8" s="26">
        <f t="shared" si="1"/>
        <v>10234.159365079366</v>
      </c>
      <c r="G8" s="26">
        <v>115.55</v>
      </c>
      <c r="H8" s="26">
        <v>10.9</v>
      </c>
      <c r="I8" s="26">
        <f t="shared" si="2"/>
        <v>115.55</v>
      </c>
      <c r="J8" s="26">
        <f t="shared" si="3"/>
        <v>10.9</v>
      </c>
      <c r="K8" s="21" t="s">
        <v>108</v>
      </c>
      <c r="L8" s="52"/>
      <c r="M8" s="52"/>
      <c r="N8" s="52"/>
    </row>
    <row r="9" spans="1:14" s="42" customFormat="1" x14ac:dyDescent="0.25">
      <c r="A9" s="21" t="s">
        <v>24</v>
      </c>
      <c r="B9" s="21" t="s">
        <v>25</v>
      </c>
      <c r="C9" s="21">
        <v>13045.78</v>
      </c>
      <c r="D9" s="21">
        <v>99.5</v>
      </c>
      <c r="E9" s="26">
        <f t="shared" si="0"/>
        <v>0.79365079365079361</v>
      </c>
      <c r="F9" s="26">
        <f t="shared" si="1"/>
        <v>10302.024682539683</v>
      </c>
      <c r="G9" s="26">
        <v>89.97</v>
      </c>
      <c r="H9" s="26">
        <v>10.9</v>
      </c>
      <c r="I9" s="26">
        <f t="shared" si="2"/>
        <v>89.97</v>
      </c>
      <c r="J9" s="26">
        <f t="shared" si="3"/>
        <v>10.9</v>
      </c>
      <c r="K9" s="21" t="s">
        <v>108</v>
      </c>
      <c r="L9" s="52"/>
      <c r="M9" s="52"/>
      <c r="N9" s="52"/>
    </row>
    <row r="10" spans="1:14" s="42" customFormat="1" x14ac:dyDescent="0.25">
      <c r="A10" s="21" t="s">
        <v>26</v>
      </c>
      <c r="B10" s="21" t="s">
        <v>27</v>
      </c>
      <c r="C10" s="21">
        <v>13041.17</v>
      </c>
      <c r="D10" s="21">
        <v>99.5</v>
      </c>
      <c r="E10" s="26">
        <f t="shared" si="0"/>
        <v>0.79365079365079361</v>
      </c>
      <c r="F10" s="26">
        <f t="shared" si="1"/>
        <v>10298.384246031745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3"/>
        <v>10.9</v>
      </c>
      <c r="K10" s="21" t="s">
        <v>108</v>
      </c>
      <c r="L10" s="52"/>
      <c r="M10" s="52"/>
      <c r="N10" s="52"/>
    </row>
    <row r="11" spans="1:14" s="42" customFormat="1" x14ac:dyDescent="0.25">
      <c r="A11" s="21" t="s">
        <v>28</v>
      </c>
      <c r="B11" s="21" t="s">
        <v>29</v>
      </c>
      <c r="C11" s="21">
        <v>11647.96</v>
      </c>
      <c r="D11" s="21">
        <v>99.5</v>
      </c>
      <c r="E11" s="26">
        <f t="shared" si="0"/>
        <v>0.79365079365079361</v>
      </c>
      <c r="F11" s="26">
        <f t="shared" si="1"/>
        <v>9198.1906349206347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3"/>
        <v>11.34</v>
      </c>
      <c r="K11" s="21" t="s">
        <v>108</v>
      </c>
      <c r="L11" s="52"/>
      <c r="M11" s="52"/>
      <c r="N11" s="52"/>
    </row>
    <row r="12" spans="1:14" s="42" customFormat="1" x14ac:dyDescent="0.25">
      <c r="A12" s="9" t="s">
        <v>69</v>
      </c>
      <c r="B12" s="9"/>
      <c r="C12" s="9"/>
      <c r="D12" s="21"/>
      <c r="E12" s="26"/>
      <c r="F12" s="34">
        <f>SUM(F5:F11)</f>
        <v>68512.675515873008</v>
      </c>
      <c r="G12" s="34"/>
      <c r="H12" s="34"/>
      <c r="I12" s="34">
        <f>SUMPRODUCT(F5:F11,I5:I11)/SUM(F5:F11)</f>
        <v>113.98099365408648</v>
      </c>
      <c r="J12" s="34">
        <f>SUMPRODUCT(F5:F11,J5:J11)/SUM(F5:F11)</f>
        <v>11.014788254971171</v>
      </c>
      <c r="K12" s="9">
        <f>SUM(K5:K11)</f>
        <v>0</v>
      </c>
      <c r="L12" s="52"/>
      <c r="M12" s="52"/>
      <c r="N12" s="52"/>
    </row>
    <row r="13" spans="1:14" x14ac:dyDescent="0.25">
      <c r="A13" s="72" t="s">
        <v>109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</row>
    <row r="14" spans="1:14" s="42" customFormat="1" x14ac:dyDescent="0.25">
      <c r="A14" s="21" t="s">
        <v>31</v>
      </c>
      <c r="B14" s="21" t="s">
        <v>29</v>
      </c>
      <c r="C14" s="21">
        <v>663.43000000000006</v>
      </c>
      <c r="D14" s="21">
        <v>0</v>
      </c>
      <c r="E14" s="21">
        <v>1.0249999999999999</v>
      </c>
      <c r="F14" s="21">
        <f>C14*D14/100*E14</f>
        <v>0</v>
      </c>
      <c r="G14" s="21">
        <v>39.619999999999997</v>
      </c>
      <c r="H14" s="21">
        <v>1.68</v>
      </c>
      <c r="I14" s="21">
        <f>G14</f>
        <v>39.619999999999997</v>
      </c>
      <c r="J14" s="21">
        <f>H14</f>
        <v>1.68</v>
      </c>
      <c r="K14" s="21" t="s">
        <v>108</v>
      </c>
      <c r="L14" s="52"/>
      <c r="M14" s="52"/>
      <c r="N14" s="52"/>
    </row>
    <row r="15" spans="1:14" s="42" customFormat="1" x14ac:dyDescent="0.25">
      <c r="A15" s="21" t="s">
        <v>32</v>
      </c>
      <c r="B15" s="21" t="s">
        <v>29</v>
      </c>
      <c r="C15" s="21">
        <v>663.43000000000006</v>
      </c>
      <c r="D15" s="21">
        <v>0</v>
      </c>
      <c r="E15" s="21">
        <v>1.0249999999999999</v>
      </c>
      <c r="F15" s="21">
        <f t="shared" ref="F15:F47" si="4">C15*D15/100*E15</f>
        <v>0</v>
      </c>
      <c r="G15" s="21">
        <v>39.619999999999997</v>
      </c>
      <c r="H15" s="21">
        <v>1.68</v>
      </c>
      <c r="I15" s="21">
        <f t="shared" ref="I15:J44" si="5">G15</f>
        <v>39.619999999999997</v>
      </c>
      <c r="J15" s="21">
        <f t="shared" ref="J15:J43" si="6">H15</f>
        <v>1.68</v>
      </c>
      <c r="K15" s="21" t="s">
        <v>108</v>
      </c>
      <c r="L15" s="52"/>
      <c r="M15" s="52"/>
      <c r="N15" s="52"/>
    </row>
    <row r="16" spans="1:14" s="42" customFormat="1" x14ac:dyDescent="0.25">
      <c r="A16" s="21" t="s">
        <v>33</v>
      </c>
      <c r="B16" s="21" t="s">
        <v>34</v>
      </c>
      <c r="C16" s="21">
        <v>762.23</v>
      </c>
      <c r="D16" s="21">
        <v>0</v>
      </c>
      <c r="E16" s="21">
        <v>1.0249999999999999</v>
      </c>
      <c r="F16" s="21">
        <f t="shared" si="4"/>
        <v>0</v>
      </c>
      <c r="G16" s="26">
        <v>64</v>
      </c>
      <c r="H16" s="21">
        <v>1.47</v>
      </c>
      <c r="I16" s="21">
        <f t="shared" si="5"/>
        <v>64</v>
      </c>
      <c r="J16" s="21">
        <f t="shared" si="6"/>
        <v>1.47</v>
      </c>
      <c r="K16" s="21" t="s">
        <v>108</v>
      </c>
      <c r="L16" s="52"/>
      <c r="M16" s="52"/>
      <c r="N16" s="52"/>
    </row>
    <row r="17" spans="1:14" s="42" customFormat="1" x14ac:dyDescent="0.25">
      <c r="A17" s="21" t="s">
        <v>35</v>
      </c>
      <c r="B17" s="21" t="s">
        <v>34</v>
      </c>
      <c r="C17" s="21">
        <v>762.23</v>
      </c>
      <c r="D17" s="21">
        <v>0</v>
      </c>
      <c r="E17" s="21">
        <v>1.0249999999999999</v>
      </c>
      <c r="F17" s="21">
        <f t="shared" si="4"/>
        <v>0</v>
      </c>
      <c r="G17" s="26">
        <v>64</v>
      </c>
      <c r="H17" s="21">
        <v>1.47</v>
      </c>
      <c r="I17" s="21">
        <f t="shared" si="5"/>
        <v>64</v>
      </c>
      <c r="J17" s="21">
        <f t="shared" si="6"/>
        <v>1.47</v>
      </c>
      <c r="K17" s="21" t="s">
        <v>108</v>
      </c>
      <c r="L17" s="52"/>
      <c r="M17" s="52"/>
      <c r="N17" s="52"/>
    </row>
    <row r="18" spans="1:14" s="42" customFormat="1" x14ac:dyDescent="0.25">
      <c r="A18" s="21" t="s">
        <v>36</v>
      </c>
      <c r="B18" s="21" t="s">
        <v>37</v>
      </c>
      <c r="C18" s="21">
        <v>782.01</v>
      </c>
      <c r="D18" s="21">
        <v>0</v>
      </c>
      <c r="E18" s="21">
        <v>1.0249999999999999</v>
      </c>
      <c r="F18" s="21">
        <f t="shared" si="4"/>
        <v>0</v>
      </c>
      <c r="G18" s="21">
        <v>89.5</v>
      </c>
      <c r="H18" s="21">
        <v>1.46</v>
      </c>
      <c r="I18" s="21">
        <f t="shared" si="5"/>
        <v>89.5</v>
      </c>
      <c r="J18" s="21">
        <f t="shared" si="6"/>
        <v>1.46</v>
      </c>
      <c r="K18" s="21" t="s">
        <v>108</v>
      </c>
      <c r="L18" s="52"/>
      <c r="M18" s="52"/>
      <c r="N18" s="52"/>
    </row>
    <row r="19" spans="1:14" s="42" customFormat="1" x14ac:dyDescent="0.25">
      <c r="A19" s="21" t="s">
        <v>38</v>
      </c>
      <c r="B19" s="21" t="s">
        <v>37</v>
      </c>
      <c r="C19" s="21">
        <v>782.01</v>
      </c>
      <c r="D19" s="21">
        <v>0</v>
      </c>
      <c r="E19" s="21">
        <v>1.0249999999999999</v>
      </c>
      <c r="F19" s="21">
        <f t="shared" si="4"/>
        <v>0</v>
      </c>
      <c r="G19" s="21">
        <v>89.5</v>
      </c>
      <c r="H19" s="21">
        <v>1.46</v>
      </c>
      <c r="I19" s="21">
        <f t="shared" si="5"/>
        <v>89.5</v>
      </c>
      <c r="J19" s="21">
        <f t="shared" si="6"/>
        <v>1.46</v>
      </c>
      <c r="K19" s="21" t="s">
        <v>108</v>
      </c>
      <c r="L19" s="52"/>
      <c r="M19" s="52"/>
      <c r="N19" s="52"/>
    </row>
    <row r="20" spans="1:14" s="42" customFormat="1" x14ac:dyDescent="0.25">
      <c r="A20" s="21" t="s">
        <v>39</v>
      </c>
      <c r="B20" s="21" t="s">
        <v>40</v>
      </c>
      <c r="C20" s="21">
        <v>784.75</v>
      </c>
      <c r="D20" s="21">
        <v>0</v>
      </c>
      <c r="E20" s="21">
        <v>1.0249999999999999</v>
      </c>
      <c r="F20" s="21">
        <f t="shared" si="4"/>
        <v>0</v>
      </c>
      <c r="G20" s="21">
        <v>115</v>
      </c>
      <c r="H20" s="21">
        <v>1.46</v>
      </c>
      <c r="I20" s="21">
        <f t="shared" si="5"/>
        <v>115</v>
      </c>
      <c r="J20" s="21">
        <f t="shared" si="6"/>
        <v>1.46</v>
      </c>
      <c r="K20" s="21" t="s">
        <v>108</v>
      </c>
      <c r="L20" s="52"/>
      <c r="M20" s="52"/>
      <c r="N20" s="52"/>
    </row>
    <row r="21" spans="1:14" s="42" customFormat="1" x14ac:dyDescent="0.25">
      <c r="A21" s="21" t="s">
        <v>41</v>
      </c>
      <c r="B21" s="21" t="s">
        <v>40</v>
      </c>
      <c r="C21" s="21">
        <v>784.75</v>
      </c>
      <c r="D21" s="21">
        <v>0</v>
      </c>
      <c r="E21" s="21">
        <v>1.0249999999999999</v>
      </c>
      <c r="F21" s="21">
        <f t="shared" si="4"/>
        <v>0</v>
      </c>
      <c r="G21" s="21">
        <v>115</v>
      </c>
      <c r="H21" s="21">
        <v>1.46</v>
      </c>
      <c r="I21" s="21">
        <f t="shared" si="5"/>
        <v>115</v>
      </c>
      <c r="J21" s="21">
        <f t="shared" si="6"/>
        <v>1.46</v>
      </c>
      <c r="K21" s="21" t="s">
        <v>108</v>
      </c>
      <c r="L21" s="52"/>
      <c r="M21" s="52"/>
      <c r="N21" s="52"/>
    </row>
    <row r="22" spans="1:14" s="42" customFormat="1" x14ac:dyDescent="0.25">
      <c r="A22" s="21" t="s">
        <v>42</v>
      </c>
      <c r="B22" s="21" t="s">
        <v>43</v>
      </c>
      <c r="C22" s="21">
        <v>784.6</v>
      </c>
      <c r="D22" s="21">
        <v>0</v>
      </c>
      <c r="E22" s="21">
        <v>1.0249999999999999</v>
      </c>
      <c r="F22" s="21">
        <f t="shared" si="4"/>
        <v>0</v>
      </c>
      <c r="G22" s="21">
        <v>140.5</v>
      </c>
      <c r="H22" s="21">
        <v>1.46</v>
      </c>
      <c r="I22" s="21">
        <f t="shared" si="5"/>
        <v>140.5</v>
      </c>
      <c r="J22" s="21">
        <f t="shared" si="6"/>
        <v>1.46</v>
      </c>
      <c r="K22" s="21" t="s">
        <v>108</v>
      </c>
      <c r="L22" s="52"/>
      <c r="M22" s="52"/>
      <c r="N22" s="52"/>
    </row>
    <row r="23" spans="1:14" s="42" customFormat="1" x14ac:dyDescent="0.25">
      <c r="A23" s="21" t="s">
        <v>44</v>
      </c>
      <c r="B23" s="21" t="s">
        <v>43</v>
      </c>
      <c r="C23" s="21">
        <v>784.6</v>
      </c>
      <c r="D23" s="21">
        <v>0</v>
      </c>
      <c r="E23" s="21">
        <v>1.0249999999999999</v>
      </c>
      <c r="F23" s="21">
        <f t="shared" si="4"/>
        <v>0</v>
      </c>
      <c r="G23" s="21">
        <v>140.5</v>
      </c>
      <c r="H23" s="21">
        <v>1.46</v>
      </c>
      <c r="I23" s="21">
        <f t="shared" si="5"/>
        <v>140.5</v>
      </c>
      <c r="J23" s="21">
        <f t="shared" si="6"/>
        <v>1.46</v>
      </c>
      <c r="K23" s="21" t="s">
        <v>108</v>
      </c>
      <c r="L23" s="52"/>
      <c r="M23" s="52"/>
      <c r="N23" s="52"/>
    </row>
    <row r="24" spans="1:14" s="42" customFormat="1" x14ac:dyDescent="0.25">
      <c r="A24" s="21" t="s">
        <v>45</v>
      </c>
      <c r="B24" s="21" t="s">
        <v>46</v>
      </c>
      <c r="C24" s="21">
        <v>784.6</v>
      </c>
      <c r="D24" s="21">
        <v>0</v>
      </c>
      <c r="E24" s="21">
        <v>1.0249999999999999</v>
      </c>
      <c r="F24" s="21">
        <f t="shared" si="4"/>
        <v>0</v>
      </c>
      <c r="G24" s="21">
        <v>166</v>
      </c>
      <c r="H24" s="21">
        <v>1.46</v>
      </c>
      <c r="I24" s="21">
        <f t="shared" si="5"/>
        <v>166</v>
      </c>
      <c r="J24" s="21">
        <f t="shared" si="6"/>
        <v>1.46</v>
      </c>
      <c r="K24" s="21" t="s">
        <v>108</v>
      </c>
      <c r="L24" s="52"/>
      <c r="M24" s="52"/>
      <c r="N24" s="52"/>
    </row>
    <row r="25" spans="1:14" s="42" customFormat="1" x14ac:dyDescent="0.25">
      <c r="A25" s="21" t="s">
        <v>47</v>
      </c>
      <c r="B25" s="21" t="s">
        <v>46</v>
      </c>
      <c r="C25" s="21">
        <v>784.6</v>
      </c>
      <c r="D25" s="21">
        <v>0</v>
      </c>
      <c r="E25" s="21">
        <v>1.0249999999999999</v>
      </c>
      <c r="F25" s="21">
        <f t="shared" si="4"/>
        <v>0</v>
      </c>
      <c r="G25" s="21">
        <v>166</v>
      </c>
      <c r="H25" s="21">
        <v>1.46</v>
      </c>
      <c r="I25" s="21">
        <f t="shared" si="5"/>
        <v>166</v>
      </c>
      <c r="J25" s="21">
        <f t="shared" si="6"/>
        <v>1.46</v>
      </c>
      <c r="K25" s="21" t="s">
        <v>108</v>
      </c>
      <c r="L25" s="52"/>
      <c r="M25" s="52"/>
      <c r="N25" s="52"/>
    </row>
    <row r="26" spans="1:14" s="42" customFormat="1" x14ac:dyDescent="0.25">
      <c r="A26" s="21" t="s">
        <v>48</v>
      </c>
      <c r="B26" s="21" t="s">
        <v>29</v>
      </c>
      <c r="C26" s="48">
        <f>428.97+350.99</f>
        <v>779.96</v>
      </c>
      <c r="D26" s="21">
        <v>0</v>
      </c>
      <c r="E26" s="21">
        <v>1.0249999999999999</v>
      </c>
      <c r="F26" s="21">
        <f t="shared" si="4"/>
        <v>0</v>
      </c>
      <c r="G26" s="21">
        <v>196.7</v>
      </c>
      <c r="H26" s="48">
        <v>1.49</v>
      </c>
      <c r="I26" s="21">
        <f t="shared" si="5"/>
        <v>196.7</v>
      </c>
      <c r="J26" s="21">
        <f t="shared" si="6"/>
        <v>1.49</v>
      </c>
      <c r="K26" s="21" t="s">
        <v>108</v>
      </c>
      <c r="L26" s="52"/>
      <c r="M26" s="52"/>
      <c r="N26" s="52"/>
    </row>
    <row r="27" spans="1:14" s="42" customFormat="1" x14ac:dyDescent="0.25">
      <c r="A27" s="21" t="s">
        <v>49</v>
      </c>
      <c r="B27" s="21" t="s">
        <v>29</v>
      </c>
      <c r="C27" s="48">
        <f>428.97+350.99</f>
        <v>779.96</v>
      </c>
      <c r="D27" s="21">
        <v>0</v>
      </c>
      <c r="E27" s="21">
        <v>1.0249999999999999</v>
      </c>
      <c r="F27" s="21">
        <f t="shared" si="4"/>
        <v>0</v>
      </c>
      <c r="G27" s="21">
        <v>196.7</v>
      </c>
      <c r="H27" s="48">
        <v>1.49</v>
      </c>
      <c r="I27" s="21">
        <f t="shared" si="5"/>
        <v>196.7</v>
      </c>
      <c r="J27" s="21">
        <f t="shared" si="6"/>
        <v>1.49</v>
      </c>
      <c r="K27" s="21" t="s">
        <v>108</v>
      </c>
      <c r="L27" s="52"/>
      <c r="M27" s="52"/>
      <c r="N27" s="52"/>
    </row>
    <row r="28" spans="1:14" s="42" customFormat="1" x14ac:dyDescent="0.25">
      <c r="A28" s="16" t="s">
        <v>50</v>
      </c>
      <c r="B28" s="16" t="s">
        <v>29</v>
      </c>
      <c r="C28" s="16">
        <v>232.55</v>
      </c>
      <c r="D28" s="16">
        <v>0</v>
      </c>
      <c r="E28" s="16">
        <v>1.0249999999999999</v>
      </c>
      <c r="F28" s="21">
        <f t="shared" si="4"/>
        <v>0</v>
      </c>
      <c r="G28" s="16">
        <v>40.64</v>
      </c>
      <c r="H28" s="16">
        <v>11.46</v>
      </c>
      <c r="I28" s="16">
        <f t="shared" si="5"/>
        <v>40.64</v>
      </c>
      <c r="J28" s="16">
        <f t="shared" si="6"/>
        <v>11.46</v>
      </c>
      <c r="K28" s="16" t="s">
        <v>121</v>
      </c>
      <c r="L28" s="52"/>
      <c r="M28" s="52"/>
      <c r="N28" s="52"/>
    </row>
    <row r="29" spans="1:14" s="42" customFormat="1" x14ac:dyDescent="0.25">
      <c r="A29" s="16" t="s">
        <v>51</v>
      </c>
      <c r="B29" s="16" t="s">
        <v>29</v>
      </c>
      <c r="C29" s="11">
        <v>232.55</v>
      </c>
      <c r="D29" s="16">
        <v>0</v>
      </c>
      <c r="E29" s="16">
        <v>1.0249999999999999</v>
      </c>
      <c r="F29" s="21">
        <f t="shared" si="4"/>
        <v>0</v>
      </c>
      <c r="G29" s="16">
        <v>40.64</v>
      </c>
      <c r="H29" s="16">
        <v>11.46</v>
      </c>
      <c r="I29" s="16">
        <f t="shared" si="5"/>
        <v>40.64</v>
      </c>
      <c r="J29" s="16">
        <f t="shared" si="6"/>
        <v>11.46</v>
      </c>
      <c r="K29" s="16" t="s">
        <v>121</v>
      </c>
      <c r="L29" s="52"/>
      <c r="M29" s="52"/>
      <c r="N29" s="52"/>
    </row>
    <row r="30" spans="1:14" s="42" customFormat="1" x14ac:dyDescent="0.25">
      <c r="A30" s="16" t="s">
        <v>52</v>
      </c>
      <c r="B30" s="16" t="s">
        <v>34</v>
      </c>
      <c r="C30" s="16">
        <v>351.96</v>
      </c>
      <c r="D30" s="16">
        <v>0</v>
      </c>
      <c r="E30" s="16">
        <v>1.0249999999999999</v>
      </c>
      <c r="F30" s="21">
        <f t="shared" si="4"/>
        <v>0</v>
      </c>
      <c r="G30" s="16">
        <v>64</v>
      </c>
      <c r="H30" s="16">
        <v>10.119999999999999</v>
      </c>
      <c r="I30" s="16">
        <f t="shared" si="5"/>
        <v>64</v>
      </c>
      <c r="J30" s="16">
        <f t="shared" si="6"/>
        <v>10.119999999999999</v>
      </c>
      <c r="K30" s="16" t="s">
        <v>121</v>
      </c>
      <c r="L30" s="52"/>
      <c r="M30" s="54"/>
      <c r="N30" s="52"/>
    </row>
    <row r="31" spans="1:14" s="42" customFormat="1" x14ac:dyDescent="0.25">
      <c r="A31" s="16" t="s">
        <v>53</v>
      </c>
      <c r="B31" s="16" t="s">
        <v>34</v>
      </c>
      <c r="C31" s="16">
        <v>351.96</v>
      </c>
      <c r="D31" s="16">
        <v>0</v>
      </c>
      <c r="E31" s="16">
        <v>1.0249999999999999</v>
      </c>
      <c r="F31" s="21">
        <f t="shared" si="4"/>
        <v>0</v>
      </c>
      <c r="G31" s="16">
        <v>64</v>
      </c>
      <c r="H31" s="16">
        <v>10.119999999999999</v>
      </c>
      <c r="I31" s="16">
        <f t="shared" si="5"/>
        <v>64</v>
      </c>
      <c r="J31" s="16">
        <f t="shared" si="6"/>
        <v>10.119999999999999</v>
      </c>
      <c r="K31" s="16" t="s">
        <v>121</v>
      </c>
      <c r="L31" s="52"/>
      <c r="M31" s="54"/>
      <c r="N31" s="52"/>
    </row>
    <row r="32" spans="1:14" s="42" customFormat="1" x14ac:dyDescent="0.25">
      <c r="A32" s="16" t="s">
        <v>54</v>
      </c>
      <c r="B32" s="16" t="s">
        <v>37</v>
      </c>
      <c r="C32" s="16">
        <v>351.96</v>
      </c>
      <c r="D32" s="16">
        <v>0</v>
      </c>
      <c r="E32" s="16">
        <v>1.0249999999999999</v>
      </c>
      <c r="F32" s="21">
        <f t="shared" si="4"/>
        <v>0</v>
      </c>
      <c r="G32" s="16">
        <v>89.5</v>
      </c>
      <c r="H32" s="16">
        <v>10.119999999999999</v>
      </c>
      <c r="I32" s="16">
        <f t="shared" si="5"/>
        <v>89.5</v>
      </c>
      <c r="J32" s="16">
        <f t="shared" si="6"/>
        <v>10.119999999999999</v>
      </c>
      <c r="K32" s="16" t="s">
        <v>121</v>
      </c>
      <c r="L32" s="52"/>
      <c r="M32" s="52"/>
      <c r="N32" s="52"/>
    </row>
    <row r="33" spans="1:14" s="42" customFormat="1" x14ac:dyDescent="0.25">
      <c r="A33" s="16" t="s">
        <v>55</v>
      </c>
      <c r="B33" s="16" t="s">
        <v>37</v>
      </c>
      <c r="C33" s="16">
        <v>351.96</v>
      </c>
      <c r="D33" s="16">
        <v>0</v>
      </c>
      <c r="E33" s="16">
        <v>1.0249999999999999</v>
      </c>
      <c r="F33" s="21">
        <f t="shared" si="4"/>
        <v>0</v>
      </c>
      <c r="G33" s="16">
        <v>89.5</v>
      </c>
      <c r="H33" s="16">
        <v>10.119999999999999</v>
      </c>
      <c r="I33" s="16">
        <f t="shared" si="5"/>
        <v>89.5</v>
      </c>
      <c r="J33" s="16">
        <f t="shared" si="6"/>
        <v>10.119999999999999</v>
      </c>
      <c r="K33" s="16" t="s">
        <v>121</v>
      </c>
      <c r="L33" s="52"/>
      <c r="M33" s="52"/>
      <c r="N33" s="52"/>
    </row>
    <row r="34" spans="1:14" s="42" customFormat="1" x14ac:dyDescent="0.25">
      <c r="A34" s="16" t="s">
        <v>56</v>
      </c>
      <c r="B34" s="16" t="s">
        <v>40</v>
      </c>
      <c r="C34" s="16">
        <v>351.96</v>
      </c>
      <c r="D34" s="16">
        <v>0</v>
      </c>
      <c r="E34" s="16">
        <v>1.0249999999999999</v>
      </c>
      <c r="F34" s="21">
        <f t="shared" si="4"/>
        <v>0</v>
      </c>
      <c r="G34" s="16">
        <v>115</v>
      </c>
      <c r="H34" s="16">
        <v>10.119999999999999</v>
      </c>
      <c r="I34" s="16">
        <f t="shared" si="5"/>
        <v>115</v>
      </c>
      <c r="J34" s="16">
        <f t="shared" si="6"/>
        <v>10.119999999999999</v>
      </c>
      <c r="K34" s="16" t="s">
        <v>121</v>
      </c>
      <c r="L34" s="52"/>
      <c r="M34" s="52"/>
      <c r="N34" s="52"/>
    </row>
    <row r="35" spans="1:14" s="42" customFormat="1" x14ac:dyDescent="0.25">
      <c r="A35" s="16" t="s">
        <v>57</v>
      </c>
      <c r="B35" s="16" t="s">
        <v>40</v>
      </c>
      <c r="C35" s="16">
        <v>351.96</v>
      </c>
      <c r="D35" s="16">
        <v>0</v>
      </c>
      <c r="E35" s="16">
        <v>1.0249999999999999</v>
      </c>
      <c r="F35" s="21">
        <f t="shared" si="4"/>
        <v>0</v>
      </c>
      <c r="G35" s="16">
        <v>115</v>
      </c>
      <c r="H35" s="16">
        <v>10.119999999999999</v>
      </c>
      <c r="I35" s="16">
        <f t="shared" si="5"/>
        <v>115</v>
      </c>
      <c r="J35" s="16">
        <f t="shared" si="6"/>
        <v>10.119999999999999</v>
      </c>
      <c r="K35" s="16" t="s">
        <v>121</v>
      </c>
      <c r="L35" s="52"/>
      <c r="M35" s="52"/>
      <c r="N35" s="52"/>
    </row>
    <row r="36" spans="1:14" s="42" customFormat="1" x14ac:dyDescent="0.25">
      <c r="A36" s="16" t="s">
        <v>58</v>
      </c>
      <c r="B36" s="16" t="s">
        <v>59</v>
      </c>
      <c r="C36" s="16">
        <v>351.96</v>
      </c>
      <c r="D36" s="16">
        <v>0</v>
      </c>
      <c r="E36" s="16">
        <v>1.0249999999999999</v>
      </c>
      <c r="F36" s="21">
        <f t="shared" si="4"/>
        <v>0</v>
      </c>
      <c r="G36" s="16">
        <v>140.5</v>
      </c>
      <c r="H36" s="16">
        <v>10.119999999999999</v>
      </c>
      <c r="I36" s="16">
        <f t="shared" si="5"/>
        <v>140.5</v>
      </c>
      <c r="J36" s="16">
        <f t="shared" si="6"/>
        <v>10.119999999999999</v>
      </c>
      <c r="K36" s="16" t="s">
        <v>121</v>
      </c>
      <c r="L36" s="52"/>
      <c r="M36" s="52"/>
      <c r="N36" s="52"/>
    </row>
    <row r="37" spans="1:14" s="42" customFormat="1" x14ac:dyDescent="0.25">
      <c r="A37" s="16" t="s">
        <v>60</v>
      </c>
      <c r="B37" s="16" t="s">
        <v>59</v>
      </c>
      <c r="C37" s="16">
        <v>351.96</v>
      </c>
      <c r="D37" s="16">
        <v>0</v>
      </c>
      <c r="E37" s="16">
        <v>1.0249999999999999</v>
      </c>
      <c r="F37" s="21">
        <f t="shared" si="4"/>
        <v>0</v>
      </c>
      <c r="G37" s="16">
        <v>140.5</v>
      </c>
      <c r="H37" s="16">
        <v>10.119999999999999</v>
      </c>
      <c r="I37" s="16">
        <f t="shared" si="5"/>
        <v>140.5</v>
      </c>
      <c r="J37" s="16">
        <f t="shared" si="6"/>
        <v>10.119999999999999</v>
      </c>
      <c r="K37" s="16" t="s">
        <v>121</v>
      </c>
      <c r="L37" s="52"/>
      <c r="M37" s="52"/>
      <c r="N37" s="52"/>
    </row>
    <row r="38" spans="1:14" s="42" customFormat="1" x14ac:dyDescent="0.25">
      <c r="A38" s="16" t="s">
        <v>61</v>
      </c>
      <c r="B38" s="16" t="s">
        <v>62</v>
      </c>
      <c r="C38" s="16">
        <v>351.96</v>
      </c>
      <c r="D38" s="16">
        <v>0</v>
      </c>
      <c r="E38" s="16">
        <v>1.0249999999999999</v>
      </c>
      <c r="F38" s="21">
        <f t="shared" si="4"/>
        <v>0</v>
      </c>
      <c r="G38" s="16">
        <v>166</v>
      </c>
      <c r="H38" s="16">
        <v>10.119999999999999</v>
      </c>
      <c r="I38" s="16">
        <f t="shared" si="5"/>
        <v>166</v>
      </c>
      <c r="J38" s="16">
        <f t="shared" si="6"/>
        <v>10.119999999999999</v>
      </c>
      <c r="K38" s="16" t="s">
        <v>121</v>
      </c>
      <c r="L38" s="52"/>
      <c r="M38" s="52"/>
      <c r="N38" s="52"/>
    </row>
    <row r="39" spans="1:14" s="42" customFormat="1" x14ac:dyDescent="0.25">
      <c r="A39" s="16" t="s">
        <v>63</v>
      </c>
      <c r="B39" s="16" t="s">
        <v>62</v>
      </c>
      <c r="C39" s="16">
        <v>351.96</v>
      </c>
      <c r="D39" s="16">
        <v>0</v>
      </c>
      <c r="E39" s="16">
        <v>1.0249999999999999</v>
      </c>
      <c r="F39" s="21">
        <f t="shared" si="4"/>
        <v>0</v>
      </c>
      <c r="G39" s="16">
        <v>166</v>
      </c>
      <c r="H39" s="16">
        <v>10.119999999999999</v>
      </c>
      <c r="I39" s="16">
        <f t="shared" si="5"/>
        <v>166</v>
      </c>
      <c r="J39" s="16">
        <f t="shared" si="6"/>
        <v>10.119999999999999</v>
      </c>
      <c r="K39" s="16" t="s">
        <v>121</v>
      </c>
      <c r="L39" s="52"/>
      <c r="M39" s="52"/>
      <c r="N39" s="52"/>
    </row>
    <row r="40" spans="1:14" s="42" customFormat="1" x14ac:dyDescent="0.25">
      <c r="A40" s="16" t="s">
        <v>64</v>
      </c>
      <c r="B40" s="16" t="s">
        <v>46</v>
      </c>
      <c r="C40" s="11">
        <v>330.03</v>
      </c>
      <c r="D40" s="16">
        <v>0</v>
      </c>
      <c r="E40" s="16">
        <v>1.0249999999999999</v>
      </c>
      <c r="F40" s="21">
        <f t="shared" si="4"/>
        <v>0</v>
      </c>
      <c r="G40" s="16">
        <v>191.5</v>
      </c>
      <c r="H40" s="16">
        <v>10.119999999999999</v>
      </c>
      <c r="I40" s="16">
        <f t="shared" si="5"/>
        <v>191.5</v>
      </c>
      <c r="J40" s="16">
        <f t="shared" si="6"/>
        <v>10.119999999999999</v>
      </c>
      <c r="K40" s="16" t="s">
        <v>121</v>
      </c>
      <c r="L40" s="52"/>
      <c r="M40" s="52"/>
      <c r="N40" s="52"/>
    </row>
    <row r="41" spans="1:14" s="42" customFormat="1" x14ac:dyDescent="0.25">
      <c r="A41" s="16" t="s">
        <v>65</v>
      </c>
      <c r="B41" s="16" t="s">
        <v>46</v>
      </c>
      <c r="C41" s="16">
        <v>330.03</v>
      </c>
      <c r="D41" s="16">
        <v>0</v>
      </c>
      <c r="E41" s="16">
        <v>1.0249999999999999</v>
      </c>
      <c r="F41" s="21">
        <f t="shared" si="4"/>
        <v>0</v>
      </c>
      <c r="G41" s="16">
        <v>191.5</v>
      </c>
      <c r="H41" s="16">
        <v>10.119999999999999</v>
      </c>
      <c r="I41" s="16">
        <f t="shared" si="5"/>
        <v>191.5</v>
      </c>
      <c r="J41" s="16">
        <f t="shared" si="6"/>
        <v>10.119999999999999</v>
      </c>
      <c r="K41" s="16" t="s">
        <v>121</v>
      </c>
      <c r="L41" s="52"/>
      <c r="M41" s="52"/>
      <c r="N41" s="52"/>
    </row>
    <row r="42" spans="1:14" s="42" customFormat="1" x14ac:dyDescent="0.25">
      <c r="A42" s="16" t="s">
        <v>66</v>
      </c>
      <c r="B42" s="16" t="s">
        <v>67</v>
      </c>
      <c r="C42" s="16">
        <v>629.11</v>
      </c>
      <c r="D42" s="16">
        <v>0</v>
      </c>
      <c r="E42" s="16">
        <v>1.0249999999999999</v>
      </c>
      <c r="F42" s="21">
        <f t="shared" si="4"/>
        <v>0</v>
      </c>
      <c r="G42" s="16">
        <v>191.89</v>
      </c>
      <c r="H42" s="16">
        <v>18.71</v>
      </c>
      <c r="I42" s="16">
        <f t="shared" si="5"/>
        <v>191.89</v>
      </c>
      <c r="J42" s="16">
        <f t="shared" si="6"/>
        <v>18.71</v>
      </c>
      <c r="K42" s="16" t="s">
        <v>121</v>
      </c>
      <c r="L42" s="52"/>
      <c r="M42" s="54"/>
      <c r="N42" s="52"/>
    </row>
    <row r="43" spans="1:14" s="42" customFormat="1" x14ac:dyDescent="0.25">
      <c r="A43" s="16" t="s">
        <v>68</v>
      </c>
      <c r="B43" s="16" t="s">
        <v>67</v>
      </c>
      <c r="C43" s="16">
        <v>629.11</v>
      </c>
      <c r="D43" s="16">
        <v>0</v>
      </c>
      <c r="E43" s="16">
        <v>1.0249999999999999</v>
      </c>
      <c r="F43" s="21">
        <f t="shared" si="4"/>
        <v>0</v>
      </c>
      <c r="G43" s="16">
        <v>191.89</v>
      </c>
      <c r="H43" s="16">
        <v>18.71</v>
      </c>
      <c r="I43" s="16">
        <f t="shared" si="5"/>
        <v>191.89</v>
      </c>
      <c r="J43" s="16">
        <f t="shared" si="6"/>
        <v>18.71</v>
      </c>
      <c r="K43" s="16" t="s">
        <v>121</v>
      </c>
      <c r="L43" s="52"/>
      <c r="M43" s="52"/>
      <c r="N43" s="52"/>
    </row>
    <row r="44" spans="1:14" s="42" customFormat="1" x14ac:dyDescent="0.25">
      <c r="A44" s="16" t="s">
        <v>122</v>
      </c>
      <c r="B44" s="16" t="s">
        <v>43</v>
      </c>
      <c r="C44" s="16">
        <v>1013.88</v>
      </c>
      <c r="D44" s="16">
        <v>0</v>
      </c>
      <c r="E44" s="16">
        <v>0.89</v>
      </c>
      <c r="F44" s="21">
        <f t="shared" si="4"/>
        <v>0</v>
      </c>
      <c r="G44" s="16">
        <v>153.88</v>
      </c>
      <c r="H44" s="16">
        <v>17.5</v>
      </c>
      <c r="I44" s="16">
        <f t="shared" si="5"/>
        <v>153.88</v>
      </c>
      <c r="J44" s="16">
        <f t="shared" si="5"/>
        <v>17.5</v>
      </c>
      <c r="K44" s="16" t="s">
        <v>121</v>
      </c>
      <c r="L44" s="52"/>
      <c r="M44" s="54"/>
      <c r="N44" s="52"/>
    </row>
    <row r="45" spans="1:14" s="42" customFormat="1" x14ac:dyDescent="0.25">
      <c r="A45" s="16" t="s">
        <v>123</v>
      </c>
      <c r="B45" s="16" t="s">
        <v>43</v>
      </c>
      <c r="C45" s="16">
        <v>1013.88</v>
      </c>
      <c r="D45" s="16">
        <v>0</v>
      </c>
      <c r="E45" s="16">
        <v>0.89</v>
      </c>
      <c r="F45" s="21">
        <f t="shared" si="4"/>
        <v>0</v>
      </c>
      <c r="G45" s="16">
        <v>153.88</v>
      </c>
      <c r="H45" s="16">
        <v>17.5</v>
      </c>
      <c r="I45" s="16">
        <f t="shared" ref="I45:J47" si="7">G45</f>
        <v>153.88</v>
      </c>
      <c r="J45" s="16">
        <f t="shared" si="7"/>
        <v>17.5</v>
      </c>
      <c r="K45" s="16" t="s">
        <v>121</v>
      </c>
      <c r="L45" s="52"/>
      <c r="M45" s="52"/>
      <c r="N45" s="52"/>
    </row>
    <row r="46" spans="1:14" s="42" customFormat="1" x14ac:dyDescent="0.25">
      <c r="A46" s="16" t="s">
        <v>124</v>
      </c>
      <c r="B46" s="16" t="s">
        <v>81</v>
      </c>
      <c r="C46" s="16">
        <v>1013.88</v>
      </c>
      <c r="D46" s="16">
        <v>0</v>
      </c>
      <c r="E46" s="16">
        <v>0.89</v>
      </c>
      <c r="F46" s="21">
        <f t="shared" si="4"/>
        <v>0</v>
      </c>
      <c r="G46" s="16">
        <v>102.25</v>
      </c>
      <c r="H46" s="16">
        <v>17.420000000000002</v>
      </c>
      <c r="I46" s="16">
        <f t="shared" si="7"/>
        <v>102.25</v>
      </c>
      <c r="J46" s="16">
        <f t="shared" si="7"/>
        <v>17.420000000000002</v>
      </c>
      <c r="K46" s="16" t="s">
        <v>121</v>
      </c>
      <c r="L46" s="52"/>
      <c r="M46" s="52"/>
      <c r="N46" s="52"/>
    </row>
    <row r="47" spans="1:14" s="42" customFormat="1" x14ac:dyDescent="0.25">
      <c r="A47" s="16" t="s">
        <v>125</v>
      </c>
      <c r="B47" s="16" t="s">
        <v>81</v>
      </c>
      <c r="C47" s="16">
        <v>1013.88</v>
      </c>
      <c r="D47" s="16">
        <v>0</v>
      </c>
      <c r="E47" s="16">
        <v>0.89</v>
      </c>
      <c r="F47" s="21">
        <f t="shared" si="4"/>
        <v>0</v>
      </c>
      <c r="G47" s="16">
        <v>102.25</v>
      </c>
      <c r="H47" s="16">
        <v>17.420000000000002</v>
      </c>
      <c r="I47" s="16">
        <f t="shared" si="7"/>
        <v>102.25</v>
      </c>
      <c r="J47" s="16">
        <f t="shared" si="7"/>
        <v>17.420000000000002</v>
      </c>
      <c r="K47" s="16" t="s">
        <v>121</v>
      </c>
      <c r="L47" s="52"/>
      <c r="M47" s="52"/>
      <c r="N47" s="52"/>
    </row>
    <row r="48" spans="1:14" s="42" customFormat="1" x14ac:dyDescent="0.25">
      <c r="A48" s="9" t="s">
        <v>69</v>
      </c>
      <c r="B48" s="9"/>
      <c r="C48" s="9"/>
      <c r="D48" s="21"/>
      <c r="E48" s="21"/>
      <c r="F48" s="9">
        <f>SUM(F14:F43)</f>
        <v>0</v>
      </c>
      <c r="G48" s="21"/>
      <c r="H48" s="21"/>
      <c r="I48" s="9">
        <f>SUMPRODUCT(F14:F47,I14:I47)/(SUM(F14:F47)+1E-20)</f>
        <v>0</v>
      </c>
      <c r="J48" s="9">
        <f>SUMPRODUCT(F14:F47,J14:J47)/(SUM(F14:F47)+1E-20)</f>
        <v>0</v>
      </c>
      <c r="K48" s="9">
        <f>SUM(K14:K47)</f>
        <v>0</v>
      </c>
      <c r="L48" s="52"/>
      <c r="M48" s="52"/>
      <c r="N48" s="52"/>
    </row>
    <row r="49" spans="1:14" x14ac:dyDescent="0.25">
      <c r="A49" s="72" t="s">
        <v>70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</row>
    <row r="50" spans="1:14" s="42" customFormat="1" x14ac:dyDescent="0.25">
      <c r="A50" s="16" t="s">
        <v>126</v>
      </c>
      <c r="B50" s="16" t="s">
        <v>127</v>
      </c>
      <c r="C50" s="16">
        <v>23.27</v>
      </c>
      <c r="D50" s="16">
        <v>98</v>
      </c>
      <c r="E50" s="16">
        <v>1</v>
      </c>
      <c r="F50" s="16">
        <f>C50*D50/100*E50</f>
        <v>22.804600000000001</v>
      </c>
      <c r="G50" s="16">
        <v>7.51</v>
      </c>
      <c r="H50" s="16">
        <v>14.51</v>
      </c>
      <c r="I50" s="16">
        <f>G50</f>
        <v>7.51</v>
      </c>
      <c r="J50" s="16">
        <f>H50</f>
        <v>14.51</v>
      </c>
      <c r="K50" s="16" t="s">
        <v>131</v>
      </c>
      <c r="L50" s="52"/>
      <c r="M50" s="52"/>
      <c r="N50" s="52"/>
    </row>
    <row r="51" spans="1:14" s="49" customFormat="1" x14ac:dyDescent="0.25">
      <c r="A51" s="16" t="s">
        <v>71</v>
      </c>
      <c r="B51" s="16" t="s">
        <v>72</v>
      </c>
      <c r="C51" s="16">
        <v>239.6</v>
      </c>
      <c r="D51" s="16">
        <v>98</v>
      </c>
      <c r="E51" s="16">
        <v>1</v>
      </c>
      <c r="F51" s="16">
        <f t="shared" ref="F51:F52" si="8">C51*D51/100*E51</f>
        <v>234.80799999999999</v>
      </c>
      <c r="G51" s="16">
        <v>3.92</v>
      </c>
      <c r="H51" s="16">
        <v>16.670000000000002</v>
      </c>
      <c r="I51" s="16">
        <f t="shared" ref="I51:J52" si="9">G51</f>
        <v>3.92</v>
      </c>
      <c r="J51" s="16">
        <f t="shared" si="9"/>
        <v>16.670000000000002</v>
      </c>
      <c r="K51" s="16" t="s">
        <v>131</v>
      </c>
      <c r="L51" s="55"/>
      <c r="M51" s="33"/>
      <c r="N51" s="55"/>
    </row>
    <row r="52" spans="1:14" s="49" customFormat="1" x14ac:dyDescent="0.25">
      <c r="A52" s="16" t="s">
        <v>73</v>
      </c>
      <c r="B52" s="16" t="s">
        <v>72</v>
      </c>
      <c r="C52" s="16">
        <v>239.6</v>
      </c>
      <c r="D52" s="16">
        <v>98</v>
      </c>
      <c r="E52" s="16">
        <v>1</v>
      </c>
      <c r="F52" s="16">
        <f t="shared" si="8"/>
        <v>234.80799999999999</v>
      </c>
      <c r="G52" s="16">
        <v>3.92</v>
      </c>
      <c r="H52" s="16">
        <v>16.670000000000002</v>
      </c>
      <c r="I52" s="16">
        <f t="shared" si="9"/>
        <v>3.92</v>
      </c>
      <c r="J52" s="16">
        <f t="shared" si="9"/>
        <v>16.670000000000002</v>
      </c>
      <c r="K52" s="16" t="s">
        <v>131</v>
      </c>
      <c r="L52" s="55"/>
      <c r="M52" s="55"/>
      <c r="N52" s="55"/>
    </row>
    <row r="53" spans="1:14" s="42" customFormat="1" x14ac:dyDescent="0.25">
      <c r="A53" s="9" t="s">
        <v>69</v>
      </c>
      <c r="B53" s="9"/>
      <c r="C53" s="9"/>
      <c r="D53" s="21"/>
      <c r="E53" s="21"/>
      <c r="F53" s="9">
        <f>SUM(F51:F52)</f>
        <v>469.61599999999999</v>
      </c>
      <c r="G53" s="21"/>
      <c r="H53" s="21"/>
      <c r="I53" s="34">
        <f>SUMPRODUCT(F50:F52,I50:I52)/SUM(F50:F52)</f>
        <v>4.0862572889923783</v>
      </c>
      <c r="J53" s="34">
        <f>SUMPRODUCT(F50:F52,J50:J52)/SUM(F50:F52)</f>
        <v>16.569967759269215</v>
      </c>
      <c r="K53" s="9">
        <f>SUM(K50:K52)</f>
        <v>0</v>
      </c>
      <c r="L53" s="52"/>
      <c r="M53" s="52"/>
      <c r="N53" s="52"/>
    </row>
    <row r="54" spans="1:14" x14ac:dyDescent="0.25">
      <c r="A54" s="72" t="s">
        <v>74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</row>
    <row r="55" spans="1:14" s="42" customFormat="1" x14ac:dyDescent="0.25">
      <c r="A55" s="16" t="s">
        <v>130</v>
      </c>
      <c r="B55" s="16" t="s">
        <v>75</v>
      </c>
      <c r="C55" s="16">
        <v>130</v>
      </c>
      <c r="D55" s="16">
        <v>98</v>
      </c>
      <c r="E55" s="16">
        <v>0.85</v>
      </c>
      <c r="F55" s="16">
        <f>C55*D55/100*E55</f>
        <v>108.29</v>
      </c>
      <c r="G55" s="16">
        <v>25.37</v>
      </c>
      <c r="H55" s="16">
        <v>3.86</v>
      </c>
      <c r="I55" s="16">
        <f>G55</f>
        <v>25.37</v>
      </c>
      <c r="J55" s="16">
        <f>H55</f>
        <v>3.86</v>
      </c>
      <c r="K55" s="16" t="s">
        <v>131</v>
      </c>
      <c r="L55" s="52"/>
      <c r="M55" s="52"/>
      <c r="N55" s="52"/>
    </row>
    <row r="56" spans="1:14" s="42" customFormat="1" x14ac:dyDescent="0.25">
      <c r="A56" s="16" t="s">
        <v>77</v>
      </c>
      <c r="B56" s="16" t="s">
        <v>78</v>
      </c>
      <c r="C56" s="16">
        <v>30</v>
      </c>
      <c r="D56" s="16">
        <v>98</v>
      </c>
      <c r="E56" s="16">
        <v>0.89</v>
      </c>
      <c r="F56" s="16">
        <f>C56*D56/100*E56</f>
        <v>26.166</v>
      </c>
      <c r="G56" s="16">
        <v>14.76</v>
      </c>
      <c r="H56" s="16">
        <v>11.15</v>
      </c>
      <c r="I56" s="16">
        <f t="shared" ref="I56" si="10">G56</f>
        <v>14.76</v>
      </c>
      <c r="J56" s="16">
        <f t="shared" ref="J56:J57" si="11">H56</f>
        <v>11.15</v>
      </c>
      <c r="K56" s="16" t="s">
        <v>121</v>
      </c>
      <c r="L56" s="52"/>
      <c r="M56" s="54"/>
      <c r="N56" s="52"/>
    </row>
    <row r="57" spans="1:14" s="42" customFormat="1" x14ac:dyDescent="0.25">
      <c r="A57" s="16" t="s">
        <v>77</v>
      </c>
      <c r="B57" s="16" t="s">
        <v>79</v>
      </c>
      <c r="C57" s="16">
        <v>30</v>
      </c>
      <c r="D57" s="16">
        <v>98</v>
      </c>
      <c r="E57" s="16">
        <v>0.89</v>
      </c>
      <c r="F57" s="16">
        <f t="shared" ref="F57:F62" si="12">C57*D57/100*E57</f>
        <v>26.166</v>
      </c>
      <c r="G57" s="16">
        <v>22.73</v>
      </c>
      <c r="H57" s="16">
        <v>11.18</v>
      </c>
      <c r="I57" s="16">
        <f>G57</f>
        <v>22.73</v>
      </c>
      <c r="J57" s="16">
        <f t="shared" si="11"/>
        <v>11.18</v>
      </c>
      <c r="K57" s="16" t="s">
        <v>121</v>
      </c>
      <c r="L57" s="52"/>
      <c r="M57" s="52"/>
      <c r="N57" s="52"/>
    </row>
    <row r="58" spans="1:14" s="42" customFormat="1" x14ac:dyDescent="0.25">
      <c r="A58" s="16" t="s">
        <v>128</v>
      </c>
      <c r="B58" s="16" t="s">
        <v>83</v>
      </c>
      <c r="C58" s="16">
        <v>588.96</v>
      </c>
      <c r="D58" s="16">
        <v>98</v>
      </c>
      <c r="E58" s="16">
        <v>0.89</v>
      </c>
      <c r="F58" s="16">
        <f t="shared" si="12"/>
        <v>513.69091200000003</v>
      </c>
      <c r="G58" s="16">
        <v>19.940000000000001</v>
      </c>
      <c r="H58" s="16">
        <v>15</v>
      </c>
      <c r="I58" s="16">
        <f>G58</f>
        <v>19.940000000000001</v>
      </c>
      <c r="J58" s="16">
        <f>H58</f>
        <v>15</v>
      </c>
      <c r="K58" s="16" t="s">
        <v>131</v>
      </c>
      <c r="L58" s="16"/>
      <c r="M58" s="52"/>
      <c r="N58" s="52"/>
    </row>
    <row r="59" spans="1:14" s="42" customFormat="1" x14ac:dyDescent="0.25">
      <c r="A59" s="16" t="s">
        <v>129</v>
      </c>
      <c r="B59" s="16" t="s">
        <v>83</v>
      </c>
      <c r="C59" s="16">
        <v>588.96</v>
      </c>
      <c r="D59" s="16">
        <v>98</v>
      </c>
      <c r="E59" s="16">
        <v>0.89</v>
      </c>
      <c r="F59" s="16">
        <f t="shared" si="12"/>
        <v>513.69091200000003</v>
      </c>
      <c r="G59" s="16">
        <v>19.940000000000001</v>
      </c>
      <c r="H59" s="16">
        <v>15</v>
      </c>
      <c r="I59" s="16">
        <f>G59</f>
        <v>19.940000000000001</v>
      </c>
      <c r="J59" s="16">
        <f>H59</f>
        <v>15</v>
      </c>
      <c r="K59" s="16" t="s">
        <v>131</v>
      </c>
      <c r="L59" s="52"/>
      <c r="M59" s="52"/>
      <c r="N59" s="52"/>
    </row>
    <row r="60" spans="1:14" s="42" customFormat="1" x14ac:dyDescent="0.25">
      <c r="A60" s="21" t="s">
        <v>111</v>
      </c>
      <c r="B60" s="21" t="s">
        <v>29</v>
      </c>
      <c r="C60" s="21">
        <v>976.75</v>
      </c>
      <c r="D60" s="21">
        <v>98</v>
      </c>
      <c r="E60" s="21">
        <v>0.89</v>
      </c>
      <c r="F60" s="16">
        <f t="shared" si="12"/>
        <v>851.92135000000007</v>
      </c>
      <c r="G60" s="21">
        <v>52.03</v>
      </c>
      <c r="H60" s="21">
        <v>18.010000000000002</v>
      </c>
      <c r="I60" s="21">
        <f t="shared" ref="I60:I62" si="13">G60</f>
        <v>52.03</v>
      </c>
      <c r="J60" s="21">
        <f t="shared" ref="J60:J62" si="14">H60</f>
        <v>18.010000000000002</v>
      </c>
      <c r="K60" s="16" t="s">
        <v>131</v>
      </c>
      <c r="L60" s="52"/>
      <c r="M60" s="52"/>
      <c r="N60" s="52"/>
    </row>
    <row r="61" spans="1:14" s="42" customFormat="1" x14ac:dyDescent="0.25">
      <c r="A61" s="21" t="s">
        <v>110</v>
      </c>
      <c r="B61" s="21" t="s">
        <v>29</v>
      </c>
      <c r="C61" s="21">
        <v>976.75</v>
      </c>
      <c r="D61" s="21">
        <v>98</v>
      </c>
      <c r="E61" s="21">
        <v>0.89</v>
      </c>
      <c r="F61" s="16">
        <f t="shared" si="12"/>
        <v>851.92135000000007</v>
      </c>
      <c r="G61" s="21">
        <v>52.03</v>
      </c>
      <c r="H61" s="21">
        <v>18.010000000000002</v>
      </c>
      <c r="I61" s="21">
        <f t="shared" si="13"/>
        <v>52.03</v>
      </c>
      <c r="J61" s="21">
        <f t="shared" si="14"/>
        <v>18.010000000000002</v>
      </c>
      <c r="K61" s="16" t="s">
        <v>131</v>
      </c>
      <c r="L61" s="52"/>
      <c r="M61" s="52"/>
      <c r="N61" s="52"/>
    </row>
    <row r="62" spans="1:14" s="42" customFormat="1" x14ac:dyDescent="0.25">
      <c r="A62" s="16" t="s">
        <v>132</v>
      </c>
      <c r="B62" s="16" t="s">
        <v>133</v>
      </c>
      <c r="C62" s="21">
        <v>110</v>
      </c>
      <c r="D62" s="21">
        <v>98</v>
      </c>
      <c r="E62" s="21">
        <v>0.89</v>
      </c>
      <c r="F62" s="16">
        <f t="shared" si="12"/>
        <v>95.941999999999993</v>
      </c>
      <c r="G62" s="21">
        <v>22.45</v>
      </c>
      <c r="H62" s="21">
        <v>12.52</v>
      </c>
      <c r="I62" s="21">
        <f t="shared" si="13"/>
        <v>22.45</v>
      </c>
      <c r="J62" s="21">
        <f t="shared" si="14"/>
        <v>12.52</v>
      </c>
      <c r="K62" s="16" t="s">
        <v>131</v>
      </c>
      <c r="L62" s="52"/>
      <c r="M62" s="52"/>
      <c r="N62" s="52"/>
    </row>
    <row r="63" spans="1:14" s="42" customFormat="1" x14ac:dyDescent="0.25">
      <c r="A63" s="9" t="s">
        <v>69</v>
      </c>
      <c r="B63" s="9"/>
      <c r="C63" s="9"/>
      <c r="D63" s="21"/>
      <c r="E63" s="21"/>
      <c r="F63" s="34">
        <f>SUM(F55:F62)</f>
        <v>2987.7885240000005</v>
      </c>
      <c r="G63" s="21"/>
      <c r="H63" s="21"/>
      <c r="I63" s="34">
        <f>SUMPRODUCT(F55:F62,I55:I62)/SUM(F55:F62)</f>
        <v>38.496401893121394</v>
      </c>
      <c r="J63" s="34">
        <f>SUMPRODUCT(F55:F62,J55:J62)/SUM(F55:F62)</f>
        <v>16.165941471097234</v>
      </c>
      <c r="K63" s="9">
        <f>SUM(K55:K62)</f>
        <v>0</v>
      </c>
      <c r="L63" s="52"/>
      <c r="M63" s="52"/>
      <c r="N63" s="52"/>
    </row>
    <row r="64" spans="1:14" x14ac:dyDescent="0.25">
      <c r="A64" s="72" t="s">
        <v>84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</row>
    <row r="65" spans="1:14" s="42" customFormat="1" x14ac:dyDescent="0.25">
      <c r="A65" s="21" t="s">
        <v>85</v>
      </c>
      <c r="B65" s="21" t="s">
        <v>86</v>
      </c>
      <c r="C65" s="21">
        <v>15.79</v>
      </c>
      <c r="D65" s="21">
        <v>98</v>
      </c>
      <c r="E65" s="21">
        <v>0.9</v>
      </c>
      <c r="F65" s="50">
        <f>C65*D65/100*E65</f>
        <v>13.926779999999999</v>
      </c>
      <c r="G65" s="21">
        <v>24.83</v>
      </c>
      <c r="H65" s="21">
        <v>1.1499999999999999</v>
      </c>
      <c r="I65" s="21">
        <f>G65</f>
        <v>24.83</v>
      </c>
      <c r="J65" s="21">
        <f>H65</f>
        <v>1.1499999999999999</v>
      </c>
      <c r="K65" s="21">
        <v>0</v>
      </c>
      <c r="L65" s="52"/>
      <c r="M65" s="52"/>
      <c r="N65" s="52"/>
    </row>
    <row r="66" spans="1:14" s="42" customFormat="1" x14ac:dyDescent="0.25">
      <c r="A66" s="21" t="s">
        <v>87</v>
      </c>
      <c r="B66" s="21" t="s">
        <v>88</v>
      </c>
      <c r="C66" s="21">
        <v>16.920000000000002</v>
      </c>
      <c r="D66" s="21">
        <v>98</v>
      </c>
      <c r="E66" s="21">
        <v>0.9</v>
      </c>
      <c r="F66" s="50">
        <f>C66*D66/100*E66</f>
        <v>14.923440000000001</v>
      </c>
      <c r="G66" s="21">
        <v>20.27</v>
      </c>
      <c r="H66" s="21">
        <v>1.1200000000000001</v>
      </c>
      <c r="I66" s="21">
        <f>G66</f>
        <v>20.27</v>
      </c>
      <c r="J66" s="21">
        <f>H66</f>
        <v>1.1200000000000001</v>
      </c>
      <c r="K66" s="21">
        <v>0</v>
      </c>
      <c r="L66" s="52"/>
      <c r="M66" s="52"/>
      <c r="N66" s="56"/>
    </row>
    <row r="67" spans="1:14" s="42" customFormat="1" x14ac:dyDescent="0.25">
      <c r="A67" s="9" t="s">
        <v>69</v>
      </c>
      <c r="B67" s="9"/>
      <c r="C67" s="9"/>
      <c r="D67" s="21"/>
      <c r="E67" s="21"/>
      <c r="F67" s="34">
        <f>SUM(F65:F66)</f>
        <v>28.85022</v>
      </c>
      <c r="G67" s="21"/>
      <c r="H67" s="21"/>
      <c r="I67" s="34">
        <f>SUMPRODUCT(F65:F66,I65:I66)/(SUM(F65:F66)+1E-20)</f>
        <v>22.471235096300823</v>
      </c>
      <c r="J67" s="34">
        <f>SUMPRODUCT(F65:F66,J65:J66)/(SUM(F65:F66)+1E-20)</f>
        <v>1.1344818098440845</v>
      </c>
      <c r="K67" s="9">
        <f>SUM(K65:K66)</f>
        <v>0</v>
      </c>
      <c r="L67" s="52"/>
      <c r="M67" s="52"/>
      <c r="N67" s="52"/>
    </row>
    <row r="68" spans="1:14" x14ac:dyDescent="0.25">
      <c r="A68" s="72" t="s">
        <v>89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</row>
    <row r="69" spans="1:14" s="42" customFormat="1" x14ac:dyDescent="0.25">
      <c r="A69" s="21" t="s">
        <v>90</v>
      </c>
      <c r="B69" s="21" t="s">
        <v>76</v>
      </c>
      <c r="C69" s="21">
        <v>26.9</v>
      </c>
      <c r="D69" s="21">
        <v>0</v>
      </c>
      <c r="E69" s="21">
        <v>1</v>
      </c>
      <c r="F69" s="21">
        <f>C69*D69/100*E69</f>
        <v>0</v>
      </c>
      <c r="G69" s="50">
        <v>18.899999999999999</v>
      </c>
      <c r="H69" s="50">
        <v>0.91</v>
      </c>
      <c r="I69" s="50">
        <f>G69</f>
        <v>18.899999999999999</v>
      </c>
      <c r="J69" s="50">
        <f>H69</f>
        <v>0.91</v>
      </c>
      <c r="K69" s="21">
        <v>0</v>
      </c>
      <c r="L69" s="52"/>
      <c r="M69" s="52"/>
      <c r="N69" s="52"/>
    </row>
    <row r="70" spans="1:14" s="42" customFormat="1" x14ac:dyDescent="0.25">
      <c r="A70" s="21" t="s">
        <v>91</v>
      </c>
      <c r="B70" s="21" t="s">
        <v>79</v>
      </c>
      <c r="C70" s="21">
        <v>15.79</v>
      </c>
      <c r="D70" s="21">
        <v>0</v>
      </c>
      <c r="E70" s="21">
        <v>0.89</v>
      </c>
      <c r="F70" s="21">
        <f>C70*D70/100*E70</f>
        <v>0</v>
      </c>
      <c r="G70" s="50">
        <v>24.83</v>
      </c>
      <c r="H70" s="50">
        <v>1.1499999999999999</v>
      </c>
      <c r="I70" s="50">
        <f>G70</f>
        <v>24.83</v>
      </c>
      <c r="J70" s="50">
        <f>H70</f>
        <v>1.1499999999999999</v>
      </c>
      <c r="K70" s="21">
        <v>0</v>
      </c>
      <c r="L70" s="52"/>
      <c r="M70" s="52"/>
      <c r="N70" s="52"/>
    </row>
    <row r="71" spans="1:14" s="42" customFormat="1" x14ac:dyDescent="0.25">
      <c r="A71" s="9" t="s">
        <v>69</v>
      </c>
      <c r="B71" s="9"/>
      <c r="C71" s="9"/>
      <c r="D71" s="21"/>
      <c r="E71" s="21"/>
      <c r="F71" s="9">
        <f>SUM(F69:F70)</f>
        <v>0</v>
      </c>
      <c r="G71" s="9"/>
      <c r="H71" s="9"/>
      <c r="I71" s="9">
        <f>SUMPRODUCT(F69:F70,I69:I70)/(SUM(F69:F70)+1E-20)</f>
        <v>0</v>
      </c>
      <c r="J71" s="9">
        <f>SUMPRODUCT(F69:F70,J69:J70)/(SUM(F69:F70)+1E-20)</f>
        <v>0</v>
      </c>
      <c r="K71" s="9">
        <f>SUM(K69:K70)</f>
        <v>0</v>
      </c>
      <c r="L71" s="52"/>
      <c r="M71" s="52"/>
      <c r="N71" s="52"/>
    </row>
    <row r="72" spans="1:14" s="42" customFormat="1" x14ac:dyDescent="0.25">
      <c r="A72" s="73" t="s">
        <v>92</v>
      </c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52"/>
      <c r="M72" s="52"/>
      <c r="N72" s="52"/>
    </row>
    <row r="73" spans="1:14" s="42" customFormat="1" x14ac:dyDescent="0.25">
      <c r="A73" s="21" t="s">
        <v>93</v>
      </c>
      <c r="B73" s="21" t="s">
        <v>94</v>
      </c>
      <c r="C73" s="16" t="s">
        <v>108</v>
      </c>
      <c r="D73" s="21">
        <v>100</v>
      </c>
      <c r="E73" s="16" t="s">
        <v>108</v>
      </c>
      <c r="F73" s="21">
        <v>6.76</v>
      </c>
      <c r="G73" s="50">
        <v>13.05</v>
      </c>
      <c r="H73" s="50">
        <v>23.14</v>
      </c>
      <c r="I73" s="50">
        <f>G73</f>
        <v>13.05</v>
      </c>
      <c r="J73" s="50">
        <f>H73</f>
        <v>23.14</v>
      </c>
      <c r="K73" s="21">
        <v>0</v>
      </c>
      <c r="L73" s="52"/>
      <c r="M73" s="52"/>
      <c r="N73" s="52"/>
    </row>
    <row r="74" spans="1:14" s="42" customFormat="1" x14ac:dyDescent="0.25">
      <c r="A74" s="21" t="s">
        <v>95</v>
      </c>
      <c r="B74" s="21" t="s">
        <v>96</v>
      </c>
      <c r="C74" s="16" t="s">
        <v>108</v>
      </c>
      <c r="D74" s="21">
        <v>100</v>
      </c>
      <c r="E74" s="16" t="s">
        <v>108</v>
      </c>
      <c r="F74" s="21">
        <v>93.74</v>
      </c>
      <c r="G74" s="50">
        <v>18.193999999999999</v>
      </c>
      <c r="H74" s="50">
        <v>23.14</v>
      </c>
      <c r="I74" s="50">
        <f t="shared" ref="I74:I75" si="15">G74</f>
        <v>18.193999999999999</v>
      </c>
      <c r="J74" s="50">
        <f t="shared" ref="J74:J75" si="16">H74</f>
        <v>23.14</v>
      </c>
      <c r="K74" s="21">
        <v>0</v>
      </c>
      <c r="L74" s="52"/>
      <c r="M74" s="52"/>
      <c r="N74" s="52"/>
    </row>
    <row r="75" spans="1:14" s="42" customFormat="1" x14ac:dyDescent="0.25">
      <c r="A75" s="21" t="s">
        <v>97</v>
      </c>
      <c r="B75" s="21" t="s">
        <v>98</v>
      </c>
      <c r="C75" s="16" t="s">
        <v>108</v>
      </c>
      <c r="D75" s="21">
        <v>100</v>
      </c>
      <c r="E75" s="16" t="s">
        <v>108</v>
      </c>
      <c r="F75" s="21">
        <v>3.08</v>
      </c>
      <c r="G75" s="50">
        <v>16.25</v>
      </c>
      <c r="H75" s="50">
        <v>26.2</v>
      </c>
      <c r="I75" s="50">
        <f t="shared" si="15"/>
        <v>16.25</v>
      </c>
      <c r="J75" s="50">
        <f t="shared" si="16"/>
        <v>26.2</v>
      </c>
      <c r="K75" s="21">
        <v>0</v>
      </c>
      <c r="L75" s="52"/>
      <c r="M75" s="52"/>
      <c r="N75" s="52"/>
    </row>
    <row r="76" spans="1:14" s="42" customFormat="1" x14ac:dyDescent="0.25">
      <c r="A76" s="9" t="s">
        <v>69</v>
      </c>
      <c r="B76" s="9"/>
      <c r="C76" s="9"/>
      <c r="D76" s="21"/>
      <c r="E76" s="21"/>
      <c r="F76" s="9">
        <f>SUM(F73:F75)</f>
        <v>103.58</v>
      </c>
      <c r="G76" s="21"/>
      <c r="H76" s="21"/>
      <c r="I76" s="34">
        <f>SUMPRODUCT(F73:F75,I73:I75)/SUM(F73:F75)</f>
        <v>17.800478470747247</v>
      </c>
      <c r="J76" s="34">
        <f>SUMPRODUCT(F73:F75,J73:J75)/SUM(F73:F75)</f>
        <v>23.230990538714035</v>
      </c>
      <c r="K76" s="9">
        <f>SUM(K73:K75)</f>
        <v>0</v>
      </c>
      <c r="L76" s="52"/>
      <c r="M76" s="52"/>
      <c r="N76" s="52"/>
    </row>
    <row r="77" spans="1:14" s="42" customFormat="1" x14ac:dyDescent="0.25">
      <c r="A77" s="9"/>
      <c r="B77" s="9"/>
      <c r="C77" s="9"/>
      <c r="D77" s="21"/>
      <c r="E77" s="21"/>
      <c r="F77" s="9"/>
      <c r="G77" s="21"/>
      <c r="H77" s="21"/>
      <c r="I77" s="21"/>
      <c r="J77" s="21"/>
      <c r="K77" s="9"/>
      <c r="L77" s="52"/>
      <c r="M77" s="52"/>
      <c r="N77" s="52"/>
    </row>
    <row r="78" spans="1:14" s="42" customFormat="1" x14ac:dyDescent="0.25">
      <c r="A78" s="9" t="s">
        <v>99</v>
      </c>
      <c r="B78" s="9"/>
      <c r="C78" s="9"/>
      <c r="D78" s="9"/>
      <c r="E78" s="9"/>
      <c r="F78" s="34">
        <v>12489.28</v>
      </c>
      <c r="G78" s="9"/>
      <c r="H78" s="9"/>
      <c r="I78" s="34">
        <v>99.79</v>
      </c>
      <c r="J78" s="34">
        <v>11.51</v>
      </c>
      <c r="K78" s="34">
        <v>0</v>
      </c>
      <c r="L78" s="52"/>
      <c r="M78" s="52"/>
      <c r="N78" s="52"/>
    </row>
    <row r="79" spans="1:14" s="42" customFormat="1" x14ac:dyDescent="0.25">
      <c r="A79" s="9" t="s">
        <v>100</v>
      </c>
      <c r="B79" s="9"/>
      <c r="C79" s="9"/>
      <c r="D79" s="9"/>
      <c r="E79" s="9"/>
      <c r="F79" s="34">
        <f>F12+F48+F53+F63+F67+F71+F76</f>
        <v>72102.510259873001</v>
      </c>
      <c r="G79" s="9"/>
      <c r="H79" s="9"/>
      <c r="I79" s="34">
        <f>(F12*I12+F48*I48+F53*I53+F63*I63+F71*I71+F76*I76)/SUM(F76,F71,F63,F53,F48,F12)</f>
        <v>109.9975314416926</v>
      </c>
      <c r="J79" s="34">
        <f>(F12*J12+F48*J48+F53*J53+F63*J63+F67*J67+F71*J71+F76*J76)/SUM(F76+F71+F67+F63+F53+F48+F12)</f>
        <v>11.27801990657569</v>
      </c>
      <c r="K79" s="34">
        <f>SUM(K12,K48,K53,K63,K67,K71,K76)</f>
        <v>0</v>
      </c>
      <c r="L79" s="52"/>
      <c r="M79" s="52"/>
      <c r="N79" s="52"/>
    </row>
    <row r="80" spans="1:14" s="42" customFormat="1" x14ac:dyDescent="0.25">
      <c r="A80" s="9" t="s">
        <v>101</v>
      </c>
      <c r="B80" s="9"/>
      <c r="C80" s="9"/>
      <c r="D80" s="9"/>
      <c r="E80" s="9"/>
      <c r="F80" s="34">
        <f>SUM(F78+F79)</f>
        <v>84591.790259873</v>
      </c>
      <c r="G80" s="9"/>
      <c r="H80" s="9"/>
      <c r="I80" s="34">
        <f>(F78*I78+F79*I79)/(F78+F79)</f>
        <v>108.49047363037948</v>
      </c>
      <c r="J80" s="34">
        <f>(F78*J78+F79*J79)/(F78+F79)</f>
        <v>11.312269853672232</v>
      </c>
      <c r="K80" s="34">
        <f>SUM(K13,K49,K54,K64,K68,K72,K77)</f>
        <v>0</v>
      </c>
      <c r="L80" s="52"/>
      <c r="M80" s="52"/>
      <c r="N80" s="52"/>
    </row>
  </sheetData>
  <mergeCells count="16">
    <mergeCell ref="I1:J1"/>
    <mergeCell ref="A64:K64"/>
    <mergeCell ref="A68:K68"/>
    <mergeCell ref="A72:K72"/>
    <mergeCell ref="A1:A2"/>
    <mergeCell ref="B1:B2"/>
    <mergeCell ref="C1:C2"/>
    <mergeCell ref="D1:D2"/>
    <mergeCell ref="E1:E2"/>
    <mergeCell ref="F1:F2"/>
    <mergeCell ref="K1:K2"/>
    <mergeCell ref="G1:H1"/>
    <mergeCell ref="A4:K4"/>
    <mergeCell ref="A13:K13"/>
    <mergeCell ref="A49:K49"/>
    <mergeCell ref="A54:K5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"/>
  <sheetViews>
    <sheetView topLeftCell="A64" zoomScale="70" zoomScaleNormal="70" workbookViewId="0">
      <selection activeCell="K61" sqref="K61"/>
    </sheetView>
  </sheetViews>
  <sheetFormatPr defaultColWidth="9" defaultRowHeight="14" x14ac:dyDescent="0.25"/>
  <cols>
    <col min="1" max="1" width="24.36328125" style="51" customWidth="1"/>
    <col min="2" max="3" width="11.54296875" style="51" customWidth="1"/>
    <col min="4" max="5" width="9" style="51"/>
    <col min="6" max="6" width="15" style="51" customWidth="1"/>
    <col min="7" max="8" width="9" style="51"/>
    <col min="9" max="9" width="13.08984375" style="51" customWidth="1"/>
    <col min="10" max="10" width="9" style="51"/>
    <col min="11" max="11" width="15.81640625" style="51" bestFit="1" customWidth="1"/>
  </cols>
  <sheetData>
    <row r="1" spans="1:11" ht="14.4" customHeight="1" x14ac:dyDescent="0.25">
      <c r="A1" s="71" t="s">
        <v>0</v>
      </c>
      <c r="B1" s="71" t="s">
        <v>1</v>
      </c>
      <c r="C1" s="77" t="s">
        <v>2</v>
      </c>
      <c r="D1" s="71" t="s">
        <v>2</v>
      </c>
      <c r="E1" s="71" t="s">
        <v>3</v>
      </c>
      <c r="F1" s="71" t="s">
        <v>4</v>
      </c>
      <c r="G1" s="71" t="s">
        <v>103</v>
      </c>
      <c r="H1" s="71"/>
      <c r="I1" s="71" t="s">
        <v>104</v>
      </c>
      <c r="J1" s="71"/>
      <c r="K1" s="71" t="s">
        <v>5</v>
      </c>
    </row>
    <row r="2" spans="1:11" ht="14.4" customHeight="1" x14ac:dyDescent="0.25">
      <c r="A2" s="71"/>
      <c r="B2" s="71"/>
      <c r="C2" s="78"/>
      <c r="D2" s="71"/>
      <c r="E2" s="71"/>
      <c r="F2" s="71"/>
      <c r="G2" s="21" t="s">
        <v>6</v>
      </c>
      <c r="H2" s="21" t="s">
        <v>7</v>
      </c>
      <c r="I2" s="21" t="s">
        <v>105</v>
      </c>
      <c r="J2" s="21" t="s">
        <v>106</v>
      </c>
      <c r="K2" s="71"/>
    </row>
    <row r="3" spans="1:11" ht="14.4" customHeight="1" x14ac:dyDescent="0.25">
      <c r="A3" s="45" t="s">
        <v>8</v>
      </c>
      <c r="B3" s="46"/>
      <c r="C3" s="47" t="s">
        <v>112</v>
      </c>
      <c r="D3" s="45" t="s">
        <v>10</v>
      </c>
      <c r="E3" s="45" t="s">
        <v>11</v>
      </c>
      <c r="F3" s="45" t="s">
        <v>12</v>
      </c>
      <c r="G3" s="45" t="s">
        <v>13</v>
      </c>
      <c r="H3" s="45" t="s">
        <v>13</v>
      </c>
      <c r="I3" s="45" t="s">
        <v>107</v>
      </c>
      <c r="J3" s="45" t="s">
        <v>107</v>
      </c>
      <c r="K3" s="45" t="s">
        <v>14</v>
      </c>
    </row>
    <row r="4" spans="1:11" ht="14.4" customHeight="1" x14ac:dyDescent="0.25">
      <c r="A4" s="74" t="s">
        <v>15</v>
      </c>
      <c r="B4" s="75"/>
      <c r="C4" s="75"/>
      <c r="D4" s="75"/>
      <c r="E4" s="75"/>
      <c r="F4" s="75"/>
      <c r="G4" s="75"/>
      <c r="H4" s="75"/>
      <c r="I4" s="75"/>
      <c r="J4" s="75"/>
      <c r="K4" s="76"/>
    </row>
    <row r="5" spans="1:11" ht="14.4" customHeight="1" x14ac:dyDescent="0.25">
      <c r="A5" s="44" t="s">
        <v>16</v>
      </c>
      <c r="B5" s="21" t="s">
        <v>17</v>
      </c>
      <c r="C5" s="21">
        <v>10024.379999999999</v>
      </c>
      <c r="D5" s="21">
        <v>99.5</v>
      </c>
      <c r="E5" s="26">
        <f>1/1.26</f>
        <v>0.79365079365079361</v>
      </c>
      <c r="F5" s="26">
        <f>C5*D5/100*E5</f>
        <v>7916.0778571428564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1" t="s">
        <v>108</v>
      </c>
    </row>
    <row r="6" spans="1:11" ht="14.4" customHeight="1" x14ac:dyDescent="0.25">
      <c r="A6" s="44" t="s">
        <v>18</v>
      </c>
      <c r="B6" s="44" t="s">
        <v>19</v>
      </c>
      <c r="C6" s="21">
        <v>13085.42</v>
      </c>
      <c r="D6" s="21">
        <v>99.5</v>
      </c>
      <c r="E6" s="26">
        <f t="shared" ref="E6:E11" si="0">1/1.26</f>
        <v>0.79365079365079361</v>
      </c>
      <c r="F6" s="26">
        <f t="shared" ref="F6:F10" si="1">C6*D6/100*E6</f>
        <v>10333.327698412699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21" t="s">
        <v>108</v>
      </c>
    </row>
    <row r="7" spans="1:11" ht="14.4" customHeight="1" x14ac:dyDescent="0.25">
      <c r="A7" s="44" t="s">
        <v>20</v>
      </c>
      <c r="B7" s="21" t="s">
        <v>21</v>
      </c>
      <c r="C7" s="21">
        <v>12955.22</v>
      </c>
      <c r="D7" s="21">
        <v>99.5</v>
      </c>
      <c r="E7" s="26">
        <f t="shared" si="0"/>
        <v>0.79365079365079361</v>
      </c>
      <c r="F7" s="26">
        <f t="shared" si="1"/>
        <v>10230.511031746029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21" t="s">
        <v>108</v>
      </c>
    </row>
    <row r="8" spans="1:11" ht="14.4" customHeight="1" x14ac:dyDescent="0.25">
      <c r="A8" s="44" t="s">
        <v>22</v>
      </c>
      <c r="B8" s="21" t="s">
        <v>23</v>
      </c>
      <c r="C8" s="21">
        <v>12959.84</v>
      </c>
      <c r="D8" s="21">
        <v>99.5</v>
      </c>
      <c r="E8" s="26">
        <f t="shared" si="0"/>
        <v>0.79365079365079361</v>
      </c>
      <c r="F8" s="26">
        <f t="shared" si="1"/>
        <v>10234.159365079366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21" t="s">
        <v>108</v>
      </c>
    </row>
    <row r="9" spans="1:11" ht="14.4" customHeight="1" x14ac:dyDescent="0.25">
      <c r="A9" s="44" t="s">
        <v>24</v>
      </c>
      <c r="B9" s="21" t="s">
        <v>25</v>
      </c>
      <c r="C9" s="21">
        <v>13045.78</v>
      </c>
      <c r="D9" s="21">
        <v>99.5</v>
      </c>
      <c r="E9" s="26">
        <f t="shared" si="0"/>
        <v>0.79365079365079361</v>
      </c>
      <c r="F9" s="26">
        <f t="shared" si="1"/>
        <v>10302.024682539683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21" t="s">
        <v>108</v>
      </c>
    </row>
    <row r="10" spans="1:11" ht="14.4" customHeight="1" x14ac:dyDescent="0.25">
      <c r="A10" s="44" t="s">
        <v>26</v>
      </c>
      <c r="B10" s="21" t="s">
        <v>27</v>
      </c>
      <c r="C10" s="21">
        <v>13041.17</v>
      </c>
      <c r="D10" s="21">
        <v>99.5</v>
      </c>
      <c r="E10" s="26">
        <f t="shared" si="0"/>
        <v>0.79365079365079361</v>
      </c>
      <c r="F10" s="26">
        <f t="shared" si="1"/>
        <v>10298.384246031745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21" t="s">
        <v>108</v>
      </c>
    </row>
    <row r="11" spans="1:11" ht="14.4" customHeight="1" x14ac:dyDescent="0.25">
      <c r="A11" s="44" t="s">
        <v>28</v>
      </c>
      <c r="B11" s="21" t="s">
        <v>29</v>
      </c>
      <c r="C11" s="21">
        <v>11647.96</v>
      </c>
      <c r="D11" s="21">
        <v>99.5</v>
      </c>
      <c r="E11" s="26">
        <f t="shared" si="0"/>
        <v>0.79365079365079361</v>
      </c>
      <c r="F11" s="26">
        <f>C11*D11/100*E11</f>
        <v>9198.1906349206347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21" t="s">
        <v>108</v>
      </c>
    </row>
    <row r="12" spans="1:11" ht="14.4" customHeight="1" x14ac:dyDescent="0.25">
      <c r="A12" s="9" t="s">
        <v>69</v>
      </c>
      <c r="B12" s="9"/>
      <c r="C12" s="9"/>
      <c r="D12" s="21"/>
      <c r="E12" s="26"/>
      <c r="F12" s="34">
        <f>SUM(F5:F11)</f>
        <v>68512.675515873008</v>
      </c>
      <c r="G12" s="34"/>
      <c r="H12" s="34"/>
      <c r="I12" s="34">
        <f>SUMPRODUCT(F5:F11,I5:I11)/SUM(F5:F11)</f>
        <v>113.98099365408648</v>
      </c>
      <c r="J12" s="34">
        <f>SUMPRODUCT(F5:F11,J5:J11)/SUM(F5:F11)</f>
        <v>11.014788254971171</v>
      </c>
      <c r="K12" s="9">
        <f>SUM(K5:K11)</f>
        <v>0</v>
      </c>
    </row>
    <row r="13" spans="1:11" ht="14.4" customHeight="1" x14ac:dyDescent="0.25">
      <c r="A13" s="73" t="s">
        <v>109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11" ht="14.4" customHeight="1" x14ac:dyDescent="0.25">
      <c r="A14" s="21" t="s">
        <v>31</v>
      </c>
      <c r="B14" s="21" t="s">
        <v>29</v>
      </c>
      <c r="C14" s="21">
        <v>663.43000000000006</v>
      </c>
      <c r="D14" s="21">
        <v>0</v>
      </c>
      <c r="E14" s="21">
        <v>1.0249999999999999</v>
      </c>
      <c r="F14" s="21">
        <f>C14*D14/100*E14</f>
        <v>0</v>
      </c>
      <c r="G14" s="21">
        <v>39.619999999999997</v>
      </c>
      <c r="H14" s="21">
        <v>1.68</v>
      </c>
      <c r="I14" s="21">
        <f>G14</f>
        <v>39.619999999999997</v>
      </c>
      <c r="J14" s="21">
        <f>H14</f>
        <v>1.68</v>
      </c>
      <c r="K14" s="21" t="s">
        <v>108</v>
      </c>
    </row>
    <row r="15" spans="1:11" ht="14.4" customHeight="1" x14ac:dyDescent="0.25">
      <c r="A15" s="21" t="s">
        <v>32</v>
      </c>
      <c r="B15" s="21" t="s">
        <v>29</v>
      </c>
      <c r="C15" s="21">
        <v>663.43000000000006</v>
      </c>
      <c r="D15" s="21">
        <v>0</v>
      </c>
      <c r="E15" s="21">
        <v>1.0249999999999999</v>
      </c>
      <c r="F15" s="21">
        <f t="shared" ref="F15:F27" si="3">C15*D15/100*E15</f>
        <v>0</v>
      </c>
      <c r="G15" s="21">
        <v>39.619999999999997</v>
      </c>
      <c r="H15" s="21">
        <v>1.68</v>
      </c>
      <c r="I15" s="21">
        <f t="shared" ref="I15:J44" si="4">G15</f>
        <v>39.619999999999997</v>
      </c>
      <c r="J15" s="21">
        <f t="shared" si="4"/>
        <v>1.68</v>
      </c>
      <c r="K15" s="21" t="s">
        <v>108</v>
      </c>
    </row>
    <row r="16" spans="1:11" ht="14.4" customHeight="1" x14ac:dyDescent="0.25">
      <c r="A16" s="21" t="s">
        <v>33</v>
      </c>
      <c r="B16" s="21" t="s">
        <v>34</v>
      </c>
      <c r="C16" s="21">
        <v>762.23</v>
      </c>
      <c r="D16" s="21">
        <v>0</v>
      </c>
      <c r="E16" s="21">
        <v>1.0249999999999999</v>
      </c>
      <c r="F16" s="21">
        <f t="shared" si="3"/>
        <v>0</v>
      </c>
      <c r="G16" s="26">
        <v>64</v>
      </c>
      <c r="H16" s="21">
        <v>1.47</v>
      </c>
      <c r="I16" s="21">
        <f t="shared" si="4"/>
        <v>64</v>
      </c>
      <c r="J16" s="21">
        <f t="shared" si="4"/>
        <v>1.47</v>
      </c>
      <c r="K16" s="21" t="s">
        <v>108</v>
      </c>
    </row>
    <row r="17" spans="1:11" ht="14.4" customHeight="1" x14ac:dyDescent="0.25">
      <c r="A17" s="21" t="s">
        <v>35</v>
      </c>
      <c r="B17" s="21" t="s">
        <v>34</v>
      </c>
      <c r="C17" s="21">
        <v>762.23</v>
      </c>
      <c r="D17" s="21">
        <v>0</v>
      </c>
      <c r="E17" s="21">
        <v>1.0249999999999999</v>
      </c>
      <c r="F17" s="21">
        <f t="shared" si="3"/>
        <v>0</v>
      </c>
      <c r="G17" s="26">
        <v>64</v>
      </c>
      <c r="H17" s="21">
        <v>1.47</v>
      </c>
      <c r="I17" s="21">
        <f t="shared" si="4"/>
        <v>64</v>
      </c>
      <c r="J17" s="21">
        <f t="shared" si="4"/>
        <v>1.47</v>
      </c>
      <c r="K17" s="21" t="s">
        <v>108</v>
      </c>
    </row>
    <row r="18" spans="1:11" ht="14.4" customHeight="1" x14ac:dyDescent="0.25">
      <c r="A18" s="21" t="s">
        <v>36</v>
      </c>
      <c r="B18" s="21" t="s">
        <v>37</v>
      </c>
      <c r="C18" s="21">
        <v>782.01</v>
      </c>
      <c r="D18" s="21">
        <v>0</v>
      </c>
      <c r="E18" s="21">
        <v>1.0249999999999999</v>
      </c>
      <c r="F18" s="21">
        <f t="shared" si="3"/>
        <v>0</v>
      </c>
      <c r="G18" s="21">
        <v>89.5</v>
      </c>
      <c r="H18" s="21">
        <v>1.46</v>
      </c>
      <c r="I18" s="21">
        <f t="shared" si="4"/>
        <v>89.5</v>
      </c>
      <c r="J18" s="21">
        <f t="shared" si="4"/>
        <v>1.46</v>
      </c>
      <c r="K18" s="21" t="s">
        <v>108</v>
      </c>
    </row>
    <row r="19" spans="1:11" ht="14.4" customHeight="1" x14ac:dyDescent="0.25">
      <c r="A19" s="21" t="s">
        <v>38</v>
      </c>
      <c r="B19" s="21" t="s">
        <v>37</v>
      </c>
      <c r="C19" s="21">
        <v>782.01</v>
      </c>
      <c r="D19" s="21">
        <v>0</v>
      </c>
      <c r="E19" s="21">
        <v>1.0249999999999999</v>
      </c>
      <c r="F19" s="21">
        <f t="shared" si="3"/>
        <v>0</v>
      </c>
      <c r="G19" s="21">
        <v>89.5</v>
      </c>
      <c r="H19" s="21">
        <v>1.46</v>
      </c>
      <c r="I19" s="21">
        <f t="shared" si="4"/>
        <v>89.5</v>
      </c>
      <c r="J19" s="21">
        <f t="shared" si="4"/>
        <v>1.46</v>
      </c>
      <c r="K19" s="21" t="s">
        <v>108</v>
      </c>
    </row>
    <row r="20" spans="1:11" ht="14.4" customHeight="1" x14ac:dyDescent="0.25">
      <c r="A20" s="21" t="s">
        <v>39</v>
      </c>
      <c r="B20" s="21" t="s">
        <v>40</v>
      </c>
      <c r="C20" s="21">
        <v>784.75</v>
      </c>
      <c r="D20" s="21">
        <v>0</v>
      </c>
      <c r="E20" s="21">
        <v>1.0249999999999999</v>
      </c>
      <c r="F20" s="21">
        <f t="shared" si="3"/>
        <v>0</v>
      </c>
      <c r="G20" s="21">
        <v>115</v>
      </c>
      <c r="H20" s="21">
        <v>1.46</v>
      </c>
      <c r="I20" s="21">
        <f t="shared" si="4"/>
        <v>115</v>
      </c>
      <c r="J20" s="21">
        <f t="shared" si="4"/>
        <v>1.46</v>
      </c>
      <c r="K20" s="21" t="s">
        <v>108</v>
      </c>
    </row>
    <row r="21" spans="1:11" ht="14.4" customHeight="1" x14ac:dyDescent="0.25">
      <c r="A21" s="21" t="s">
        <v>41</v>
      </c>
      <c r="B21" s="21" t="s">
        <v>40</v>
      </c>
      <c r="C21" s="21">
        <v>784.75</v>
      </c>
      <c r="D21" s="21">
        <v>0</v>
      </c>
      <c r="E21" s="21">
        <v>1.0249999999999999</v>
      </c>
      <c r="F21" s="21">
        <f t="shared" si="3"/>
        <v>0</v>
      </c>
      <c r="G21" s="21">
        <v>115</v>
      </c>
      <c r="H21" s="21">
        <v>1.46</v>
      </c>
      <c r="I21" s="21">
        <f t="shared" si="4"/>
        <v>115</v>
      </c>
      <c r="J21" s="21">
        <f t="shared" si="4"/>
        <v>1.46</v>
      </c>
      <c r="K21" s="21" t="s">
        <v>108</v>
      </c>
    </row>
    <row r="22" spans="1:11" ht="14.4" customHeight="1" x14ac:dyDescent="0.25">
      <c r="A22" s="21" t="s">
        <v>42</v>
      </c>
      <c r="B22" s="21" t="s">
        <v>43</v>
      </c>
      <c r="C22" s="21">
        <v>784.6</v>
      </c>
      <c r="D22" s="21">
        <v>0</v>
      </c>
      <c r="E22" s="21">
        <v>1.0249999999999999</v>
      </c>
      <c r="F22" s="21">
        <f t="shared" si="3"/>
        <v>0</v>
      </c>
      <c r="G22" s="21">
        <v>140.5</v>
      </c>
      <c r="H22" s="21">
        <v>1.46</v>
      </c>
      <c r="I22" s="21">
        <f t="shared" si="4"/>
        <v>140.5</v>
      </c>
      <c r="J22" s="21">
        <f t="shared" si="4"/>
        <v>1.46</v>
      </c>
      <c r="K22" s="21" t="s">
        <v>108</v>
      </c>
    </row>
    <row r="23" spans="1:11" ht="14.4" customHeight="1" x14ac:dyDescent="0.25">
      <c r="A23" s="21" t="s">
        <v>44</v>
      </c>
      <c r="B23" s="21" t="s">
        <v>43</v>
      </c>
      <c r="C23" s="21">
        <v>784.6</v>
      </c>
      <c r="D23" s="21">
        <v>0</v>
      </c>
      <c r="E23" s="21">
        <v>1.0249999999999999</v>
      </c>
      <c r="F23" s="21">
        <f t="shared" si="3"/>
        <v>0</v>
      </c>
      <c r="G23" s="21">
        <v>140.5</v>
      </c>
      <c r="H23" s="21">
        <v>1.46</v>
      </c>
      <c r="I23" s="21">
        <f t="shared" si="4"/>
        <v>140.5</v>
      </c>
      <c r="J23" s="21">
        <f t="shared" si="4"/>
        <v>1.46</v>
      </c>
      <c r="K23" s="21" t="s">
        <v>108</v>
      </c>
    </row>
    <row r="24" spans="1:11" ht="14.4" customHeight="1" x14ac:dyDescent="0.25">
      <c r="A24" s="21" t="s">
        <v>45</v>
      </c>
      <c r="B24" s="21" t="s">
        <v>46</v>
      </c>
      <c r="C24" s="21">
        <v>784.6</v>
      </c>
      <c r="D24" s="21">
        <v>0</v>
      </c>
      <c r="E24" s="21">
        <v>1.0249999999999999</v>
      </c>
      <c r="F24" s="21">
        <f t="shared" si="3"/>
        <v>0</v>
      </c>
      <c r="G24" s="21">
        <v>166</v>
      </c>
      <c r="H24" s="21">
        <v>1.46</v>
      </c>
      <c r="I24" s="21">
        <f t="shared" si="4"/>
        <v>166</v>
      </c>
      <c r="J24" s="21">
        <f t="shared" si="4"/>
        <v>1.46</v>
      </c>
      <c r="K24" s="21" t="s">
        <v>108</v>
      </c>
    </row>
    <row r="25" spans="1:11" ht="14.4" customHeight="1" x14ac:dyDescent="0.25">
      <c r="A25" s="21" t="s">
        <v>47</v>
      </c>
      <c r="B25" s="21" t="s">
        <v>46</v>
      </c>
      <c r="C25" s="21">
        <v>784.6</v>
      </c>
      <c r="D25" s="21">
        <v>0</v>
      </c>
      <c r="E25" s="21">
        <v>1.0249999999999999</v>
      </c>
      <c r="F25" s="21">
        <f t="shared" si="3"/>
        <v>0</v>
      </c>
      <c r="G25" s="21">
        <v>166</v>
      </c>
      <c r="H25" s="21">
        <v>1.46</v>
      </c>
      <c r="I25" s="21">
        <f t="shared" si="4"/>
        <v>166</v>
      </c>
      <c r="J25" s="21">
        <f t="shared" si="4"/>
        <v>1.46</v>
      </c>
      <c r="K25" s="21" t="s">
        <v>108</v>
      </c>
    </row>
    <row r="26" spans="1:11" ht="14.4" customHeight="1" x14ac:dyDescent="0.25">
      <c r="A26" s="21" t="s">
        <v>48</v>
      </c>
      <c r="B26" s="21" t="s">
        <v>29</v>
      </c>
      <c r="C26" s="48">
        <f>428.97+350.99</f>
        <v>779.96</v>
      </c>
      <c r="D26" s="21">
        <v>0</v>
      </c>
      <c r="E26" s="21">
        <v>1.0249999999999999</v>
      </c>
      <c r="F26" s="21">
        <f t="shared" si="3"/>
        <v>0</v>
      </c>
      <c r="G26" s="21">
        <v>196.7</v>
      </c>
      <c r="H26" s="48">
        <v>1.49</v>
      </c>
      <c r="I26" s="21">
        <f t="shared" si="4"/>
        <v>196.7</v>
      </c>
      <c r="J26" s="21">
        <f t="shared" si="4"/>
        <v>1.49</v>
      </c>
      <c r="K26" s="21" t="s">
        <v>108</v>
      </c>
    </row>
    <row r="27" spans="1:11" ht="14.4" customHeight="1" x14ac:dyDescent="0.25">
      <c r="A27" s="21" t="s">
        <v>49</v>
      </c>
      <c r="B27" s="21" t="s">
        <v>29</v>
      </c>
      <c r="C27" s="48">
        <f>428.97+350.99</f>
        <v>779.96</v>
      </c>
      <c r="D27" s="21">
        <v>0</v>
      </c>
      <c r="E27" s="21">
        <v>1.0249999999999999</v>
      </c>
      <c r="F27" s="21">
        <f t="shared" si="3"/>
        <v>0</v>
      </c>
      <c r="G27" s="21">
        <v>196.7</v>
      </c>
      <c r="H27" s="48">
        <v>1.49</v>
      </c>
      <c r="I27" s="21">
        <f t="shared" si="4"/>
        <v>196.7</v>
      </c>
      <c r="J27" s="21">
        <f t="shared" si="4"/>
        <v>1.49</v>
      </c>
      <c r="K27" s="21" t="s">
        <v>108</v>
      </c>
    </row>
    <row r="28" spans="1:11" ht="14.4" customHeight="1" x14ac:dyDescent="0.25">
      <c r="A28" s="16" t="s">
        <v>50</v>
      </c>
      <c r="B28" s="16" t="s">
        <v>29</v>
      </c>
      <c r="C28" s="16">
        <v>232.55</v>
      </c>
      <c r="D28" s="16">
        <v>0</v>
      </c>
      <c r="E28" s="16">
        <v>1.0249999999999999</v>
      </c>
      <c r="F28" s="16">
        <f>C28*D28/100*E28</f>
        <v>0</v>
      </c>
      <c r="G28" s="16">
        <v>40.64</v>
      </c>
      <c r="H28" s="16">
        <v>11.46</v>
      </c>
      <c r="I28" s="16">
        <f t="shared" si="4"/>
        <v>40.64</v>
      </c>
      <c r="J28" s="16">
        <f t="shared" si="4"/>
        <v>11.46</v>
      </c>
      <c r="K28" s="16" t="s">
        <v>121</v>
      </c>
    </row>
    <row r="29" spans="1:11" ht="14.4" customHeight="1" x14ac:dyDescent="0.25">
      <c r="A29" s="16" t="s">
        <v>51</v>
      </c>
      <c r="B29" s="16" t="s">
        <v>29</v>
      </c>
      <c r="C29" s="43">
        <v>232.55</v>
      </c>
      <c r="D29" s="16">
        <v>0</v>
      </c>
      <c r="E29" s="16">
        <v>1.0249999999999999</v>
      </c>
      <c r="F29" s="16">
        <f t="shared" ref="F29:F47" si="5">C29*D29/100*E29</f>
        <v>0</v>
      </c>
      <c r="G29" s="16">
        <v>40.64</v>
      </c>
      <c r="H29" s="16">
        <v>11.46</v>
      </c>
      <c r="I29" s="16">
        <f t="shared" si="4"/>
        <v>40.64</v>
      </c>
      <c r="J29" s="16">
        <f t="shared" si="4"/>
        <v>11.46</v>
      </c>
      <c r="K29" s="16" t="s">
        <v>121</v>
      </c>
    </row>
    <row r="30" spans="1:11" ht="14.4" customHeight="1" x14ac:dyDescent="0.25">
      <c r="A30" s="16" t="s">
        <v>52</v>
      </c>
      <c r="B30" s="16" t="s">
        <v>34</v>
      </c>
      <c r="C30" s="16">
        <v>351.96</v>
      </c>
      <c r="D30" s="16">
        <v>0</v>
      </c>
      <c r="E30" s="16">
        <v>1.0249999999999999</v>
      </c>
      <c r="F30" s="16">
        <f t="shared" si="5"/>
        <v>0</v>
      </c>
      <c r="G30" s="16">
        <v>64</v>
      </c>
      <c r="H30" s="16">
        <v>10.119999999999999</v>
      </c>
      <c r="I30" s="16">
        <f t="shared" si="4"/>
        <v>64</v>
      </c>
      <c r="J30" s="16">
        <f t="shared" si="4"/>
        <v>10.119999999999999</v>
      </c>
      <c r="K30" s="16" t="s">
        <v>121</v>
      </c>
    </row>
    <row r="31" spans="1:11" ht="14.4" customHeight="1" x14ac:dyDescent="0.25">
      <c r="A31" s="16" t="s">
        <v>53</v>
      </c>
      <c r="B31" s="16" t="s">
        <v>34</v>
      </c>
      <c r="C31" s="16">
        <v>351.96</v>
      </c>
      <c r="D31" s="16">
        <v>0</v>
      </c>
      <c r="E31" s="16">
        <v>1.0249999999999999</v>
      </c>
      <c r="F31" s="16">
        <f t="shared" si="5"/>
        <v>0</v>
      </c>
      <c r="G31" s="16">
        <v>64</v>
      </c>
      <c r="H31" s="16">
        <v>10.119999999999999</v>
      </c>
      <c r="I31" s="16">
        <f t="shared" si="4"/>
        <v>64</v>
      </c>
      <c r="J31" s="16">
        <f t="shared" si="4"/>
        <v>10.119999999999999</v>
      </c>
      <c r="K31" s="16" t="s">
        <v>121</v>
      </c>
    </row>
    <row r="32" spans="1:11" ht="14.4" customHeight="1" x14ac:dyDescent="0.25">
      <c r="A32" s="16" t="s">
        <v>54</v>
      </c>
      <c r="B32" s="16" t="s">
        <v>37</v>
      </c>
      <c r="C32" s="16">
        <v>351.96</v>
      </c>
      <c r="D32" s="16">
        <v>0</v>
      </c>
      <c r="E32" s="16">
        <v>1.0249999999999999</v>
      </c>
      <c r="F32" s="16">
        <f t="shared" si="5"/>
        <v>0</v>
      </c>
      <c r="G32" s="16">
        <v>89.5</v>
      </c>
      <c r="H32" s="16">
        <v>10.119999999999999</v>
      </c>
      <c r="I32" s="16">
        <f t="shared" si="4"/>
        <v>89.5</v>
      </c>
      <c r="J32" s="16">
        <f t="shared" si="4"/>
        <v>10.119999999999999</v>
      </c>
      <c r="K32" s="16" t="s">
        <v>121</v>
      </c>
    </row>
    <row r="33" spans="1:11" ht="14.4" customHeight="1" x14ac:dyDescent="0.25">
      <c r="A33" s="16" t="s">
        <v>55</v>
      </c>
      <c r="B33" s="16" t="s">
        <v>37</v>
      </c>
      <c r="C33" s="16">
        <v>351.96</v>
      </c>
      <c r="D33" s="16">
        <v>0</v>
      </c>
      <c r="E33" s="16">
        <v>1.0249999999999999</v>
      </c>
      <c r="F33" s="16">
        <f t="shared" si="5"/>
        <v>0</v>
      </c>
      <c r="G33" s="16">
        <v>89.5</v>
      </c>
      <c r="H33" s="16">
        <v>10.119999999999999</v>
      </c>
      <c r="I33" s="16">
        <f t="shared" si="4"/>
        <v>89.5</v>
      </c>
      <c r="J33" s="16">
        <f t="shared" si="4"/>
        <v>10.119999999999999</v>
      </c>
      <c r="K33" s="16" t="s">
        <v>121</v>
      </c>
    </row>
    <row r="34" spans="1:11" ht="14.4" customHeight="1" x14ac:dyDescent="0.25">
      <c r="A34" s="16" t="s">
        <v>56</v>
      </c>
      <c r="B34" s="16" t="s">
        <v>40</v>
      </c>
      <c r="C34" s="16">
        <v>351.96</v>
      </c>
      <c r="D34" s="16">
        <v>0</v>
      </c>
      <c r="E34" s="16">
        <v>1.0249999999999999</v>
      </c>
      <c r="F34" s="16">
        <f t="shared" si="5"/>
        <v>0</v>
      </c>
      <c r="G34" s="16">
        <v>115</v>
      </c>
      <c r="H34" s="16">
        <v>10.119999999999999</v>
      </c>
      <c r="I34" s="16">
        <f t="shared" si="4"/>
        <v>115</v>
      </c>
      <c r="J34" s="16">
        <f t="shared" si="4"/>
        <v>10.119999999999999</v>
      </c>
      <c r="K34" s="16" t="s">
        <v>121</v>
      </c>
    </row>
    <row r="35" spans="1:11" ht="14.4" customHeight="1" x14ac:dyDescent="0.25">
      <c r="A35" s="16" t="s">
        <v>57</v>
      </c>
      <c r="B35" s="16" t="s">
        <v>40</v>
      </c>
      <c r="C35" s="16">
        <v>351.96</v>
      </c>
      <c r="D35" s="16">
        <v>0</v>
      </c>
      <c r="E35" s="16">
        <v>1.0249999999999999</v>
      </c>
      <c r="F35" s="16">
        <f t="shared" si="5"/>
        <v>0</v>
      </c>
      <c r="G35" s="16">
        <v>115</v>
      </c>
      <c r="H35" s="16">
        <v>10.119999999999999</v>
      </c>
      <c r="I35" s="16">
        <f t="shared" si="4"/>
        <v>115</v>
      </c>
      <c r="J35" s="16">
        <f t="shared" si="4"/>
        <v>10.119999999999999</v>
      </c>
      <c r="K35" s="16" t="s">
        <v>121</v>
      </c>
    </row>
    <row r="36" spans="1:11" ht="14.4" customHeight="1" x14ac:dyDescent="0.25">
      <c r="A36" s="16" t="s">
        <v>58</v>
      </c>
      <c r="B36" s="16" t="s">
        <v>59</v>
      </c>
      <c r="C36" s="16">
        <v>351.96</v>
      </c>
      <c r="D36" s="16">
        <v>0</v>
      </c>
      <c r="E36" s="16">
        <v>1.0249999999999999</v>
      </c>
      <c r="F36" s="16">
        <f t="shared" si="5"/>
        <v>0</v>
      </c>
      <c r="G36" s="16">
        <v>140.5</v>
      </c>
      <c r="H36" s="16">
        <v>10.119999999999999</v>
      </c>
      <c r="I36" s="16">
        <f t="shared" si="4"/>
        <v>140.5</v>
      </c>
      <c r="J36" s="16">
        <f t="shared" si="4"/>
        <v>10.119999999999999</v>
      </c>
      <c r="K36" s="16" t="s">
        <v>121</v>
      </c>
    </row>
    <row r="37" spans="1:11" ht="14.4" customHeight="1" x14ac:dyDescent="0.25">
      <c r="A37" s="16" t="s">
        <v>60</v>
      </c>
      <c r="B37" s="16" t="s">
        <v>59</v>
      </c>
      <c r="C37" s="16">
        <v>351.96</v>
      </c>
      <c r="D37" s="16">
        <v>0</v>
      </c>
      <c r="E37" s="16">
        <v>1.0249999999999999</v>
      </c>
      <c r="F37" s="16">
        <f t="shared" si="5"/>
        <v>0</v>
      </c>
      <c r="G37" s="16">
        <v>140.5</v>
      </c>
      <c r="H37" s="16">
        <v>10.119999999999999</v>
      </c>
      <c r="I37" s="16">
        <f t="shared" si="4"/>
        <v>140.5</v>
      </c>
      <c r="J37" s="16">
        <f t="shared" si="4"/>
        <v>10.119999999999999</v>
      </c>
      <c r="K37" s="16" t="s">
        <v>121</v>
      </c>
    </row>
    <row r="38" spans="1:11" ht="14.4" customHeight="1" x14ac:dyDescent="0.25">
      <c r="A38" s="16" t="s">
        <v>61</v>
      </c>
      <c r="B38" s="16" t="s">
        <v>62</v>
      </c>
      <c r="C38" s="16">
        <v>351.96</v>
      </c>
      <c r="D38" s="16">
        <v>0</v>
      </c>
      <c r="E38" s="16">
        <v>1.0249999999999999</v>
      </c>
      <c r="F38" s="16">
        <f t="shared" si="5"/>
        <v>0</v>
      </c>
      <c r="G38" s="16">
        <v>166</v>
      </c>
      <c r="H38" s="16">
        <v>10.119999999999999</v>
      </c>
      <c r="I38" s="16">
        <f t="shared" si="4"/>
        <v>166</v>
      </c>
      <c r="J38" s="16">
        <f t="shared" si="4"/>
        <v>10.119999999999999</v>
      </c>
      <c r="K38" s="16" t="s">
        <v>121</v>
      </c>
    </row>
    <row r="39" spans="1:11" ht="14.4" customHeight="1" x14ac:dyDescent="0.25">
      <c r="A39" s="16" t="s">
        <v>63</v>
      </c>
      <c r="B39" s="16" t="s">
        <v>62</v>
      </c>
      <c r="C39" s="16">
        <v>351.96</v>
      </c>
      <c r="D39" s="16">
        <v>0</v>
      </c>
      <c r="E39" s="16">
        <v>1.0249999999999999</v>
      </c>
      <c r="F39" s="16">
        <f t="shared" si="5"/>
        <v>0</v>
      </c>
      <c r="G39" s="16">
        <v>166</v>
      </c>
      <c r="H39" s="16">
        <v>10.119999999999999</v>
      </c>
      <c r="I39" s="16">
        <f t="shared" si="4"/>
        <v>166</v>
      </c>
      <c r="J39" s="16">
        <f t="shared" si="4"/>
        <v>10.119999999999999</v>
      </c>
      <c r="K39" s="16" t="s">
        <v>121</v>
      </c>
    </row>
    <row r="40" spans="1:11" ht="14.4" customHeight="1" x14ac:dyDescent="0.25">
      <c r="A40" s="16" t="s">
        <v>64</v>
      </c>
      <c r="B40" s="16" t="s">
        <v>46</v>
      </c>
      <c r="C40" s="43">
        <v>330.03</v>
      </c>
      <c r="D40" s="16">
        <v>0</v>
      </c>
      <c r="E40" s="16">
        <v>1.0249999999999999</v>
      </c>
      <c r="F40" s="16">
        <f t="shared" si="5"/>
        <v>0</v>
      </c>
      <c r="G40" s="16">
        <v>191.5</v>
      </c>
      <c r="H40" s="16">
        <v>10.119999999999999</v>
      </c>
      <c r="I40" s="16">
        <f t="shared" si="4"/>
        <v>191.5</v>
      </c>
      <c r="J40" s="16">
        <f t="shared" si="4"/>
        <v>10.119999999999999</v>
      </c>
      <c r="K40" s="16" t="s">
        <v>121</v>
      </c>
    </row>
    <row r="41" spans="1:11" ht="14.4" customHeight="1" x14ac:dyDescent="0.25">
      <c r="A41" s="16" t="s">
        <v>65</v>
      </c>
      <c r="B41" s="16" t="s">
        <v>46</v>
      </c>
      <c r="C41" s="16">
        <v>330.03</v>
      </c>
      <c r="D41" s="16">
        <v>0</v>
      </c>
      <c r="E41" s="16">
        <v>1.0249999999999999</v>
      </c>
      <c r="F41" s="16">
        <f t="shared" si="5"/>
        <v>0</v>
      </c>
      <c r="G41" s="16">
        <v>191.5</v>
      </c>
      <c r="H41" s="16">
        <v>10.119999999999999</v>
      </c>
      <c r="I41" s="16">
        <f t="shared" si="4"/>
        <v>191.5</v>
      </c>
      <c r="J41" s="16">
        <f t="shared" si="4"/>
        <v>10.119999999999999</v>
      </c>
      <c r="K41" s="16" t="s">
        <v>121</v>
      </c>
    </row>
    <row r="42" spans="1:11" ht="14.4" customHeight="1" x14ac:dyDescent="0.25">
      <c r="A42" s="16" t="s">
        <v>66</v>
      </c>
      <c r="B42" s="16" t="s">
        <v>67</v>
      </c>
      <c r="C42" s="16">
        <v>629.11</v>
      </c>
      <c r="D42" s="16">
        <v>0</v>
      </c>
      <c r="E42" s="16">
        <v>1.0249999999999999</v>
      </c>
      <c r="F42" s="16">
        <f t="shared" si="5"/>
        <v>0</v>
      </c>
      <c r="G42" s="16">
        <v>191.89</v>
      </c>
      <c r="H42" s="16">
        <v>18.71</v>
      </c>
      <c r="I42" s="16">
        <f t="shared" si="4"/>
        <v>191.89</v>
      </c>
      <c r="J42" s="16">
        <f t="shared" si="4"/>
        <v>18.71</v>
      </c>
      <c r="K42" s="16" t="s">
        <v>121</v>
      </c>
    </row>
    <row r="43" spans="1:11" ht="14.4" customHeight="1" x14ac:dyDescent="0.25">
      <c r="A43" s="16" t="s">
        <v>68</v>
      </c>
      <c r="B43" s="16" t="s">
        <v>67</v>
      </c>
      <c r="C43" s="16">
        <v>629.11</v>
      </c>
      <c r="D43" s="16">
        <v>0</v>
      </c>
      <c r="E43" s="16">
        <v>1.0249999999999999</v>
      </c>
      <c r="F43" s="16">
        <f t="shared" si="5"/>
        <v>0</v>
      </c>
      <c r="G43" s="16">
        <v>191.89</v>
      </c>
      <c r="H43" s="16">
        <v>18.71</v>
      </c>
      <c r="I43" s="16">
        <f t="shared" si="4"/>
        <v>191.89</v>
      </c>
      <c r="J43" s="16">
        <f t="shared" si="4"/>
        <v>18.71</v>
      </c>
      <c r="K43" s="16" t="s">
        <v>121</v>
      </c>
    </row>
    <row r="44" spans="1:11" x14ac:dyDescent="0.25">
      <c r="A44" s="16" t="s">
        <v>122</v>
      </c>
      <c r="B44" s="16" t="s">
        <v>43</v>
      </c>
      <c r="C44" s="16">
        <v>1013.88</v>
      </c>
      <c r="D44" s="16">
        <v>0</v>
      </c>
      <c r="E44" s="16">
        <v>0.89</v>
      </c>
      <c r="F44" s="16">
        <f t="shared" si="5"/>
        <v>0</v>
      </c>
      <c r="G44" s="16">
        <v>153.88</v>
      </c>
      <c r="H44" s="16">
        <v>17.5</v>
      </c>
      <c r="I44" s="16">
        <f t="shared" si="4"/>
        <v>153.88</v>
      </c>
      <c r="J44" s="16">
        <f t="shared" si="4"/>
        <v>17.5</v>
      </c>
      <c r="K44" s="16" t="s">
        <v>121</v>
      </c>
    </row>
    <row r="45" spans="1:11" x14ac:dyDescent="0.25">
      <c r="A45" s="16" t="s">
        <v>123</v>
      </c>
      <c r="B45" s="16" t="s">
        <v>43</v>
      </c>
      <c r="C45" s="16">
        <v>1013.88</v>
      </c>
      <c r="D45" s="16">
        <v>0</v>
      </c>
      <c r="E45" s="16">
        <v>0.89</v>
      </c>
      <c r="F45" s="16">
        <f t="shared" si="5"/>
        <v>0</v>
      </c>
      <c r="G45" s="16">
        <v>153.88</v>
      </c>
      <c r="H45" s="16">
        <v>17.5</v>
      </c>
      <c r="I45" s="16">
        <f t="shared" ref="I45:J47" si="6">G45</f>
        <v>153.88</v>
      </c>
      <c r="J45" s="16">
        <f t="shared" si="6"/>
        <v>17.5</v>
      </c>
      <c r="K45" s="16" t="s">
        <v>121</v>
      </c>
    </row>
    <row r="46" spans="1:11" x14ac:dyDescent="0.25">
      <c r="A46" s="16" t="s">
        <v>124</v>
      </c>
      <c r="B46" s="16" t="s">
        <v>81</v>
      </c>
      <c r="C46" s="16">
        <v>1013.88</v>
      </c>
      <c r="D46" s="16">
        <v>0</v>
      </c>
      <c r="E46" s="16">
        <v>0.89</v>
      </c>
      <c r="F46" s="16">
        <f t="shared" si="5"/>
        <v>0</v>
      </c>
      <c r="G46" s="16">
        <v>102.25</v>
      </c>
      <c r="H46" s="16">
        <v>17.420000000000002</v>
      </c>
      <c r="I46" s="16">
        <f t="shared" si="6"/>
        <v>102.25</v>
      </c>
      <c r="J46" s="16">
        <f t="shared" si="6"/>
        <v>17.420000000000002</v>
      </c>
      <c r="K46" s="16" t="s">
        <v>121</v>
      </c>
    </row>
    <row r="47" spans="1:11" ht="14.4" customHeight="1" x14ac:dyDescent="0.25">
      <c r="A47" s="16" t="s">
        <v>125</v>
      </c>
      <c r="B47" s="16" t="s">
        <v>81</v>
      </c>
      <c r="C47" s="16">
        <v>1013.88</v>
      </c>
      <c r="D47" s="16">
        <v>0</v>
      </c>
      <c r="E47" s="16">
        <v>0.89</v>
      </c>
      <c r="F47" s="16">
        <f t="shared" si="5"/>
        <v>0</v>
      </c>
      <c r="G47" s="16">
        <v>102.25</v>
      </c>
      <c r="H47" s="16">
        <v>17.420000000000002</v>
      </c>
      <c r="I47" s="16">
        <f t="shared" si="6"/>
        <v>102.25</v>
      </c>
      <c r="J47" s="16">
        <f t="shared" si="6"/>
        <v>17.420000000000002</v>
      </c>
      <c r="K47" s="16" t="s">
        <v>121</v>
      </c>
    </row>
    <row r="48" spans="1:11" ht="14.4" customHeight="1" x14ac:dyDescent="0.25">
      <c r="A48" s="9" t="s">
        <v>69</v>
      </c>
      <c r="B48" s="9"/>
      <c r="C48" s="9"/>
      <c r="D48" s="21"/>
      <c r="E48" s="21"/>
      <c r="F48" s="9">
        <f>SUM(F14:F43)</f>
        <v>0</v>
      </c>
      <c r="G48" s="21"/>
      <c r="H48" s="21"/>
      <c r="I48" s="9">
        <f>SUMPRODUCT(F14:F43,I14:I43)/(SUM(F14:F43)+1E-20)</f>
        <v>0</v>
      </c>
      <c r="J48" s="9">
        <f>SUMPRODUCT(F14:F43,J14:J43)/(SUM(F14:F43)+1E-20)</f>
        <v>0</v>
      </c>
      <c r="K48" s="9">
        <f>SUM(K14:K47)</f>
        <v>0</v>
      </c>
    </row>
    <row r="49" spans="1:14" ht="14.4" customHeight="1" x14ac:dyDescent="0.25">
      <c r="A49" s="73" t="s">
        <v>70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</row>
    <row r="50" spans="1:14" ht="14.4" customHeight="1" x14ac:dyDescent="0.25">
      <c r="A50" s="16" t="s">
        <v>126</v>
      </c>
      <c r="B50" s="16" t="s">
        <v>127</v>
      </c>
      <c r="C50" s="16">
        <v>23.27</v>
      </c>
      <c r="D50" s="16">
        <v>9.8000000000000007</v>
      </c>
      <c r="E50" s="16">
        <v>1</v>
      </c>
      <c r="F50" s="16">
        <f>C50*D50/100*E50</f>
        <v>2.2804600000000002</v>
      </c>
      <c r="G50" s="16">
        <v>7.51</v>
      </c>
      <c r="H50" s="16">
        <v>14.51</v>
      </c>
      <c r="I50" s="16">
        <f>G50</f>
        <v>7.51</v>
      </c>
      <c r="J50" s="16">
        <v>13.62</v>
      </c>
      <c r="K50" s="16">
        <v>61.25</v>
      </c>
    </row>
    <row r="51" spans="1:14" ht="14.4" customHeight="1" x14ac:dyDescent="0.25">
      <c r="A51" s="16" t="s">
        <v>71</v>
      </c>
      <c r="B51" s="16" t="s">
        <v>72</v>
      </c>
      <c r="C51" s="16">
        <v>239.6</v>
      </c>
      <c r="D51" s="16">
        <v>9.8000000000000007</v>
      </c>
      <c r="E51" s="16">
        <v>1</v>
      </c>
      <c r="F51" s="16">
        <f>C51*D51/100*E51</f>
        <v>23.480799999999999</v>
      </c>
      <c r="G51" s="16">
        <v>3.92</v>
      </c>
      <c r="H51" s="16">
        <v>16.670000000000002</v>
      </c>
      <c r="I51" s="16">
        <v>4.03</v>
      </c>
      <c r="J51" s="16">
        <v>13.93</v>
      </c>
      <c r="K51" s="16">
        <v>1738.55</v>
      </c>
    </row>
    <row r="52" spans="1:14" ht="14.4" customHeight="1" x14ac:dyDescent="0.25">
      <c r="A52" s="16" t="s">
        <v>73</v>
      </c>
      <c r="B52" s="16" t="s">
        <v>72</v>
      </c>
      <c r="C52" s="16">
        <v>239.6</v>
      </c>
      <c r="D52" s="16">
        <v>9.8000000000000007</v>
      </c>
      <c r="E52" s="16">
        <v>1</v>
      </c>
      <c r="F52" s="16">
        <f>C52*D52/100*E52</f>
        <v>23.480799999999999</v>
      </c>
      <c r="G52" s="16">
        <v>3.92</v>
      </c>
      <c r="H52" s="16">
        <v>16.670000000000002</v>
      </c>
      <c r="I52" s="16">
        <v>4.03</v>
      </c>
      <c r="J52" s="16">
        <v>13.93</v>
      </c>
      <c r="K52" s="16">
        <v>1738.55</v>
      </c>
    </row>
    <row r="53" spans="1:14" ht="14.4" customHeight="1" x14ac:dyDescent="0.25">
      <c r="A53" s="9" t="s">
        <v>69</v>
      </c>
      <c r="B53" s="9"/>
      <c r="C53" s="9"/>
      <c r="D53" s="21"/>
      <c r="E53" s="21"/>
      <c r="F53" s="9">
        <f>SUM(F51:F52)</f>
        <v>46.961599999999997</v>
      </c>
      <c r="G53" s="21"/>
      <c r="H53" s="21"/>
      <c r="I53" s="34">
        <f>SUMPRODUCT(F50:F52,I50:I52)/SUM(F50:F52)</f>
        <v>4.1911630545107172</v>
      </c>
      <c r="J53" s="34">
        <f>SUMPRODUCT(F50:F52,J50:J52)/SUM(F50:F52)</f>
        <v>13.915643521006229</v>
      </c>
      <c r="K53" s="9">
        <f>SUM(K50:K52)</f>
        <v>3538.35</v>
      </c>
    </row>
    <row r="54" spans="1:14" ht="14.4" customHeight="1" x14ac:dyDescent="0.25">
      <c r="A54" s="73" t="s">
        <v>74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</row>
    <row r="55" spans="1:14" ht="14.4" customHeight="1" x14ac:dyDescent="0.25">
      <c r="A55" s="16" t="s">
        <v>130</v>
      </c>
      <c r="B55" s="16" t="s">
        <v>75</v>
      </c>
      <c r="C55" s="16">
        <v>130</v>
      </c>
      <c r="D55" s="16">
        <v>9.8000000000000007</v>
      </c>
      <c r="E55" s="16">
        <v>0.85</v>
      </c>
      <c r="F55" s="16">
        <f>C55*D55/100*E55</f>
        <v>10.829000000000001</v>
      </c>
      <c r="G55" s="16">
        <v>25.37</v>
      </c>
      <c r="H55" s="16">
        <v>3.86</v>
      </c>
      <c r="I55" s="16">
        <v>26.02</v>
      </c>
      <c r="J55" s="16">
        <v>2.06</v>
      </c>
      <c r="K55" s="16">
        <v>988.71</v>
      </c>
    </row>
    <row r="56" spans="1:14" ht="14.4" customHeight="1" x14ac:dyDescent="0.25">
      <c r="A56" s="16" t="s">
        <v>77</v>
      </c>
      <c r="B56" s="16" t="s">
        <v>78</v>
      </c>
      <c r="C56" s="16">
        <v>30</v>
      </c>
      <c r="D56" s="16">
        <v>9.8000000000000007</v>
      </c>
      <c r="E56" s="16">
        <v>0.89</v>
      </c>
      <c r="F56" s="16">
        <f t="shared" ref="F56:F57" si="7">C56*D56/100*E56</f>
        <v>2.6166</v>
      </c>
      <c r="G56" s="16">
        <v>14.76</v>
      </c>
      <c r="H56" s="16">
        <v>11.15</v>
      </c>
      <c r="I56" s="16">
        <f t="shared" ref="I56" si="8">G56</f>
        <v>14.76</v>
      </c>
      <c r="J56" s="16">
        <v>9.8699999999999992</v>
      </c>
      <c r="K56" s="16">
        <v>1225.53</v>
      </c>
    </row>
    <row r="57" spans="1:14" ht="14.4" customHeight="1" x14ac:dyDescent="0.25">
      <c r="A57" s="16" t="s">
        <v>77</v>
      </c>
      <c r="B57" s="16" t="s">
        <v>79</v>
      </c>
      <c r="C57" s="16">
        <v>30</v>
      </c>
      <c r="D57" s="16">
        <v>9.8000000000000007</v>
      </c>
      <c r="E57" s="16">
        <v>0.89</v>
      </c>
      <c r="F57" s="16">
        <f t="shared" si="7"/>
        <v>2.6166</v>
      </c>
      <c r="G57" s="16">
        <v>22.73</v>
      </c>
      <c r="H57" s="16">
        <v>11.18</v>
      </c>
      <c r="I57" s="16">
        <f>G57</f>
        <v>22.73</v>
      </c>
      <c r="J57" s="16">
        <v>9.8800000000000008</v>
      </c>
      <c r="K57" s="16">
        <v>1225.53</v>
      </c>
    </row>
    <row r="58" spans="1:14" ht="14.4" customHeight="1" x14ac:dyDescent="0.25">
      <c r="A58" s="16" t="s">
        <v>128</v>
      </c>
      <c r="B58" s="16" t="s">
        <v>83</v>
      </c>
      <c r="C58" s="16">
        <v>588.96</v>
      </c>
      <c r="D58" s="16">
        <v>9.8000000000000007</v>
      </c>
      <c r="E58" s="16">
        <v>0.89</v>
      </c>
      <c r="F58" s="16">
        <f>C58*D58/100*E58</f>
        <v>51.369091200000007</v>
      </c>
      <c r="G58" s="16">
        <v>19.940000000000001</v>
      </c>
      <c r="H58" s="16">
        <v>15</v>
      </c>
      <c r="I58" s="16">
        <v>21.57</v>
      </c>
      <c r="J58" s="16">
        <v>10.6</v>
      </c>
      <c r="K58" s="16">
        <v>5338.06</v>
      </c>
    </row>
    <row r="59" spans="1:14" ht="14.4" customHeight="1" x14ac:dyDescent="0.25">
      <c r="A59" s="16" t="s">
        <v>129</v>
      </c>
      <c r="B59" s="16" t="s">
        <v>83</v>
      </c>
      <c r="C59" s="16">
        <v>588.96</v>
      </c>
      <c r="D59" s="16">
        <v>9.8000000000000007</v>
      </c>
      <c r="E59" s="16">
        <v>0.89</v>
      </c>
      <c r="F59" s="16">
        <f>C59*D59/100*E59</f>
        <v>51.369091200000007</v>
      </c>
      <c r="G59" s="16">
        <v>19.940000000000001</v>
      </c>
      <c r="H59" s="16">
        <v>15</v>
      </c>
      <c r="I59" s="16">
        <v>21.57</v>
      </c>
      <c r="J59" s="16">
        <v>10.6</v>
      </c>
      <c r="K59" s="16">
        <v>5338.06</v>
      </c>
      <c r="M59" s="25"/>
    </row>
    <row r="60" spans="1:14" ht="14.4" customHeight="1" x14ac:dyDescent="0.25">
      <c r="A60" s="21" t="s">
        <v>111</v>
      </c>
      <c r="B60" s="21" t="s">
        <v>29</v>
      </c>
      <c r="C60" s="21">
        <v>976.75</v>
      </c>
      <c r="D60" s="16">
        <v>9.8000000000000007</v>
      </c>
      <c r="E60" s="21">
        <v>0.89</v>
      </c>
      <c r="F60" s="26">
        <f t="shared" ref="F60:F62" si="9">C60*D60/100*E60</f>
        <v>85.192135000000022</v>
      </c>
      <c r="G60" s="21">
        <v>52.03</v>
      </c>
      <c r="H60" s="21">
        <v>18.010000000000002</v>
      </c>
      <c r="I60" s="21">
        <v>52.03</v>
      </c>
      <c r="J60" s="21">
        <v>16.03</v>
      </c>
      <c r="K60" s="21">
        <v>13002.01</v>
      </c>
    </row>
    <row r="61" spans="1:14" x14ac:dyDescent="0.25">
      <c r="A61" s="21" t="s">
        <v>110</v>
      </c>
      <c r="B61" s="21" t="s">
        <v>29</v>
      </c>
      <c r="C61" s="21">
        <v>976.75</v>
      </c>
      <c r="D61" s="16">
        <v>9.8000000000000007</v>
      </c>
      <c r="E61" s="21">
        <v>0.89</v>
      </c>
      <c r="F61" s="26">
        <f t="shared" si="9"/>
        <v>85.192135000000022</v>
      </c>
      <c r="G61" s="21">
        <v>52.03</v>
      </c>
      <c r="H61" s="21">
        <v>18.010000000000002</v>
      </c>
      <c r="I61" s="21">
        <f t="shared" ref="I61" si="10">G61</f>
        <v>52.03</v>
      </c>
      <c r="J61" s="21">
        <v>16.03</v>
      </c>
      <c r="K61" s="21">
        <v>13002.01</v>
      </c>
    </row>
    <row r="62" spans="1:14" s="42" customFormat="1" x14ac:dyDescent="0.25">
      <c r="A62" s="16" t="s">
        <v>132</v>
      </c>
      <c r="B62" s="16" t="s">
        <v>133</v>
      </c>
      <c r="C62" s="21">
        <v>110</v>
      </c>
      <c r="D62" s="16">
        <v>9.8000000000000007</v>
      </c>
      <c r="E62" s="21">
        <v>0.89</v>
      </c>
      <c r="F62" s="16">
        <f t="shared" si="9"/>
        <v>9.594199999999999</v>
      </c>
      <c r="G62" s="21">
        <v>22.45</v>
      </c>
      <c r="H62" s="21">
        <v>12.52</v>
      </c>
      <c r="I62" s="21">
        <v>22.45</v>
      </c>
      <c r="J62" s="21">
        <v>9.8000000000000007</v>
      </c>
      <c r="K62" s="16">
        <v>1091.1400000000001</v>
      </c>
      <c r="L62" s="52"/>
      <c r="M62" s="52"/>
      <c r="N62" s="52"/>
    </row>
    <row r="63" spans="1:14" x14ac:dyDescent="0.25">
      <c r="A63" s="9" t="s">
        <v>69</v>
      </c>
      <c r="B63" s="9"/>
      <c r="C63" s="9"/>
      <c r="D63" s="21"/>
      <c r="E63" s="21"/>
      <c r="F63" s="34">
        <f>SUM(F55:F62)</f>
        <v>298.77885240000006</v>
      </c>
      <c r="G63" s="21"/>
      <c r="H63" s="21"/>
      <c r="I63" s="34">
        <f>SUMPRODUCT(F55:F62,I55:I62)/SUM(F55:F62)</f>
        <v>39.080452892414947</v>
      </c>
      <c r="J63" s="34">
        <f>SUMPRODUCT(F55:F62,J55:J62)/SUM(F55:F62)</f>
        <v>13.348646664592383</v>
      </c>
      <c r="K63" s="9">
        <f>SUM(K55:K62)</f>
        <v>41211.050000000003</v>
      </c>
    </row>
    <row r="64" spans="1:14" x14ac:dyDescent="0.25">
      <c r="A64" s="74" t="s">
        <v>84</v>
      </c>
      <c r="B64" s="75"/>
      <c r="C64" s="75"/>
      <c r="D64" s="75"/>
      <c r="E64" s="75"/>
      <c r="F64" s="75"/>
      <c r="G64" s="75"/>
      <c r="H64" s="75"/>
      <c r="I64" s="75"/>
      <c r="J64" s="75"/>
      <c r="K64" s="76"/>
    </row>
    <row r="65" spans="1:11" x14ac:dyDescent="0.25">
      <c r="A65" s="21" t="s">
        <v>85</v>
      </c>
      <c r="B65" s="21" t="s">
        <v>86</v>
      </c>
      <c r="C65" s="21">
        <v>15.79</v>
      </c>
      <c r="D65" s="21">
        <v>9.8000000000000007</v>
      </c>
      <c r="E65" s="21">
        <v>0.9</v>
      </c>
      <c r="F65" s="50">
        <f>C65*D65/100*E65</f>
        <v>1.3926779999999999</v>
      </c>
      <c r="G65" s="21">
        <v>24.83</v>
      </c>
      <c r="H65" s="21">
        <v>1.1499999999999999</v>
      </c>
      <c r="I65" s="21">
        <v>24.88</v>
      </c>
      <c r="J65" s="21">
        <v>0.69</v>
      </c>
      <c r="K65" s="21">
        <v>241.2</v>
      </c>
    </row>
    <row r="66" spans="1:11" x14ac:dyDescent="0.25">
      <c r="A66" s="21" t="s">
        <v>87</v>
      </c>
      <c r="B66" s="21" t="s">
        <v>88</v>
      </c>
      <c r="C66" s="21">
        <v>16.920000000000002</v>
      </c>
      <c r="D66" s="21">
        <v>9.8000000000000007</v>
      </c>
      <c r="E66" s="21">
        <v>0.9</v>
      </c>
      <c r="F66" s="50">
        <f>C66*D66/100*E66</f>
        <v>1.4923440000000003</v>
      </c>
      <c r="G66" s="21">
        <v>20.27</v>
      </c>
      <c r="H66" s="21">
        <v>1.1200000000000001</v>
      </c>
      <c r="I66" s="21">
        <f>G66</f>
        <v>20.27</v>
      </c>
      <c r="J66" s="21">
        <v>0.68</v>
      </c>
      <c r="K66" s="21">
        <v>5.01</v>
      </c>
    </row>
    <row r="67" spans="1:11" x14ac:dyDescent="0.25">
      <c r="A67" s="9" t="s">
        <v>69</v>
      </c>
      <c r="B67" s="9"/>
      <c r="C67" s="9"/>
      <c r="D67" s="21"/>
      <c r="E67" s="21"/>
      <c r="F67" s="34">
        <f>SUM(F65:F66)</f>
        <v>2.8850220000000002</v>
      </c>
      <c r="G67" s="21"/>
      <c r="H67" s="21"/>
      <c r="I67" s="34">
        <f>SUMPRODUCT(F65:F66,I65:I66)/(SUM(F65:F66)+1)</f>
        <v>16.705089834755118</v>
      </c>
      <c r="J67" s="34">
        <f>SUMPRODUCT(F65:F66,J65:J66)/SUM(F65:F66)</f>
        <v>0.68482726994802812</v>
      </c>
      <c r="K67" s="9">
        <f>SUM(K65:K66)</f>
        <v>246.20999999999998</v>
      </c>
    </row>
    <row r="68" spans="1:11" x14ac:dyDescent="0.25">
      <c r="A68" s="73" t="s">
        <v>89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</row>
    <row r="69" spans="1:11" x14ac:dyDescent="0.25">
      <c r="A69" s="21" t="s">
        <v>90</v>
      </c>
      <c r="B69" s="21" t="s">
        <v>76</v>
      </c>
      <c r="C69" s="21">
        <v>26.9</v>
      </c>
      <c r="D69" s="21">
        <v>0</v>
      </c>
      <c r="E69" s="21">
        <v>1</v>
      </c>
      <c r="F69" s="21">
        <f>C69*D69/100*E69</f>
        <v>0</v>
      </c>
      <c r="G69" s="50">
        <v>18.899999999999999</v>
      </c>
      <c r="H69" s="50">
        <v>0.91</v>
      </c>
      <c r="I69" s="50">
        <f>G69</f>
        <v>18.899999999999999</v>
      </c>
      <c r="J69" s="50">
        <f>H69</f>
        <v>0.91</v>
      </c>
      <c r="K69" s="21">
        <v>0</v>
      </c>
    </row>
    <row r="70" spans="1:11" x14ac:dyDescent="0.25">
      <c r="A70" s="21" t="s">
        <v>91</v>
      </c>
      <c r="B70" s="21" t="s">
        <v>79</v>
      </c>
      <c r="C70" s="21">
        <v>15.79</v>
      </c>
      <c r="D70" s="21">
        <v>0</v>
      </c>
      <c r="E70" s="21">
        <v>0.89</v>
      </c>
      <c r="F70" s="21">
        <f>C70*D70/100*E70</f>
        <v>0</v>
      </c>
      <c r="G70" s="50">
        <v>24.83</v>
      </c>
      <c r="H70" s="50">
        <v>1.1499999999999999</v>
      </c>
      <c r="I70" s="50">
        <f>G70</f>
        <v>24.83</v>
      </c>
      <c r="J70" s="50">
        <f>H70</f>
        <v>1.1499999999999999</v>
      </c>
      <c r="K70" s="21">
        <v>0</v>
      </c>
    </row>
    <row r="71" spans="1:11" x14ac:dyDescent="0.25">
      <c r="A71" s="9" t="s">
        <v>69</v>
      </c>
      <c r="B71" s="9"/>
      <c r="C71" s="9"/>
      <c r="D71" s="21"/>
      <c r="E71" s="21"/>
      <c r="F71" s="9">
        <f>SUM(F69:F70)</f>
        <v>0</v>
      </c>
      <c r="G71" s="9"/>
      <c r="H71" s="9"/>
      <c r="I71" s="9">
        <f>SUMPRODUCT(F69:F70,I69:I70)/(SUM(F69:F70)+1E-20)</f>
        <v>0</v>
      </c>
      <c r="J71" s="9">
        <f>SUMPRODUCT(F69:F70,J69:J70)/(SUM(F69:F70)+1E-20)</f>
        <v>0</v>
      </c>
      <c r="K71" s="9">
        <f>SUM(K69:K70)</f>
        <v>0</v>
      </c>
    </row>
    <row r="72" spans="1:11" x14ac:dyDescent="0.25">
      <c r="A72" s="73" t="s">
        <v>92</v>
      </c>
      <c r="B72" s="73"/>
      <c r="C72" s="73"/>
      <c r="D72" s="73"/>
      <c r="E72" s="73"/>
      <c r="F72" s="73"/>
      <c r="G72" s="73"/>
      <c r="H72" s="73"/>
      <c r="I72" s="73"/>
      <c r="J72" s="73"/>
      <c r="K72" s="73"/>
    </row>
    <row r="73" spans="1:11" x14ac:dyDescent="0.25">
      <c r="A73" s="21" t="s">
        <v>93</v>
      </c>
      <c r="B73" s="21" t="s">
        <v>94</v>
      </c>
      <c r="C73" s="21" t="s">
        <v>102</v>
      </c>
      <c r="D73" s="21">
        <v>10</v>
      </c>
      <c r="E73" s="21" t="s">
        <v>102</v>
      </c>
      <c r="F73" s="21">
        <v>0.67600000000000005</v>
      </c>
      <c r="G73" s="50">
        <v>13.05</v>
      </c>
      <c r="H73" s="50">
        <v>23.14</v>
      </c>
      <c r="I73" s="50">
        <f>G73</f>
        <v>13.05</v>
      </c>
      <c r="J73" s="50">
        <f>H73</f>
        <v>23.14</v>
      </c>
      <c r="K73" s="21">
        <v>0</v>
      </c>
    </row>
    <row r="74" spans="1:11" x14ac:dyDescent="0.25">
      <c r="A74" s="21" t="s">
        <v>95</v>
      </c>
      <c r="B74" s="21" t="s">
        <v>96</v>
      </c>
      <c r="C74" s="21" t="s">
        <v>102</v>
      </c>
      <c r="D74" s="21">
        <v>10</v>
      </c>
      <c r="E74" s="21" t="s">
        <v>102</v>
      </c>
      <c r="F74" s="21">
        <v>93.74</v>
      </c>
      <c r="G74" s="50">
        <v>18.193999999999999</v>
      </c>
      <c r="H74" s="50">
        <v>23.14</v>
      </c>
      <c r="I74" s="50">
        <f t="shared" ref="I74:J75" si="11">G74</f>
        <v>18.193999999999999</v>
      </c>
      <c r="J74" s="50">
        <f t="shared" si="11"/>
        <v>23.14</v>
      </c>
      <c r="K74" s="21">
        <v>0</v>
      </c>
    </row>
    <row r="75" spans="1:11" x14ac:dyDescent="0.25">
      <c r="A75" s="21" t="s">
        <v>97</v>
      </c>
      <c r="B75" s="21" t="s">
        <v>98</v>
      </c>
      <c r="C75" s="21" t="s">
        <v>102</v>
      </c>
      <c r="D75" s="21">
        <v>10</v>
      </c>
      <c r="E75" s="21" t="s">
        <v>102</v>
      </c>
      <c r="F75" s="21">
        <v>3.08</v>
      </c>
      <c r="G75" s="50">
        <v>16.25</v>
      </c>
      <c r="H75" s="50">
        <v>26.2</v>
      </c>
      <c r="I75" s="50">
        <f t="shared" si="11"/>
        <v>16.25</v>
      </c>
      <c r="J75" s="50">
        <f t="shared" si="11"/>
        <v>26.2</v>
      </c>
      <c r="K75" s="21">
        <v>0</v>
      </c>
    </row>
    <row r="76" spans="1:11" x14ac:dyDescent="0.25">
      <c r="A76" s="9" t="s">
        <v>69</v>
      </c>
      <c r="B76" s="9"/>
      <c r="C76" s="9"/>
      <c r="D76" s="21"/>
      <c r="E76" s="21"/>
      <c r="F76" s="9">
        <f>SUM(F73:F75)</f>
        <v>97.495999999999995</v>
      </c>
      <c r="G76" s="21"/>
      <c r="H76" s="21"/>
      <c r="I76" s="34">
        <f>SUMPRODUCT(F73:F75,I73:I75)/SUM(F73:F75)</f>
        <v>18.096920489045704</v>
      </c>
      <c r="J76" s="34">
        <f>SUMPRODUCT(F73:F75,J73:J75)/SUM(F73:F75)</f>
        <v>23.236668581275129</v>
      </c>
      <c r="K76" s="9">
        <f>SUM(K73:K75)</f>
        <v>0</v>
      </c>
    </row>
    <row r="77" spans="1:11" x14ac:dyDescent="0.25">
      <c r="A77" s="9"/>
      <c r="B77" s="9"/>
      <c r="C77" s="9"/>
      <c r="D77" s="21"/>
      <c r="E77" s="21"/>
      <c r="F77" s="9"/>
      <c r="G77" s="21"/>
      <c r="H77" s="21"/>
      <c r="I77" s="21"/>
      <c r="J77" s="21"/>
      <c r="K77" s="9"/>
    </row>
    <row r="78" spans="1:11" x14ac:dyDescent="0.25">
      <c r="A78" s="9" t="s">
        <v>99</v>
      </c>
      <c r="B78" s="9"/>
      <c r="C78" s="9"/>
      <c r="D78" s="9"/>
      <c r="E78" s="9"/>
      <c r="F78" s="34">
        <v>12489.28</v>
      </c>
      <c r="G78" s="9"/>
      <c r="H78" s="9"/>
      <c r="I78" s="34">
        <v>99.79</v>
      </c>
      <c r="J78" s="34">
        <v>11.51</v>
      </c>
      <c r="K78" s="34">
        <v>0</v>
      </c>
    </row>
    <row r="79" spans="1:11" x14ac:dyDescent="0.25">
      <c r="A79" s="9" t="s">
        <v>100</v>
      </c>
      <c r="B79" s="9"/>
      <c r="C79" s="9"/>
      <c r="D79" s="9"/>
      <c r="E79" s="9"/>
      <c r="F79" s="34">
        <f>F12+F48+F53+F63+F67+F71+F76</f>
        <v>68958.796990273011</v>
      </c>
      <c r="G79" s="9"/>
      <c r="H79" s="9"/>
      <c r="I79" s="34">
        <f>(F12*I12+F48*I48+F53*I53+F63*I63+F71*I71+F76*I76)/SUM(F76,F71,F63,F53,F48,F12)</f>
        <v>113.44611685721567</v>
      </c>
      <c r="J79" s="34">
        <f>(F12*J12+F48*J48+F53*J53+F63*J63+F67*J67+F71*J71+F76*J76)/SUM(F76+F71+F67+F63+F53+F48+F12)</f>
        <v>11.043723194509427</v>
      </c>
      <c r="K79" s="34">
        <f>SUM(K12,K48,K53,K63,K67,K71,K76)</f>
        <v>44995.61</v>
      </c>
    </row>
    <row r="80" spans="1:11" x14ac:dyDescent="0.25">
      <c r="A80" s="9" t="s">
        <v>101</v>
      </c>
      <c r="B80" s="9"/>
      <c r="C80" s="9"/>
      <c r="D80" s="9"/>
      <c r="E80" s="9"/>
      <c r="F80" s="34">
        <f>SUM(F78+F79)</f>
        <v>81448.07699027301</v>
      </c>
      <c r="G80" s="9"/>
      <c r="H80" s="9"/>
      <c r="I80" s="34">
        <f>(F78*I78+F79*I79)/(F78+F79)</f>
        <v>111.35208255407484</v>
      </c>
      <c r="J80" s="34">
        <f>(F78*J78+F79*J79)/(F78+F79)</f>
        <v>11.115222262338529</v>
      </c>
      <c r="K80" s="34">
        <f>SUM(K13,K49,K54,K64,K68,K72,K77)</f>
        <v>0</v>
      </c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</sheetData>
  <mergeCells count="16">
    <mergeCell ref="K1:K2"/>
    <mergeCell ref="A4:K4"/>
    <mergeCell ref="A13:K13"/>
    <mergeCell ref="G1:H1"/>
    <mergeCell ref="A1:A2"/>
    <mergeCell ref="B1:B2"/>
    <mergeCell ref="C1:C2"/>
    <mergeCell ref="D1:D2"/>
    <mergeCell ref="E1:E2"/>
    <mergeCell ref="F1:F2"/>
    <mergeCell ref="I1:J1"/>
    <mergeCell ref="A49:K49"/>
    <mergeCell ref="A54:K54"/>
    <mergeCell ref="A64:K64"/>
    <mergeCell ref="A68:K68"/>
    <mergeCell ref="A72:K72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A16" zoomScale="70" zoomScaleNormal="70" workbookViewId="0">
      <selection activeCell="I12" sqref="I12:J12"/>
    </sheetView>
  </sheetViews>
  <sheetFormatPr defaultColWidth="9" defaultRowHeight="14" x14ac:dyDescent="0.25"/>
  <cols>
    <col min="1" max="1" width="23.54296875" customWidth="1"/>
    <col min="2" max="2" width="15.1796875" customWidth="1"/>
    <col min="3" max="3" width="9.54296875" bestFit="1" customWidth="1"/>
    <col min="6" max="6" width="12.1796875" customWidth="1"/>
    <col min="9" max="9" width="10" bestFit="1" customWidth="1"/>
    <col min="10" max="10" width="8.81640625" bestFit="1" customWidth="1"/>
    <col min="11" max="11" width="14.1796875" customWidth="1"/>
  </cols>
  <sheetData>
    <row r="1" spans="1:11" x14ac:dyDescent="0.25">
      <c r="A1" s="83" t="s">
        <v>0</v>
      </c>
      <c r="B1" s="86" t="s">
        <v>1</v>
      </c>
      <c r="C1" s="87" t="s">
        <v>2</v>
      </c>
      <c r="D1" s="83" t="s">
        <v>2</v>
      </c>
      <c r="E1" s="83" t="s">
        <v>3</v>
      </c>
      <c r="F1" s="83" t="s">
        <v>4</v>
      </c>
      <c r="G1" s="84" t="s">
        <v>103</v>
      </c>
      <c r="H1" s="85"/>
      <c r="I1" s="84" t="s">
        <v>104</v>
      </c>
      <c r="J1" s="85"/>
      <c r="K1" s="83" t="s">
        <v>5</v>
      </c>
    </row>
    <row r="2" spans="1:11" x14ac:dyDescent="0.25">
      <c r="A2" s="83"/>
      <c r="B2" s="86"/>
      <c r="C2" s="88"/>
      <c r="D2" s="83"/>
      <c r="E2" s="83"/>
      <c r="F2" s="83"/>
      <c r="G2" s="11" t="s">
        <v>6</v>
      </c>
      <c r="H2" s="11" t="s">
        <v>7</v>
      </c>
      <c r="I2" s="10" t="s">
        <v>105</v>
      </c>
      <c r="J2" s="10" t="s">
        <v>106</v>
      </c>
      <c r="K2" s="83"/>
    </row>
    <row r="3" spans="1:11" x14ac:dyDescent="0.25">
      <c r="A3" s="3" t="s">
        <v>8</v>
      </c>
      <c r="B3" s="3"/>
      <c r="C3" s="12" t="s">
        <v>9</v>
      </c>
      <c r="D3" s="3" t="s">
        <v>10</v>
      </c>
      <c r="E3" s="3" t="s">
        <v>11</v>
      </c>
      <c r="F3" s="3" t="s">
        <v>12</v>
      </c>
      <c r="G3" s="12" t="s">
        <v>13</v>
      </c>
      <c r="H3" s="12" t="s">
        <v>13</v>
      </c>
      <c r="I3" s="13" t="s">
        <v>107</v>
      </c>
      <c r="J3" s="13" t="s">
        <v>107</v>
      </c>
      <c r="K3" s="3" t="s">
        <v>14</v>
      </c>
    </row>
    <row r="4" spans="1:11" x14ac:dyDescent="0.25">
      <c r="A4" s="79" t="s">
        <v>15</v>
      </c>
      <c r="B4" s="80"/>
      <c r="C4" s="80"/>
      <c r="D4" s="80"/>
      <c r="E4" s="80"/>
      <c r="F4" s="80"/>
      <c r="G4" s="80"/>
      <c r="H4" s="80"/>
      <c r="I4" s="80"/>
      <c r="J4" s="80"/>
      <c r="K4" s="81"/>
    </row>
    <row r="5" spans="1:11" x14ac:dyDescent="0.25">
      <c r="A5" s="4" t="s">
        <v>16</v>
      </c>
      <c r="B5" s="1" t="s">
        <v>17</v>
      </c>
      <c r="C5" s="21">
        <v>10024.379999999999</v>
      </c>
      <c r="D5" s="2">
        <v>0</v>
      </c>
      <c r="E5" s="26">
        <f>1/1.26</f>
        <v>0.79365079365079361</v>
      </c>
      <c r="F5" s="2">
        <f>C5*D5/100*E5</f>
        <v>0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14" t="s">
        <v>118</v>
      </c>
    </row>
    <row r="6" spans="1:11" x14ac:dyDescent="0.25">
      <c r="A6" s="4" t="s">
        <v>18</v>
      </c>
      <c r="B6" s="4" t="s">
        <v>19</v>
      </c>
      <c r="C6" s="21">
        <v>13085.42</v>
      </c>
      <c r="D6" s="2">
        <v>0</v>
      </c>
      <c r="E6" s="26">
        <f t="shared" ref="E6:E11" si="0">1/1.26</f>
        <v>0.79365079365079361</v>
      </c>
      <c r="F6" s="2">
        <f t="shared" ref="F6:F11" si="1">C6*D6/100*E6</f>
        <v>0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14" t="s">
        <v>118</v>
      </c>
    </row>
    <row r="7" spans="1:11" x14ac:dyDescent="0.25">
      <c r="A7" s="4" t="s">
        <v>20</v>
      </c>
      <c r="B7" s="1" t="s">
        <v>21</v>
      </c>
      <c r="C7" s="21">
        <v>12955.22</v>
      </c>
      <c r="D7" s="2">
        <v>0</v>
      </c>
      <c r="E7" s="26">
        <f t="shared" si="0"/>
        <v>0.79365079365079361</v>
      </c>
      <c r="F7" s="2">
        <f t="shared" si="1"/>
        <v>0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14" t="s">
        <v>118</v>
      </c>
    </row>
    <row r="8" spans="1:11" x14ac:dyDescent="0.25">
      <c r="A8" s="4" t="s">
        <v>22</v>
      </c>
      <c r="B8" s="1" t="s">
        <v>23</v>
      </c>
      <c r="C8" s="21">
        <v>12959.84</v>
      </c>
      <c r="D8" s="2">
        <v>0</v>
      </c>
      <c r="E8" s="26">
        <f t="shared" si="0"/>
        <v>0.79365079365079361</v>
      </c>
      <c r="F8" s="2">
        <f t="shared" si="1"/>
        <v>0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14" t="s">
        <v>118</v>
      </c>
    </row>
    <row r="9" spans="1:11" x14ac:dyDescent="0.25">
      <c r="A9" s="4" t="s">
        <v>24</v>
      </c>
      <c r="B9" s="1" t="s">
        <v>25</v>
      </c>
      <c r="C9" s="21">
        <v>13045.78</v>
      </c>
      <c r="D9" s="2">
        <v>0</v>
      </c>
      <c r="E9" s="26">
        <f t="shared" si="0"/>
        <v>0.79365079365079361</v>
      </c>
      <c r="F9" s="2">
        <f t="shared" si="1"/>
        <v>0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14" t="s">
        <v>118</v>
      </c>
    </row>
    <row r="10" spans="1:11" x14ac:dyDescent="0.25">
      <c r="A10" s="4" t="s">
        <v>26</v>
      </c>
      <c r="B10" s="1" t="s">
        <v>27</v>
      </c>
      <c r="C10" s="21">
        <v>13041.17</v>
      </c>
      <c r="D10" s="2">
        <v>0</v>
      </c>
      <c r="E10" s="26">
        <f t="shared" si="0"/>
        <v>0.79365079365079361</v>
      </c>
      <c r="F10" s="2">
        <f t="shared" si="1"/>
        <v>0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14" t="s">
        <v>118</v>
      </c>
    </row>
    <row r="11" spans="1:11" x14ac:dyDescent="0.25">
      <c r="A11" s="4" t="s">
        <v>28</v>
      </c>
      <c r="B11" s="1" t="s">
        <v>29</v>
      </c>
      <c r="C11" s="21">
        <v>11647.96</v>
      </c>
      <c r="D11" s="2">
        <v>0</v>
      </c>
      <c r="E11" s="26">
        <f t="shared" si="0"/>
        <v>0.79365079365079361</v>
      </c>
      <c r="F11" s="2">
        <f t="shared" si="1"/>
        <v>0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14" t="s">
        <v>118</v>
      </c>
    </row>
    <row r="12" spans="1:11" x14ac:dyDescent="0.25">
      <c r="A12" s="27" t="s">
        <v>117</v>
      </c>
      <c r="B12" s="1"/>
      <c r="C12" s="14"/>
      <c r="D12" s="14"/>
      <c r="E12" s="14"/>
      <c r="F12" s="15">
        <f>SUM(F5:F11)</f>
        <v>0</v>
      </c>
      <c r="G12" s="26"/>
      <c r="H12" s="26"/>
      <c r="I12" s="34">
        <f>SUMPRODUCT(F5:F11,I5:I11)/(1E-20+SUM(F5:F11))</f>
        <v>0</v>
      </c>
      <c r="J12" s="34">
        <f>SUMPRODUCT(F5:F11,J5:J11)/(1E-20+SUM(F5:F11))</f>
        <v>0</v>
      </c>
      <c r="K12" s="15">
        <v>0</v>
      </c>
    </row>
    <row r="13" spans="1:11" x14ac:dyDescent="0.25">
      <c r="A13" s="82" t="s">
        <v>30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1" t="s">
        <v>31</v>
      </c>
      <c r="B14" s="2" t="s">
        <v>29</v>
      </c>
      <c r="C14" s="17">
        <f>323.54+339.89</f>
        <v>663.43000000000006</v>
      </c>
      <c r="D14" s="7">
        <v>98</v>
      </c>
      <c r="E14" s="1">
        <v>1.0249999999999999</v>
      </c>
      <c r="F14" s="30">
        <f>C14*D14*E14/100</f>
        <v>666.415435</v>
      </c>
      <c r="G14" s="35">
        <v>39.619999999999997</v>
      </c>
      <c r="H14" s="35">
        <v>1.68</v>
      </c>
      <c r="I14" s="35">
        <f>G14</f>
        <v>39.619999999999997</v>
      </c>
      <c r="J14" s="35">
        <f>H14</f>
        <v>1.68</v>
      </c>
      <c r="K14" s="30" t="s">
        <v>131</v>
      </c>
    </row>
    <row r="15" spans="1:11" x14ac:dyDescent="0.25">
      <c r="A15" s="1" t="s">
        <v>32</v>
      </c>
      <c r="B15" s="1" t="s">
        <v>29</v>
      </c>
      <c r="C15" s="17">
        <f>323.54+339.89</f>
        <v>663.43000000000006</v>
      </c>
      <c r="D15" s="7">
        <v>98</v>
      </c>
      <c r="E15" s="1">
        <v>1.0249999999999999</v>
      </c>
      <c r="F15" s="30">
        <f t="shared" ref="F15:F47" si="3">C15*D15*E15/100</f>
        <v>666.415435</v>
      </c>
      <c r="G15" s="35">
        <v>39.619999999999997</v>
      </c>
      <c r="H15" s="35">
        <v>1.68</v>
      </c>
      <c r="I15" s="35">
        <f t="shared" ref="I15:I47" si="4">G15</f>
        <v>39.619999999999997</v>
      </c>
      <c r="J15" s="35">
        <f t="shared" ref="J15:J47" si="5">H15</f>
        <v>1.68</v>
      </c>
      <c r="K15" s="30" t="s">
        <v>131</v>
      </c>
    </row>
    <row r="16" spans="1:11" x14ac:dyDescent="0.25">
      <c r="A16" s="1" t="s">
        <v>33</v>
      </c>
      <c r="B16" s="1" t="s">
        <v>34</v>
      </c>
      <c r="C16" s="17">
        <f>538.2+224.03</f>
        <v>762.23</v>
      </c>
      <c r="D16" s="7">
        <v>98</v>
      </c>
      <c r="E16" s="1">
        <v>1.0249999999999999</v>
      </c>
      <c r="F16" s="30">
        <f t="shared" si="3"/>
        <v>765.66003500000011</v>
      </c>
      <c r="G16" s="61">
        <v>64</v>
      </c>
      <c r="H16" s="61">
        <v>1.47</v>
      </c>
      <c r="I16" s="35">
        <f t="shared" si="4"/>
        <v>64</v>
      </c>
      <c r="J16" s="35">
        <f t="shared" si="5"/>
        <v>1.47</v>
      </c>
      <c r="K16" s="30" t="s">
        <v>131</v>
      </c>
    </row>
    <row r="17" spans="1:11" x14ac:dyDescent="0.25">
      <c r="A17" s="1" t="s">
        <v>35</v>
      </c>
      <c r="B17" s="1" t="s">
        <v>34</v>
      </c>
      <c r="C17" s="17">
        <f>538.2+224.03</f>
        <v>762.23</v>
      </c>
      <c r="D17" s="7">
        <v>98</v>
      </c>
      <c r="E17" s="1">
        <v>1.0249999999999999</v>
      </c>
      <c r="F17" s="30">
        <f t="shared" si="3"/>
        <v>765.66003500000011</v>
      </c>
      <c r="G17" s="61">
        <v>64</v>
      </c>
      <c r="H17" s="61">
        <v>1.47</v>
      </c>
      <c r="I17" s="35">
        <f t="shared" si="4"/>
        <v>64</v>
      </c>
      <c r="J17" s="35">
        <f t="shared" si="5"/>
        <v>1.47</v>
      </c>
      <c r="K17" s="30" t="s">
        <v>131</v>
      </c>
    </row>
    <row r="18" spans="1:11" x14ac:dyDescent="0.25">
      <c r="A18" s="1" t="s">
        <v>36</v>
      </c>
      <c r="B18" s="1" t="s">
        <v>37</v>
      </c>
      <c r="C18" s="17">
        <f>557.98+224.03</f>
        <v>782.01</v>
      </c>
      <c r="D18" s="7">
        <v>98</v>
      </c>
      <c r="E18" s="1">
        <v>1.0249999999999999</v>
      </c>
      <c r="F18" s="30">
        <f t="shared" si="3"/>
        <v>785.52904499999988</v>
      </c>
      <c r="G18" s="61">
        <v>89.5</v>
      </c>
      <c r="H18" s="61">
        <v>1.46</v>
      </c>
      <c r="I18" s="35">
        <f t="shared" si="4"/>
        <v>89.5</v>
      </c>
      <c r="J18" s="35">
        <f t="shared" si="5"/>
        <v>1.46</v>
      </c>
      <c r="K18" s="30" t="s">
        <v>131</v>
      </c>
    </row>
    <row r="19" spans="1:11" x14ac:dyDescent="0.25">
      <c r="A19" s="1" t="s">
        <v>38</v>
      </c>
      <c r="B19" s="1" t="s">
        <v>37</v>
      </c>
      <c r="C19" s="17">
        <f>557.98+224.03</f>
        <v>782.01</v>
      </c>
      <c r="D19" s="7">
        <v>98</v>
      </c>
      <c r="E19" s="1">
        <v>1.0249999999999999</v>
      </c>
      <c r="F19" s="30">
        <f t="shared" si="3"/>
        <v>785.52904499999988</v>
      </c>
      <c r="G19" s="61">
        <v>89.5</v>
      </c>
      <c r="H19" s="61">
        <v>1.46</v>
      </c>
      <c r="I19" s="35">
        <f t="shared" si="4"/>
        <v>89.5</v>
      </c>
      <c r="J19" s="35">
        <f t="shared" si="5"/>
        <v>1.46</v>
      </c>
      <c r="K19" s="30" t="s">
        <v>131</v>
      </c>
    </row>
    <row r="20" spans="1:11" x14ac:dyDescent="0.25">
      <c r="A20" s="1" t="s">
        <v>39</v>
      </c>
      <c r="B20" s="1" t="s">
        <v>40</v>
      </c>
      <c r="C20" s="17">
        <f>560.72+224.03</f>
        <v>784.75</v>
      </c>
      <c r="D20" s="7">
        <v>98</v>
      </c>
      <c r="E20" s="1">
        <v>1.0249999999999999</v>
      </c>
      <c r="F20" s="30">
        <f t="shared" si="3"/>
        <v>788.28137500000003</v>
      </c>
      <c r="G20" s="61">
        <v>115</v>
      </c>
      <c r="H20" s="61">
        <v>1.46</v>
      </c>
      <c r="I20" s="35">
        <f t="shared" si="4"/>
        <v>115</v>
      </c>
      <c r="J20" s="35">
        <f t="shared" si="5"/>
        <v>1.46</v>
      </c>
      <c r="K20" s="30" t="s">
        <v>131</v>
      </c>
    </row>
    <row r="21" spans="1:11" x14ac:dyDescent="0.25">
      <c r="A21" s="1" t="s">
        <v>41</v>
      </c>
      <c r="B21" s="1" t="s">
        <v>40</v>
      </c>
      <c r="C21" s="17">
        <f>560.72+224.03</f>
        <v>784.75</v>
      </c>
      <c r="D21" s="7">
        <v>98</v>
      </c>
      <c r="E21" s="1">
        <v>1.0249999999999999</v>
      </c>
      <c r="F21" s="30">
        <f t="shared" si="3"/>
        <v>788.28137500000003</v>
      </c>
      <c r="G21" s="61">
        <v>115</v>
      </c>
      <c r="H21" s="61">
        <v>1.46</v>
      </c>
      <c r="I21" s="35">
        <f t="shared" si="4"/>
        <v>115</v>
      </c>
      <c r="J21" s="35">
        <f t="shared" si="5"/>
        <v>1.46</v>
      </c>
      <c r="K21" s="30" t="s">
        <v>131</v>
      </c>
    </row>
    <row r="22" spans="1:11" x14ac:dyDescent="0.25">
      <c r="A22" s="1" t="s">
        <v>42</v>
      </c>
      <c r="B22" s="1" t="s">
        <v>43</v>
      </c>
      <c r="C22" s="17">
        <f>560.57+224.03</f>
        <v>784.6</v>
      </c>
      <c r="D22" s="7">
        <v>98</v>
      </c>
      <c r="E22" s="1">
        <v>1.0249999999999999</v>
      </c>
      <c r="F22" s="30">
        <f t="shared" si="3"/>
        <v>788.13069999999993</v>
      </c>
      <c r="G22" s="61">
        <v>140.5</v>
      </c>
      <c r="H22" s="61">
        <v>1.46</v>
      </c>
      <c r="I22" s="35">
        <f t="shared" si="4"/>
        <v>140.5</v>
      </c>
      <c r="J22" s="35">
        <f t="shared" si="5"/>
        <v>1.46</v>
      </c>
      <c r="K22" s="30" t="s">
        <v>131</v>
      </c>
    </row>
    <row r="23" spans="1:11" x14ac:dyDescent="0.25">
      <c r="A23" s="1" t="s">
        <v>44</v>
      </c>
      <c r="B23" s="1" t="s">
        <v>43</v>
      </c>
      <c r="C23" s="17">
        <f>560.57+224.03</f>
        <v>784.6</v>
      </c>
      <c r="D23" s="7">
        <v>98</v>
      </c>
      <c r="E23" s="1">
        <v>1.0249999999999999</v>
      </c>
      <c r="F23" s="30">
        <f t="shared" si="3"/>
        <v>788.13069999999993</v>
      </c>
      <c r="G23" s="61">
        <v>140.5</v>
      </c>
      <c r="H23" s="61">
        <v>1.46</v>
      </c>
      <c r="I23" s="35">
        <f t="shared" si="4"/>
        <v>140.5</v>
      </c>
      <c r="J23" s="35">
        <f t="shared" si="5"/>
        <v>1.46</v>
      </c>
      <c r="K23" s="30" t="s">
        <v>131</v>
      </c>
    </row>
    <row r="24" spans="1:11" x14ac:dyDescent="0.25">
      <c r="A24" s="1" t="s">
        <v>45</v>
      </c>
      <c r="B24" s="1" t="s">
        <v>46</v>
      </c>
      <c r="C24" s="17">
        <f>560.57+224.03</f>
        <v>784.6</v>
      </c>
      <c r="D24" s="7">
        <v>98</v>
      </c>
      <c r="E24" s="1">
        <v>1.0249999999999999</v>
      </c>
      <c r="F24" s="30">
        <f t="shared" si="3"/>
        <v>788.13069999999993</v>
      </c>
      <c r="G24" s="61">
        <v>166</v>
      </c>
      <c r="H24" s="61">
        <v>1.46</v>
      </c>
      <c r="I24" s="35">
        <f t="shared" si="4"/>
        <v>166</v>
      </c>
      <c r="J24" s="35">
        <f t="shared" si="5"/>
        <v>1.46</v>
      </c>
      <c r="K24" s="30" t="s">
        <v>131</v>
      </c>
    </row>
    <row r="25" spans="1:11" x14ac:dyDescent="0.25">
      <c r="A25" s="1" t="s">
        <v>47</v>
      </c>
      <c r="B25" s="1" t="s">
        <v>46</v>
      </c>
      <c r="C25" s="17">
        <f>560.57+224.03</f>
        <v>784.6</v>
      </c>
      <c r="D25" s="7">
        <v>98</v>
      </c>
      <c r="E25" s="1">
        <v>1.0249999999999999</v>
      </c>
      <c r="F25" s="30">
        <f t="shared" si="3"/>
        <v>788.13069999999993</v>
      </c>
      <c r="G25" s="61">
        <v>166</v>
      </c>
      <c r="H25" s="61">
        <v>1.46</v>
      </c>
      <c r="I25" s="35">
        <f t="shared" si="4"/>
        <v>166</v>
      </c>
      <c r="J25" s="35">
        <f t="shared" si="5"/>
        <v>1.46</v>
      </c>
      <c r="K25" s="30" t="s">
        <v>131</v>
      </c>
    </row>
    <row r="26" spans="1:11" x14ac:dyDescent="0.25">
      <c r="A26" s="1" t="s">
        <v>48</v>
      </c>
      <c r="B26" s="1" t="s">
        <v>29</v>
      </c>
      <c r="C26" s="39">
        <f>428.97+350.99</f>
        <v>779.96</v>
      </c>
      <c r="D26" s="7">
        <v>0</v>
      </c>
      <c r="E26" s="1">
        <v>1.0249999999999999</v>
      </c>
      <c r="F26" s="30">
        <f t="shared" si="3"/>
        <v>0</v>
      </c>
      <c r="G26" s="61">
        <v>196.7</v>
      </c>
      <c r="H26" s="62">
        <v>1.49</v>
      </c>
      <c r="I26" s="35">
        <f t="shared" si="4"/>
        <v>196.7</v>
      </c>
      <c r="J26" s="35">
        <f t="shared" si="5"/>
        <v>1.49</v>
      </c>
      <c r="K26" s="30" t="s">
        <v>131</v>
      </c>
    </row>
    <row r="27" spans="1:11" x14ac:dyDescent="0.25">
      <c r="A27" s="1" t="s">
        <v>49</v>
      </c>
      <c r="B27" s="1" t="s">
        <v>29</v>
      </c>
      <c r="C27" s="39">
        <f>428.97+350.99</f>
        <v>779.96</v>
      </c>
      <c r="D27" s="7">
        <v>0</v>
      </c>
      <c r="E27" s="1">
        <v>1.0249999999999999</v>
      </c>
      <c r="F27" s="30">
        <f t="shared" si="3"/>
        <v>0</v>
      </c>
      <c r="G27" s="61">
        <v>196.7</v>
      </c>
      <c r="H27" s="62">
        <v>1.49</v>
      </c>
      <c r="I27" s="35">
        <f t="shared" si="4"/>
        <v>196.7</v>
      </c>
      <c r="J27" s="35">
        <f t="shared" si="5"/>
        <v>1.49</v>
      </c>
      <c r="K27" s="30" t="s">
        <v>131</v>
      </c>
    </row>
    <row r="28" spans="1:11" x14ac:dyDescent="0.25">
      <c r="A28" s="1" t="s">
        <v>50</v>
      </c>
      <c r="B28" s="1" t="s">
        <v>29</v>
      </c>
      <c r="C28" s="16">
        <v>232.55</v>
      </c>
      <c r="D28" s="7">
        <v>98</v>
      </c>
      <c r="E28" s="1">
        <v>1.0249999999999999</v>
      </c>
      <c r="F28" s="30">
        <f t="shared" si="3"/>
        <v>233.596475</v>
      </c>
      <c r="G28" s="35">
        <v>40.64</v>
      </c>
      <c r="H28" s="35">
        <v>11.46</v>
      </c>
      <c r="I28" s="35">
        <f t="shared" si="4"/>
        <v>40.64</v>
      </c>
      <c r="J28" s="35">
        <f t="shared" si="5"/>
        <v>11.46</v>
      </c>
      <c r="K28" s="30" t="s">
        <v>131</v>
      </c>
    </row>
    <row r="29" spans="1:11" x14ac:dyDescent="0.25">
      <c r="A29" s="1" t="s">
        <v>51</v>
      </c>
      <c r="B29" s="1" t="s">
        <v>29</v>
      </c>
      <c r="C29" s="43">
        <v>232.55</v>
      </c>
      <c r="D29" s="7">
        <v>98</v>
      </c>
      <c r="E29" s="1">
        <v>1.0249999999999999</v>
      </c>
      <c r="F29" s="30">
        <f t="shared" si="3"/>
        <v>233.596475</v>
      </c>
      <c r="G29" s="35">
        <v>40.64</v>
      </c>
      <c r="H29" s="35">
        <v>11.46</v>
      </c>
      <c r="I29" s="35">
        <f t="shared" si="4"/>
        <v>40.64</v>
      </c>
      <c r="J29" s="35">
        <f t="shared" si="5"/>
        <v>11.46</v>
      </c>
      <c r="K29" s="30" t="s">
        <v>131</v>
      </c>
    </row>
    <row r="30" spans="1:11" x14ac:dyDescent="0.25">
      <c r="A30" s="1" t="s">
        <v>52</v>
      </c>
      <c r="B30" s="1" t="s">
        <v>34</v>
      </c>
      <c r="C30" s="16">
        <v>351.96</v>
      </c>
      <c r="D30" s="7">
        <v>98</v>
      </c>
      <c r="E30" s="1">
        <v>1.0249999999999999</v>
      </c>
      <c r="F30" s="30">
        <f t="shared" si="3"/>
        <v>353.54381999999993</v>
      </c>
      <c r="G30" s="35">
        <v>64</v>
      </c>
      <c r="H30" s="35">
        <v>10.119999999999999</v>
      </c>
      <c r="I30" s="35">
        <f t="shared" si="4"/>
        <v>64</v>
      </c>
      <c r="J30" s="35">
        <f t="shared" si="5"/>
        <v>10.119999999999999</v>
      </c>
      <c r="K30" s="30" t="s">
        <v>131</v>
      </c>
    </row>
    <row r="31" spans="1:11" x14ac:dyDescent="0.25">
      <c r="A31" s="1" t="s">
        <v>53</v>
      </c>
      <c r="B31" s="1" t="s">
        <v>34</v>
      </c>
      <c r="C31" s="16">
        <v>351.96</v>
      </c>
      <c r="D31" s="7">
        <v>98</v>
      </c>
      <c r="E31" s="1">
        <v>1.0249999999999999</v>
      </c>
      <c r="F31" s="30">
        <f t="shared" si="3"/>
        <v>353.54381999999993</v>
      </c>
      <c r="G31" s="35">
        <v>64</v>
      </c>
      <c r="H31" s="35">
        <v>10.119999999999999</v>
      </c>
      <c r="I31" s="35">
        <f t="shared" si="4"/>
        <v>64</v>
      </c>
      <c r="J31" s="35">
        <f t="shared" si="5"/>
        <v>10.119999999999999</v>
      </c>
      <c r="K31" s="30" t="s">
        <v>131</v>
      </c>
    </row>
    <row r="32" spans="1:11" x14ac:dyDescent="0.25">
      <c r="A32" s="1" t="s">
        <v>54</v>
      </c>
      <c r="B32" s="1" t="s">
        <v>37</v>
      </c>
      <c r="C32" s="16">
        <v>351.96</v>
      </c>
      <c r="D32" s="7">
        <v>98</v>
      </c>
      <c r="E32" s="1">
        <v>1.0249999999999999</v>
      </c>
      <c r="F32" s="30">
        <f t="shared" si="3"/>
        <v>353.54381999999993</v>
      </c>
      <c r="G32" s="35">
        <v>89.5</v>
      </c>
      <c r="H32" s="35">
        <v>10.119999999999999</v>
      </c>
      <c r="I32" s="35">
        <f t="shared" si="4"/>
        <v>89.5</v>
      </c>
      <c r="J32" s="35">
        <f t="shared" si="5"/>
        <v>10.119999999999999</v>
      </c>
      <c r="K32" s="30" t="s">
        <v>131</v>
      </c>
    </row>
    <row r="33" spans="1:11" x14ac:dyDescent="0.25">
      <c r="A33" s="1" t="s">
        <v>55</v>
      </c>
      <c r="B33" s="1" t="s">
        <v>37</v>
      </c>
      <c r="C33" s="16">
        <v>351.96</v>
      </c>
      <c r="D33" s="7">
        <v>98</v>
      </c>
      <c r="E33" s="1">
        <v>1.0249999999999999</v>
      </c>
      <c r="F33" s="30">
        <f t="shared" si="3"/>
        <v>353.54381999999993</v>
      </c>
      <c r="G33" s="35">
        <v>89.5</v>
      </c>
      <c r="H33" s="35">
        <v>10.119999999999999</v>
      </c>
      <c r="I33" s="35">
        <f t="shared" si="4"/>
        <v>89.5</v>
      </c>
      <c r="J33" s="35">
        <f t="shared" si="5"/>
        <v>10.119999999999999</v>
      </c>
      <c r="K33" s="30" t="s">
        <v>131</v>
      </c>
    </row>
    <row r="34" spans="1:11" x14ac:dyDescent="0.25">
      <c r="A34" s="1" t="s">
        <v>56</v>
      </c>
      <c r="B34" s="1" t="s">
        <v>40</v>
      </c>
      <c r="C34" s="16">
        <v>351.96</v>
      </c>
      <c r="D34" s="7">
        <v>98</v>
      </c>
      <c r="E34" s="1">
        <v>1.0249999999999999</v>
      </c>
      <c r="F34" s="30">
        <f t="shared" si="3"/>
        <v>353.54381999999993</v>
      </c>
      <c r="G34" s="35">
        <v>115</v>
      </c>
      <c r="H34" s="35">
        <v>10.119999999999999</v>
      </c>
      <c r="I34" s="35">
        <f t="shared" si="4"/>
        <v>115</v>
      </c>
      <c r="J34" s="35">
        <f t="shared" si="5"/>
        <v>10.119999999999999</v>
      </c>
      <c r="K34" s="30" t="s">
        <v>131</v>
      </c>
    </row>
    <row r="35" spans="1:11" x14ac:dyDescent="0.25">
      <c r="A35" s="1" t="s">
        <v>57</v>
      </c>
      <c r="B35" s="1" t="s">
        <v>40</v>
      </c>
      <c r="C35" s="16">
        <v>351.96</v>
      </c>
      <c r="D35" s="7">
        <v>98</v>
      </c>
      <c r="E35" s="1">
        <v>1.0249999999999999</v>
      </c>
      <c r="F35" s="30">
        <f t="shared" si="3"/>
        <v>353.54381999999993</v>
      </c>
      <c r="G35" s="35">
        <v>115</v>
      </c>
      <c r="H35" s="35">
        <v>10.119999999999999</v>
      </c>
      <c r="I35" s="35">
        <f t="shared" si="4"/>
        <v>115</v>
      </c>
      <c r="J35" s="35">
        <f t="shared" si="5"/>
        <v>10.119999999999999</v>
      </c>
      <c r="K35" s="30" t="s">
        <v>131</v>
      </c>
    </row>
    <row r="36" spans="1:11" x14ac:dyDescent="0.25">
      <c r="A36" s="1" t="s">
        <v>58</v>
      </c>
      <c r="B36" s="1" t="s">
        <v>59</v>
      </c>
      <c r="C36" s="16">
        <v>351.96</v>
      </c>
      <c r="D36" s="7">
        <v>98</v>
      </c>
      <c r="E36" s="1">
        <v>1.0249999999999999</v>
      </c>
      <c r="F36" s="30">
        <f t="shared" si="3"/>
        <v>353.54381999999993</v>
      </c>
      <c r="G36" s="35">
        <v>140.5</v>
      </c>
      <c r="H36" s="35">
        <v>10.119999999999999</v>
      </c>
      <c r="I36" s="35">
        <f t="shared" si="4"/>
        <v>140.5</v>
      </c>
      <c r="J36" s="35">
        <f t="shared" si="5"/>
        <v>10.119999999999999</v>
      </c>
      <c r="K36" s="30" t="s">
        <v>131</v>
      </c>
    </row>
    <row r="37" spans="1:11" x14ac:dyDescent="0.25">
      <c r="A37" s="1" t="s">
        <v>60</v>
      </c>
      <c r="B37" s="1" t="s">
        <v>59</v>
      </c>
      <c r="C37" s="16">
        <v>351.96</v>
      </c>
      <c r="D37" s="7">
        <v>98</v>
      </c>
      <c r="E37" s="1">
        <v>1.0249999999999999</v>
      </c>
      <c r="F37" s="30">
        <f t="shared" si="3"/>
        <v>353.54381999999993</v>
      </c>
      <c r="G37" s="35">
        <v>140.5</v>
      </c>
      <c r="H37" s="35">
        <v>10.119999999999999</v>
      </c>
      <c r="I37" s="35">
        <f t="shared" si="4"/>
        <v>140.5</v>
      </c>
      <c r="J37" s="35">
        <f t="shared" si="5"/>
        <v>10.119999999999999</v>
      </c>
      <c r="K37" s="30" t="s">
        <v>131</v>
      </c>
    </row>
    <row r="38" spans="1:11" x14ac:dyDescent="0.25">
      <c r="A38" s="1" t="s">
        <v>61</v>
      </c>
      <c r="B38" s="1" t="s">
        <v>62</v>
      </c>
      <c r="C38" s="16">
        <v>351.96</v>
      </c>
      <c r="D38" s="7">
        <v>98</v>
      </c>
      <c r="E38" s="1">
        <v>1.0249999999999999</v>
      </c>
      <c r="F38" s="30">
        <f t="shared" si="3"/>
        <v>353.54381999999993</v>
      </c>
      <c r="G38" s="35">
        <v>166</v>
      </c>
      <c r="H38" s="35">
        <v>10.119999999999999</v>
      </c>
      <c r="I38" s="35">
        <f t="shared" si="4"/>
        <v>166</v>
      </c>
      <c r="J38" s="35">
        <f t="shared" si="5"/>
        <v>10.119999999999999</v>
      </c>
      <c r="K38" s="30" t="s">
        <v>131</v>
      </c>
    </row>
    <row r="39" spans="1:11" x14ac:dyDescent="0.25">
      <c r="A39" s="1" t="s">
        <v>63</v>
      </c>
      <c r="B39" s="1" t="s">
        <v>62</v>
      </c>
      <c r="C39" s="16">
        <v>351.96</v>
      </c>
      <c r="D39" s="7">
        <v>0</v>
      </c>
      <c r="E39" s="1">
        <v>1.0249999999999999</v>
      </c>
      <c r="F39" s="30">
        <f t="shared" si="3"/>
        <v>0</v>
      </c>
      <c r="G39" s="35">
        <v>166</v>
      </c>
      <c r="H39" s="35">
        <v>10.119999999999999</v>
      </c>
      <c r="I39" s="35">
        <f t="shared" si="4"/>
        <v>166</v>
      </c>
      <c r="J39" s="35">
        <f t="shared" si="5"/>
        <v>10.119999999999999</v>
      </c>
      <c r="K39" s="30" t="s">
        <v>131</v>
      </c>
    </row>
    <row r="40" spans="1:11" x14ac:dyDescent="0.25">
      <c r="A40" s="1" t="s">
        <v>64</v>
      </c>
      <c r="B40" s="1" t="s">
        <v>46</v>
      </c>
      <c r="C40" s="43">
        <v>330.03</v>
      </c>
      <c r="D40" s="7">
        <v>0</v>
      </c>
      <c r="E40" s="1">
        <v>1.0249999999999999</v>
      </c>
      <c r="F40" s="30">
        <f t="shared" si="3"/>
        <v>0</v>
      </c>
      <c r="G40" s="35">
        <v>191.5</v>
      </c>
      <c r="H40" s="35">
        <v>10.119999999999999</v>
      </c>
      <c r="I40" s="35">
        <f t="shared" si="4"/>
        <v>191.5</v>
      </c>
      <c r="J40" s="35">
        <f t="shared" si="5"/>
        <v>10.119999999999999</v>
      </c>
      <c r="K40" s="30" t="s">
        <v>131</v>
      </c>
    </row>
    <row r="41" spans="1:11" x14ac:dyDescent="0.25">
      <c r="A41" s="1" t="s">
        <v>65</v>
      </c>
      <c r="B41" s="1" t="s">
        <v>46</v>
      </c>
      <c r="C41" s="16">
        <v>330.03</v>
      </c>
      <c r="D41" s="7">
        <v>98</v>
      </c>
      <c r="E41" s="1">
        <v>1.0249999999999999</v>
      </c>
      <c r="F41" s="30">
        <f t="shared" si="3"/>
        <v>331.51513499999993</v>
      </c>
      <c r="G41" s="35">
        <v>191.5</v>
      </c>
      <c r="H41" s="35">
        <v>10.119999999999999</v>
      </c>
      <c r="I41" s="35">
        <f t="shared" si="4"/>
        <v>191.5</v>
      </c>
      <c r="J41" s="35">
        <f t="shared" si="5"/>
        <v>10.119999999999999</v>
      </c>
      <c r="K41" s="30" t="s">
        <v>131</v>
      </c>
    </row>
    <row r="42" spans="1:11" x14ac:dyDescent="0.25">
      <c r="A42" s="1" t="s">
        <v>66</v>
      </c>
      <c r="B42" s="1" t="s">
        <v>67</v>
      </c>
      <c r="C42" s="16">
        <v>629.11</v>
      </c>
      <c r="D42" s="7">
        <v>98</v>
      </c>
      <c r="E42" s="1">
        <v>1.0249999999999999</v>
      </c>
      <c r="F42" s="30">
        <f t="shared" si="3"/>
        <v>631.94099499999993</v>
      </c>
      <c r="G42" s="35">
        <v>191.89</v>
      </c>
      <c r="H42" s="35">
        <v>18.71</v>
      </c>
      <c r="I42" s="35">
        <f t="shared" si="4"/>
        <v>191.89</v>
      </c>
      <c r="J42" s="35">
        <f t="shared" si="5"/>
        <v>18.71</v>
      </c>
      <c r="K42" s="30" t="s">
        <v>131</v>
      </c>
    </row>
    <row r="43" spans="1:11" ht="13.75" customHeight="1" x14ac:dyDescent="0.25">
      <c r="A43" s="1" t="s">
        <v>68</v>
      </c>
      <c r="B43" s="1" t="s">
        <v>67</v>
      </c>
      <c r="C43" s="16">
        <v>629.11</v>
      </c>
      <c r="D43" s="7">
        <v>98</v>
      </c>
      <c r="E43" s="1">
        <v>1.0249999999999999</v>
      </c>
      <c r="F43" s="30">
        <f t="shared" si="3"/>
        <v>631.94099499999993</v>
      </c>
      <c r="G43" s="35">
        <v>191.89</v>
      </c>
      <c r="H43" s="35">
        <v>18.71</v>
      </c>
      <c r="I43" s="35">
        <f t="shared" si="4"/>
        <v>191.89</v>
      </c>
      <c r="J43" s="35">
        <f t="shared" si="5"/>
        <v>18.71</v>
      </c>
      <c r="K43" s="30" t="s">
        <v>131</v>
      </c>
    </row>
    <row r="44" spans="1:11" x14ac:dyDescent="0.25">
      <c r="A44" s="7" t="s">
        <v>113</v>
      </c>
      <c r="B44" s="21" t="s">
        <v>43</v>
      </c>
      <c r="C44" s="16">
        <v>1013.88</v>
      </c>
      <c r="D44" s="7">
        <v>98</v>
      </c>
      <c r="E44" s="21">
        <v>1.0249999999999999</v>
      </c>
      <c r="F44" s="30">
        <f t="shared" si="3"/>
        <v>1018.44246</v>
      </c>
      <c r="G44" s="35">
        <v>153.88</v>
      </c>
      <c r="H44" s="35">
        <v>17.5</v>
      </c>
      <c r="I44" s="35">
        <f t="shared" si="4"/>
        <v>153.88</v>
      </c>
      <c r="J44" s="35">
        <f t="shared" si="5"/>
        <v>17.5</v>
      </c>
      <c r="K44" s="30" t="s">
        <v>131</v>
      </c>
    </row>
    <row r="45" spans="1:11" x14ac:dyDescent="0.25">
      <c r="A45" s="7" t="s">
        <v>114</v>
      </c>
      <c r="B45" s="21" t="s">
        <v>43</v>
      </c>
      <c r="C45" s="16">
        <v>1013.88</v>
      </c>
      <c r="D45" s="7">
        <v>98</v>
      </c>
      <c r="E45" s="21">
        <v>1.0249999999999999</v>
      </c>
      <c r="F45" s="30">
        <f t="shared" si="3"/>
        <v>1018.44246</v>
      </c>
      <c r="G45" s="35">
        <v>153.88</v>
      </c>
      <c r="H45" s="35">
        <v>17.5</v>
      </c>
      <c r="I45" s="35">
        <f t="shared" si="4"/>
        <v>153.88</v>
      </c>
      <c r="J45" s="35">
        <f t="shared" si="5"/>
        <v>17.5</v>
      </c>
      <c r="K45" s="30" t="s">
        <v>131</v>
      </c>
    </row>
    <row r="46" spans="1:11" x14ac:dyDescent="0.25">
      <c r="A46" s="7" t="s">
        <v>115</v>
      </c>
      <c r="B46" s="21" t="s">
        <v>81</v>
      </c>
      <c r="C46" s="16">
        <v>1013.88</v>
      </c>
      <c r="D46" s="7">
        <v>98</v>
      </c>
      <c r="E46" s="21">
        <v>1.0249999999999999</v>
      </c>
      <c r="F46" s="30">
        <f t="shared" si="3"/>
        <v>1018.44246</v>
      </c>
      <c r="G46" s="35">
        <v>102.25</v>
      </c>
      <c r="H46" s="35">
        <v>17.420000000000002</v>
      </c>
      <c r="I46" s="35">
        <f t="shared" si="4"/>
        <v>102.25</v>
      </c>
      <c r="J46" s="35">
        <f t="shared" si="5"/>
        <v>17.420000000000002</v>
      </c>
      <c r="K46" s="30" t="s">
        <v>131</v>
      </c>
    </row>
    <row r="47" spans="1:11" x14ac:dyDescent="0.25">
      <c r="A47" s="7" t="s">
        <v>116</v>
      </c>
      <c r="B47" s="21" t="s">
        <v>81</v>
      </c>
      <c r="C47" s="16">
        <v>1013.88</v>
      </c>
      <c r="D47" s="7">
        <v>98</v>
      </c>
      <c r="E47" s="21">
        <v>1.0249999999999999</v>
      </c>
      <c r="F47" s="30">
        <f t="shared" si="3"/>
        <v>1018.44246</v>
      </c>
      <c r="G47" s="35">
        <v>102.25</v>
      </c>
      <c r="H47" s="35">
        <v>17.420000000000002</v>
      </c>
      <c r="I47" s="35">
        <f t="shared" si="4"/>
        <v>102.25</v>
      </c>
      <c r="J47" s="35">
        <f t="shared" si="5"/>
        <v>17.420000000000002</v>
      </c>
      <c r="K47" s="30" t="s">
        <v>131</v>
      </c>
    </row>
    <row r="48" spans="1:11" x14ac:dyDescent="0.25">
      <c r="A48" s="15" t="s">
        <v>69</v>
      </c>
      <c r="B48" s="15"/>
      <c r="C48" s="18"/>
      <c r="D48" s="1"/>
      <c r="E48" s="1"/>
      <c r="F48" s="32">
        <f>SUM(F14:F47)</f>
        <v>18482.548875000004</v>
      </c>
      <c r="G48" s="38"/>
      <c r="H48" s="38"/>
      <c r="I48" s="34">
        <f>SUMPRODUCT(F14:F47,I14:I47)/SUM(F14:F47)</f>
        <v>116.34988392777072</v>
      </c>
      <c r="J48" s="34">
        <f>SUMPRODUCT(F14:F47,J14:J47)/(SUM(F14:F47))</f>
        <v>8.0818612209404979</v>
      </c>
      <c r="K48" s="32">
        <f>SUM(K14:K47)</f>
        <v>0</v>
      </c>
    </row>
    <row r="49" spans="1:13" x14ac:dyDescent="0.25">
      <c r="A49" s="82" t="s">
        <v>70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1:13" s="42" customFormat="1" x14ac:dyDescent="0.25">
      <c r="A50" s="16" t="s">
        <v>126</v>
      </c>
      <c r="B50" s="16" t="s">
        <v>127</v>
      </c>
      <c r="C50" s="16">
        <v>23.27</v>
      </c>
      <c r="D50" s="16">
        <v>98</v>
      </c>
      <c r="E50" s="16">
        <v>1</v>
      </c>
      <c r="F50" s="16">
        <f>C50*D50/100*E50</f>
        <v>22.804600000000001</v>
      </c>
      <c r="G50" s="16">
        <v>7.51</v>
      </c>
      <c r="H50" s="16">
        <v>14.51</v>
      </c>
      <c r="I50" s="16">
        <f>G50</f>
        <v>7.51</v>
      </c>
      <c r="J50" s="16">
        <f>H50</f>
        <v>14.51</v>
      </c>
      <c r="K50" s="16" t="s">
        <v>131</v>
      </c>
    </row>
    <row r="51" spans="1:13" s="49" customFormat="1" x14ac:dyDescent="0.25">
      <c r="A51" s="16" t="s">
        <v>71</v>
      </c>
      <c r="B51" s="16" t="s">
        <v>72</v>
      </c>
      <c r="C51" s="16">
        <v>239.6</v>
      </c>
      <c r="D51" s="16">
        <v>98</v>
      </c>
      <c r="E51" s="16">
        <v>1</v>
      </c>
      <c r="F51" s="16">
        <f>C51*D51/100*E51</f>
        <v>234.80799999999999</v>
      </c>
      <c r="G51" s="16">
        <v>3.92</v>
      </c>
      <c r="H51" s="16">
        <v>16.670000000000002</v>
      </c>
      <c r="I51" s="16">
        <f t="shared" ref="I51:J52" si="6">G51</f>
        <v>3.92</v>
      </c>
      <c r="J51" s="16">
        <f t="shared" si="6"/>
        <v>16.670000000000002</v>
      </c>
      <c r="K51" s="16" t="s">
        <v>131</v>
      </c>
      <c r="M51" s="58"/>
    </row>
    <row r="52" spans="1:13" s="49" customFormat="1" x14ac:dyDescent="0.25">
      <c r="A52" s="16" t="s">
        <v>73</v>
      </c>
      <c r="B52" s="16" t="s">
        <v>72</v>
      </c>
      <c r="C52" s="16">
        <v>239.6</v>
      </c>
      <c r="D52" s="16">
        <v>98</v>
      </c>
      <c r="E52" s="16">
        <v>1</v>
      </c>
      <c r="F52" s="16">
        <f>C52*D52/100*E52</f>
        <v>234.80799999999999</v>
      </c>
      <c r="G52" s="16">
        <v>3.92</v>
      </c>
      <c r="H52" s="16">
        <v>16.670000000000002</v>
      </c>
      <c r="I52" s="16">
        <f t="shared" si="6"/>
        <v>3.92</v>
      </c>
      <c r="J52" s="16">
        <f t="shared" si="6"/>
        <v>16.670000000000002</v>
      </c>
      <c r="K52" s="16" t="s">
        <v>131</v>
      </c>
    </row>
    <row r="53" spans="1:13" x14ac:dyDescent="0.25">
      <c r="A53" s="15" t="s">
        <v>69</v>
      </c>
      <c r="B53" s="15"/>
      <c r="C53" s="18"/>
      <c r="D53" s="1"/>
      <c r="E53" s="1"/>
      <c r="F53" s="20">
        <f>SUM(F50:F52)</f>
        <v>492.42059999999998</v>
      </c>
      <c r="G53" s="11"/>
      <c r="H53" s="11"/>
      <c r="I53" s="23">
        <f>SUMPRODUCT(F50:F52,I50:I52)/SUM(F50:F52)</f>
        <v>4.0862572889923783</v>
      </c>
      <c r="J53" s="23">
        <f>SUMPRODUCT(F50:F52,J50:J52)/SUM(F50:F52)</f>
        <v>16.569967759269215</v>
      </c>
      <c r="K53" s="8">
        <f>SUM(K50:K52)</f>
        <v>0</v>
      </c>
    </row>
    <row r="54" spans="1:13" x14ac:dyDescent="0.25">
      <c r="A54" s="82" t="s">
        <v>74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1:13" s="42" customFormat="1" x14ac:dyDescent="0.25">
      <c r="A55" s="16" t="s">
        <v>130</v>
      </c>
      <c r="B55" s="16" t="s">
        <v>75</v>
      </c>
      <c r="C55" s="16">
        <v>130</v>
      </c>
      <c r="D55" s="16">
        <v>98</v>
      </c>
      <c r="E55" s="16">
        <v>0.85</v>
      </c>
      <c r="F55" s="16">
        <f>C55*D55/100*E55</f>
        <v>108.29</v>
      </c>
      <c r="G55" s="16">
        <v>25.37</v>
      </c>
      <c r="H55" s="16">
        <v>3.86</v>
      </c>
      <c r="I55" s="16">
        <f>G55</f>
        <v>25.37</v>
      </c>
      <c r="J55" s="16">
        <f>H55</f>
        <v>3.86</v>
      </c>
      <c r="K55" s="16" t="s">
        <v>131</v>
      </c>
    </row>
    <row r="56" spans="1:13" s="42" customFormat="1" x14ac:dyDescent="0.25">
      <c r="A56" s="16" t="s">
        <v>77</v>
      </c>
      <c r="B56" s="16" t="s">
        <v>78</v>
      </c>
      <c r="C56" s="16">
        <v>30</v>
      </c>
      <c r="D56" s="16">
        <v>98</v>
      </c>
      <c r="E56" s="16">
        <v>0.89</v>
      </c>
      <c r="F56" s="16">
        <f t="shared" ref="F56:F62" si="7">C56*D56/100*E56</f>
        <v>26.166</v>
      </c>
      <c r="G56" s="16">
        <v>14.76</v>
      </c>
      <c r="H56" s="16">
        <v>11.15</v>
      </c>
      <c r="I56" s="16">
        <f t="shared" ref="I56:J57" si="8">G56</f>
        <v>14.76</v>
      </c>
      <c r="J56" s="16">
        <f t="shared" si="8"/>
        <v>11.15</v>
      </c>
      <c r="K56" s="16" t="s">
        <v>121</v>
      </c>
      <c r="M56" s="59"/>
    </row>
    <row r="57" spans="1:13" s="42" customFormat="1" x14ac:dyDescent="0.25">
      <c r="A57" s="16" t="s">
        <v>77</v>
      </c>
      <c r="B57" s="16" t="s">
        <v>79</v>
      </c>
      <c r="C57" s="16">
        <v>30</v>
      </c>
      <c r="D57" s="16">
        <v>98</v>
      </c>
      <c r="E57" s="16">
        <v>0.89</v>
      </c>
      <c r="F57" s="16">
        <f t="shared" si="7"/>
        <v>26.166</v>
      </c>
      <c r="G57" s="16">
        <v>22.73</v>
      </c>
      <c r="H57" s="16">
        <v>11.18</v>
      </c>
      <c r="I57" s="16">
        <f>G57</f>
        <v>22.73</v>
      </c>
      <c r="J57" s="16">
        <f t="shared" si="8"/>
        <v>11.18</v>
      </c>
      <c r="K57" s="16" t="s">
        <v>121</v>
      </c>
    </row>
    <row r="58" spans="1:13" s="42" customFormat="1" x14ac:dyDescent="0.25">
      <c r="A58" s="16" t="s">
        <v>128</v>
      </c>
      <c r="B58" s="16" t="s">
        <v>83</v>
      </c>
      <c r="C58" s="16">
        <v>588.96</v>
      </c>
      <c r="D58" s="16">
        <v>98</v>
      </c>
      <c r="E58" s="16">
        <v>0.89</v>
      </c>
      <c r="F58" s="16">
        <f t="shared" si="7"/>
        <v>513.69091200000003</v>
      </c>
      <c r="G58" s="16">
        <v>19.940000000000001</v>
      </c>
      <c r="H58" s="16">
        <v>15</v>
      </c>
      <c r="I58" s="16">
        <f>G58</f>
        <v>19.940000000000001</v>
      </c>
      <c r="J58" s="16">
        <f>H58</f>
        <v>15</v>
      </c>
      <c r="K58" s="16" t="s">
        <v>131</v>
      </c>
      <c r="L58" s="60"/>
    </row>
    <row r="59" spans="1:13" s="42" customFormat="1" x14ac:dyDescent="0.25">
      <c r="A59" s="16" t="s">
        <v>129</v>
      </c>
      <c r="B59" s="16" t="s">
        <v>83</v>
      </c>
      <c r="C59" s="16">
        <v>588.96</v>
      </c>
      <c r="D59" s="16">
        <v>98</v>
      </c>
      <c r="E59" s="16">
        <v>0.89</v>
      </c>
      <c r="F59" s="16">
        <f t="shared" si="7"/>
        <v>513.69091200000003</v>
      </c>
      <c r="G59" s="16">
        <v>19.940000000000001</v>
      </c>
      <c r="H59" s="16">
        <v>15</v>
      </c>
      <c r="I59" s="16">
        <f>G59</f>
        <v>19.940000000000001</v>
      </c>
      <c r="J59" s="16">
        <f>H59</f>
        <v>15</v>
      </c>
      <c r="K59" s="16" t="s">
        <v>131</v>
      </c>
    </row>
    <row r="60" spans="1:13" s="42" customFormat="1" x14ac:dyDescent="0.25">
      <c r="A60" s="11" t="s">
        <v>80</v>
      </c>
      <c r="B60" s="11" t="s">
        <v>81</v>
      </c>
      <c r="C60" s="11">
        <v>976.75</v>
      </c>
      <c r="D60" s="11">
        <v>98</v>
      </c>
      <c r="E60" s="11">
        <v>0.89</v>
      </c>
      <c r="F60" s="16">
        <f t="shared" si="7"/>
        <v>851.92135000000007</v>
      </c>
      <c r="G60" s="21">
        <v>52.03</v>
      </c>
      <c r="H60" s="21">
        <v>18.010000000000002</v>
      </c>
      <c r="I60" s="21">
        <v>52.03</v>
      </c>
      <c r="J60" s="21">
        <v>18.010000000000002</v>
      </c>
      <c r="K60" s="16" t="s">
        <v>131</v>
      </c>
    </row>
    <row r="61" spans="1:13" s="42" customFormat="1" x14ac:dyDescent="0.25">
      <c r="A61" s="11" t="s">
        <v>82</v>
      </c>
      <c r="B61" s="11" t="s">
        <v>81</v>
      </c>
      <c r="C61" s="11">
        <v>976.75</v>
      </c>
      <c r="D61" s="11">
        <v>98</v>
      </c>
      <c r="E61" s="11">
        <v>0.89</v>
      </c>
      <c r="F61" s="16">
        <f t="shared" si="7"/>
        <v>851.92135000000007</v>
      </c>
      <c r="G61" s="21">
        <v>52.03</v>
      </c>
      <c r="H61" s="21">
        <v>18.010000000000002</v>
      </c>
      <c r="I61" s="21">
        <v>52.03</v>
      </c>
      <c r="J61" s="21">
        <v>18.010000000000002</v>
      </c>
      <c r="K61" s="16" t="s">
        <v>131</v>
      </c>
    </row>
    <row r="62" spans="1:13" s="42" customFormat="1" x14ac:dyDescent="0.25">
      <c r="A62" s="16" t="s">
        <v>132</v>
      </c>
      <c r="B62" s="16" t="s">
        <v>133</v>
      </c>
      <c r="C62" s="21">
        <v>110</v>
      </c>
      <c r="D62" s="21">
        <v>98</v>
      </c>
      <c r="E62" s="21">
        <v>0.89</v>
      </c>
      <c r="F62" s="16">
        <f t="shared" si="7"/>
        <v>95.941999999999993</v>
      </c>
      <c r="G62" s="21">
        <v>22.45</v>
      </c>
      <c r="H62" s="21">
        <v>12.52</v>
      </c>
      <c r="I62" s="21">
        <f t="shared" ref="I62:J62" si="9">G62</f>
        <v>22.45</v>
      </c>
      <c r="J62" s="21">
        <f t="shared" si="9"/>
        <v>12.52</v>
      </c>
      <c r="K62" s="16" t="s">
        <v>131</v>
      </c>
    </row>
    <row r="63" spans="1:13" x14ac:dyDescent="0.25">
      <c r="A63" s="15" t="s">
        <v>69</v>
      </c>
      <c r="B63" s="15"/>
      <c r="C63" s="18"/>
      <c r="D63" s="1"/>
      <c r="E63" s="1"/>
      <c r="F63" s="22">
        <f>SUM(F55:F62)</f>
        <v>2987.7885240000005</v>
      </c>
      <c r="G63" s="19"/>
      <c r="H63" s="19"/>
      <c r="I63" s="34">
        <f>SUMPRODUCT(F56:F61,I56:I61)/SUM(F56:F61)</f>
        <v>39.560142444429125</v>
      </c>
      <c r="J63" s="34">
        <f>SUMPRODUCT(F56:F61,J56:J61)/SUM(F56:F61)</f>
        <v>16.770351442304683</v>
      </c>
      <c r="K63" s="8">
        <f>SUM(K56:K61)</f>
        <v>0</v>
      </c>
    </row>
    <row r="64" spans="1:13" x14ac:dyDescent="0.25">
      <c r="A64" s="79" t="s">
        <v>84</v>
      </c>
      <c r="B64" s="80"/>
      <c r="C64" s="80"/>
      <c r="D64" s="80"/>
      <c r="E64" s="80"/>
      <c r="F64" s="80"/>
      <c r="G64" s="80"/>
      <c r="H64" s="80"/>
      <c r="I64" s="80"/>
      <c r="J64" s="80"/>
      <c r="K64" s="81"/>
    </row>
    <row r="65" spans="1:11" x14ac:dyDescent="0.25">
      <c r="A65" s="7" t="s">
        <v>85</v>
      </c>
      <c r="B65" s="7" t="s">
        <v>86</v>
      </c>
      <c r="C65" s="16">
        <v>15.79</v>
      </c>
      <c r="D65" s="7">
        <v>98</v>
      </c>
      <c r="E65" s="7">
        <v>0.9</v>
      </c>
      <c r="F65" s="30">
        <f t="shared" ref="F65:F66" si="10">C65*D65*E65/100</f>
        <v>13.926779999999999</v>
      </c>
      <c r="G65" s="16">
        <v>24.83</v>
      </c>
      <c r="H65" s="16">
        <v>1.1499999999999999</v>
      </c>
      <c r="I65" s="16">
        <v>24.83</v>
      </c>
      <c r="J65" s="16">
        <v>1.1499999999999999</v>
      </c>
      <c r="K65" s="7" t="s">
        <v>131</v>
      </c>
    </row>
    <row r="66" spans="1:11" x14ac:dyDescent="0.25">
      <c r="A66" s="7" t="s">
        <v>87</v>
      </c>
      <c r="B66" s="7" t="s">
        <v>88</v>
      </c>
      <c r="C66" s="16">
        <v>16.920000000000002</v>
      </c>
      <c r="D66" s="7">
        <v>98</v>
      </c>
      <c r="E66" s="7">
        <v>0.9</v>
      </c>
      <c r="F66" s="30">
        <f t="shared" si="10"/>
        <v>14.923440000000001</v>
      </c>
      <c r="G66" s="16">
        <v>20.27</v>
      </c>
      <c r="H66" s="31">
        <f>(1619+632)/2/1000</f>
        <v>1.1254999999999999</v>
      </c>
      <c r="I66" s="16">
        <v>20.27</v>
      </c>
      <c r="J66" s="31">
        <f>(1619+632)/2/1000</f>
        <v>1.1254999999999999</v>
      </c>
      <c r="K66" s="7" t="s">
        <v>131</v>
      </c>
    </row>
    <row r="67" spans="1:11" x14ac:dyDescent="0.25">
      <c r="A67" s="8" t="s">
        <v>69</v>
      </c>
      <c r="B67" s="8"/>
      <c r="C67" s="9"/>
      <c r="D67" s="7"/>
      <c r="E67" s="7"/>
      <c r="F67" s="32">
        <f>SUM(F65:F66)</f>
        <v>28.85022</v>
      </c>
      <c r="G67" s="33"/>
      <c r="H67" s="33"/>
      <c r="I67" s="37">
        <f>SUMPRODUCT(F65:F66,I65:I66)/(SUM(F65:F66)+1E-20)</f>
        <v>22.471235096300823</v>
      </c>
      <c r="J67" s="37">
        <f>SUMPRODUCT(F65:F66,J65:J66)/(SUM(F65:F66)+1E-20)</f>
        <v>1.1373268113726691</v>
      </c>
      <c r="K67" s="8">
        <f t="shared" ref="K67" si="11">SUM(K65:K66)</f>
        <v>0</v>
      </c>
    </row>
    <row r="68" spans="1:11" x14ac:dyDescent="0.25">
      <c r="A68" s="72" t="s">
        <v>89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</row>
    <row r="69" spans="1:11" x14ac:dyDescent="0.25">
      <c r="A69" s="7" t="s">
        <v>90</v>
      </c>
      <c r="B69" s="7" t="s">
        <v>76</v>
      </c>
      <c r="C69" s="16">
        <v>26.9</v>
      </c>
      <c r="D69" s="7">
        <v>0</v>
      </c>
      <c r="E69" s="7">
        <v>1</v>
      </c>
      <c r="F69" s="30">
        <f t="shared" ref="F69:F70" si="12">C69*D69*E69/100</f>
        <v>0</v>
      </c>
      <c r="G69" s="35">
        <v>18.899999999999999</v>
      </c>
      <c r="H69" s="35">
        <v>0.91</v>
      </c>
      <c r="I69" s="35">
        <v>18.899999999999999</v>
      </c>
      <c r="J69" s="35">
        <v>0.91</v>
      </c>
      <c r="K69" s="7" t="s">
        <v>131</v>
      </c>
    </row>
    <row r="70" spans="1:11" x14ac:dyDescent="0.25">
      <c r="A70" s="7" t="s">
        <v>91</v>
      </c>
      <c r="B70" s="7" t="s">
        <v>79</v>
      </c>
      <c r="C70" s="16">
        <v>15.79</v>
      </c>
      <c r="D70" s="7">
        <v>0</v>
      </c>
      <c r="E70" s="7">
        <v>0.89</v>
      </c>
      <c r="F70" s="30">
        <f t="shared" si="12"/>
        <v>0</v>
      </c>
      <c r="G70" s="35">
        <v>24.83</v>
      </c>
      <c r="H70" s="35">
        <v>1.1499999999999999</v>
      </c>
      <c r="I70" s="35">
        <v>24.83</v>
      </c>
      <c r="J70" s="35">
        <v>1.1499999999999999</v>
      </c>
      <c r="K70" s="7" t="s">
        <v>131</v>
      </c>
    </row>
    <row r="71" spans="1:11" x14ac:dyDescent="0.25">
      <c r="A71" s="8" t="s">
        <v>69</v>
      </c>
      <c r="B71" s="8"/>
      <c r="C71" s="9"/>
      <c r="D71" s="7"/>
      <c r="E71" s="7"/>
      <c r="F71" s="32">
        <f>SUM(F69:F70)</f>
        <v>0</v>
      </c>
      <c r="G71" s="9"/>
      <c r="H71" s="9"/>
      <c r="I71" s="36">
        <f>SUMPRODUCT(F69:F70,I69:I70)/(SUM(F69:F70)+1E-20)</f>
        <v>0</v>
      </c>
      <c r="J71" s="36">
        <f>SUMPRODUCT(F69:F70,J69:J70)/(SUM(F69:F70)+1E-20)</f>
        <v>0</v>
      </c>
      <c r="K71" s="8">
        <f>SUM(K69:K70)</f>
        <v>0</v>
      </c>
    </row>
    <row r="72" spans="1:11" x14ac:dyDescent="0.25">
      <c r="A72" s="82" t="s">
        <v>92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1:11" x14ac:dyDescent="0.25">
      <c r="A73" s="1" t="s">
        <v>93</v>
      </c>
      <c r="B73" s="1" t="s">
        <v>94</v>
      </c>
      <c r="C73" s="10" t="s">
        <v>108</v>
      </c>
      <c r="D73" s="10" t="s">
        <v>108</v>
      </c>
      <c r="E73" s="10" t="s">
        <v>108</v>
      </c>
      <c r="F73" s="28">
        <v>6.76</v>
      </c>
      <c r="G73" s="28">
        <v>13.05</v>
      </c>
      <c r="H73" s="28">
        <v>23.14</v>
      </c>
      <c r="I73" s="28">
        <v>13.05</v>
      </c>
      <c r="J73" s="28">
        <v>23.14</v>
      </c>
      <c r="K73" s="2" t="s">
        <v>131</v>
      </c>
    </row>
    <row r="74" spans="1:11" x14ac:dyDescent="0.25">
      <c r="A74" s="1" t="s">
        <v>95</v>
      </c>
      <c r="B74" s="1" t="s">
        <v>96</v>
      </c>
      <c r="C74" s="10" t="s">
        <v>108</v>
      </c>
      <c r="D74" s="10" t="s">
        <v>108</v>
      </c>
      <c r="E74" s="10" t="s">
        <v>108</v>
      </c>
      <c r="F74" s="28">
        <v>93.74</v>
      </c>
      <c r="G74" s="28">
        <v>18.193999999999999</v>
      </c>
      <c r="H74" s="28">
        <v>23.14</v>
      </c>
      <c r="I74" s="28">
        <v>18.193999999999999</v>
      </c>
      <c r="J74" s="28">
        <v>23.14</v>
      </c>
      <c r="K74" s="2" t="s">
        <v>131</v>
      </c>
    </row>
    <row r="75" spans="1:11" x14ac:dyDescent="0.25">
      <c r="A75" s="1" t="s">
        <v>97</v>
      </c>
      <c r="B75" s="1" t="s">
        <v>98</v>
      </c>
      <c r="C75" s="10" t="s">
        <v>108</v>
      </c>
      <c r="D75" s="10" t="s">
        <v>108</v>
      </c>
      <c r="E75" s="10" t="s">
        <v>108</v>
      </c>
      <c r="F75" s="28">
        <v>3.08</v>
      </c>
      <c r="G75" s="28">
        <v>16.25</v>
      </c>
      <c r="H75" s="28">
        <v>26.2</v>
      </c>
      <c r="I75" s="28">
        <v>16.25</v>
      </c>
      <c r="J75" s="28">
        <v>26.2</v>
      </c>
      <c r="K75" s="2" t="s">
        <v>131</v>
      </c>
    </row>
    <row r="76" spans="1:11" x14ac:dyDescent="0.25">
      <c r="A76" s="15" t="s">
        <v>69</v>
      </c>
      <c r="B76" s="15"/>
      <c r="C76" s="18"/>
      <c r="D76" s="1"/>
      <c r="E76" s="1"/>
      <c r="F76" s="22">
        <f>SUM(F73:F75)</f>
        <v>103.58</v>
      </c>
      <c r="G76" s="19"/>
      <c r="H76" s="19"/>
      <c r="I76" s="34">
        <f>SUMPRODUCT(F73:F75,I73:I75)/SUM(F73:F75)</f>
        <v>17.800478470747247</v>
      </c>
      <c r="J76" s="34">
        <f>SUMPRODUCT(F73:F75,J73:J75)/SUM(F73:F75)</f>
        <v>23.230990538714035</v>
      </c>
      <c r="K76" s="20">
        <f>SUM(K73:K75)</f>
        <v>0</v>
      </c>
    </row>
    <row r="77" spans="1:11" x14ac:dyDescent="0.25">
      <c r="A77" s="15"/>
      <c r="B77" s="15"/>
      <c r="C77" s="18"/>
      <c r="D77" s="1"/>
      <c r="E77" s="1"/>
      <c r="F77" s="6"/>
      <c r="G77" s="19"/>
      <c r="H77" s="19"/>
      <c r="I77" s="19"/>
      <c r="J77" s="19"/>
      <c r="K77" s="6"/>
    </row>
    <row r="78" spans="1:11" x14ac:dyDescent="0.25">
      <c r="A78" s="15" t="s">
        <v>99</v>
      </c>
      <c r="B78" s="15"/>
      <c r="C78" s="18"/>
      <c r="D78" s="15"/>
      <c r="E78" s="15"/>
      <c r="F78" s="34">
        <v>12489.28</v>
      </c>
      <c r="G78" s="24"/>
      <c r="H78" s="24"/>
      <c r="I78" s="9">
        <v>99.79</v>
      </c>
      <c r="J78" s="9">
        <v>11.51</v>
      </c>
      <c r="K78" s="34">
        <v>0</v>
      </c>
    </row>
    <row r="79" spans="1:11" x14ac:dyDescent="0.25">
      <c r="A79" s="15" t="s">
        <v>100</v>
      </c>
      <c r="B79" s="15"/>
      <c r="C79" s="18"/>
      <c r="D79" s="15"/>
      <c r="E79" s="15"/>
      <c r="F79" s="29">
        <f>F12+F48+F53+F63+F67+F71+F76</f>
        <v>22095.188219000007</v>
      </c>
      <c r="G79" s="24"/>
      <c r="H79" s="24"/>
      <c r="I79" s="29">
        <f>(F12*I12+F48*I48+F53*I53+F63*I63+F71*I71+F76*I76)/SUM(F76,F71,F63,F48,F53,F12)</f>
        <v>102.98472210603565</v>
      </c>
      <c r="J79" s="29">
        <f>(F12*J12+F48*J48+F53*J53+F63*J63+F71*J71+F76*J76)/SUM(F76,F71,F63,F48,F53,F12)</f>
        <v>9.5188117790674411</v>
      </c>
      <c r="K79" s="29">
        <f>SUM(K12,K48,K53,K63,K67,K71,K76)</f>
        <v>0</v>
      </c>
    </row>
    <row r="80" spans="1:11" x14ac:dyDescent="0.25">
      <c r="A80" s="15" t="s">
        <v>101</v>
      </c>
      <c r="B80" s="15"/>
      <c r="C80" s="18"/>
      <c r="D80" s="15"/>
      <c r="E80" s="15"/>
      <c r="F80" s="29">
        <f>SUM(F78+F79)</f>
        <v>34584.468219000009</v>
      </c>
      <c r="G80" s="24"/>
      <c r="H80" s="24"/>
      <c r="I80" s="29">
        <f>(F78*I78+F79*I79)/(F78+F79)</f>
        <v>101.83103141888063</v>
      </c>
      <c r="J80" s="29">
        <f>(F78*J78+F79*J79)/(F78+F79)</f>
        <v>10.237877547737156</v>
      </c>
      <c r="K80" s="29">
        <f>SUM(K17,K53,K57,K64,K68,K72,K77)</f>
        <v>0</v>
      </c>
    </row>
    <row r="83" spans="1:2" x14ac:dyDescent="0.25">
      <c r="A83" s="40" t="s">
        <v>119</v>
      </c>
      <c r="B83">
        <f>18050.6*1.025</f>
        <v>18501.864999999998</v>
      </c>
    </row>
    <row r="84" spans="1:2" x14ac:dyDescent="0.25">
      <c r="A84" s="40" t="s">
        <v>120</v>
      </c>
      <c r="B84" s="41">
        <f>$F$48</f>
        <v>18482.548875000004</v>
      </c>
    </row>
    <row r="85" spans="1:2" x14ac:dyDescent="0.25">
      <c r="A85" s="41">
        <f>SUM(F14,F15,F16,F17,F28,F29,F30,F31,F18,F19,F32,F33,F47,F46,F20,F21,F34,F35,F22,F23,F36,F37,F38,F39,F24,F25,F45,F44,F42,F43)</f>
        <v>18151.033740000006</v>
      </c>
      <c r="B85" s="41"/>
    </row>
  </sheetData>
  <mergeCells count="16">
    <mergeCell ref="A64:K64"/>
    <mergeCell ref="A68:K68"/>
    <mergeCell ref="A72:K72"/>
    <mergeCell ref="K1:K2"/>
    <mergeCell ref="A4:K4"/>
    <mergeCell ref="A13:K13"/>
    <mergeCell ref="A49:K49"/>
    <mergeCell ref="A54:K54"/>
    <mergeCell ref="G1:H1"/>
    <mergeCell ref="A1:A2"/>
    <mergeCell ref="B1:B2"/>
    <mergeCell ref="C1:C2"/>
    <mergeCell ref="D1:D2"/>
    <mergeCell ref="E1:E2"/>
    <mergeCell ref="F1:F2"/>
    <mergeCell ref="I1:J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5"/>
  <sheetViews>
    <sheetView zoomScale="70" zoomScaleNormal="70" workbookViewId="0">
      <selection activeCell="E47" sqref="E47"/>
    </sheetView>
  </sheetViews>
  <sheetFormatPr defaultColWidth="9" defaultRowHeight="14" x14ac:dyDescent="0.25"/>
  <cols>
    <col min="1" max="1" width="23.54296875" customWidth="1"/>
    <col min="2" max="2" width="15.1796875" customWidth="1"/>
    <col min="3" max="3" width="9.54296875" bestFit="1" customWidth="1"/>
    <col min="6" max="6" width="12.1796875" customWidth="1"/>
    <col min="9" max="9" width="15" bestFit="1" customWidth="1"/>
    <col min="10" max="10" width="11.08984375" bestFit="1" customWidth="1"/>
    <col min="11" max="11" width="14.1796875" customWidth="1"/>
  </cols>
  <sheetData>
    <row r="1" spans="1:11" x14ac:dyDescent="0.25">
      <c r="A1" s="83" t="s">
        <v>0</v>
      </c>
      <c r="B1" s="86" t="s">
        <v>1</v>
      </c>
      <c r="C1" s="87" t="s">
        <v>2</v>
      </c>
      <c r="D1" s="83" t="s">
        <v>2</v>
      </c>
      <c r="E1" s="83" t="s">
        <v>3</v>
      </c>
      <c r="F1" s="83" t="s">
        <v>4</v>
      </c>
      <c r="G1" s="84" t="s">
        <v>103</v>
      </c>
      <c r="H1" s="85"/>
      <c r="I1" s="84" t="s">
        <v>104</v>
      </c>
      <c r="J1" s="85"/>
      <c r="K1" s="83" t="s">
        <v>5</v>
      </c>
    </row>
    <row r="2" spans="1:11" x14ac:dyDescent="0.25">
      <c r="A2" s="83"/>
      <c r="B2" s="86"/>
      <c r="C2" s="88"/>
      <c r="D2" s="83"/>
      <c r="E2" s="83"/>
      <c r="F2" s="83"/>
      <c r="G2" s="11" t="s">
        <v>6</v>
      </c>
      <c r="H2" s="11" t="s">
        <v>7</v>
      </c>
      <c r="I2" s="10" t="s">
        <v>105</v>
      </c>
      <c r="J2" s="10" t="s">
        <v>106</v>
      </c>
      <c r="K2" s="83"/>
    </row>
    <row r="3" spans="1:11" x14ac:dyDescent="0.25">
      <c r="A3" s="3" t="s">
        <v>8</v>
      </c>
      <c r="B3" s="3"/>
      <c r="C3" s="12" t="s">
        <v>9</v>
      </c>
      <c r="D3" s="3" t="s">
        <v>10</v>
      </c>
      <c r="E3" s="3" t="s">
        <v>11</v>
      </c>
      <c r="F3" s="3" t="s">
        <v>12</v>
      </c>
      <c r="G3" s="12" t="s">
        <v>13</v>
      </c>
      <c r="H3" s="12" t="s">
        <v>13</v>
      </c>
      <c r="I3" s="13" t="s">
        <v>107</v>
      </c>
      <c r="J3" s="13" t="s">
        <v>107</v>
      </c>
      <c r="K3" s="3" t="s">
        <v>14</v>
      </c>
    </row>
    <row r="4" spans="1:11" x14ac:dyDescent="0.25">
      <c r="A4" s="79" t="s">
        <v>15</v>
      </c>
      <c r="B4" s="80"/>
      <c r="C4" s="80"/>
      <c r="D4" s="80"/>
      <c r="E4" s="80"/>
      <c r="F4" s="80"/>
      <c r="G4" s="80"/>
      <c r="H4" s="80"/>
      <c r="I4" s="80"/>
      <c r="J4" s="80"/>
      <c r="K4" s="81"/>
    </row>
    <row r="5" spans="1:11" x14ac:dyDescent="0.25">
      <c r="A5" s="4" t="s">
        <v>16</v>
      </c>
      <c r="B5" s="1" t="s">
        <v>17</v>
      </c>
      <c r="C5" s="21">
        <v>10024.379999999999</v>
      </c>
      <c r="D5" s="2">
        <v>0</v>
      </c>
      <c r="E5" s="26">
        <f>1/1.26</f>
        <v>0.79365079365079361</v>
      </c>
      <c r="F5" s="2">
        <f>C5*D5/100*E5</f>
        <v>0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" t="s">
        <v>131</v>
      </c>
    </row>
    <row r="6" spans="1:11" x14ac:dyDescent="0.25">
      <c r="A6" s="4" t="s">
        <v>18</v>
      </c>
      <c r="B6" s="4" t="s">
        <v>19</v>
      </c>
      <c r="C6" s="21">
        <v>13085.42</v>
      </c>
      <c r="D6" s="2">
        <v>0</v>
      </c>
      <c r="E6" s="26">
        <f t="shared" ref="E6:E11" si="0">1/1.26</f>
        <v>0.79365079365079361</v>
      </c>
      <c r="F6" s="2">
        <f t="shared" ref="F6:F11" si="1">C6*D6/100*E6</f>
        <v>0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2" t="s">
        <v>131</v>
      </c>
    </row>
    <row r="7" spans="1:11" x14ac:dyDescent="0.25">
      <c r="A7" s="4" t="s">
        <v>20</v>
      </c>
      <c r="B7" s="1" t="s">
        <v>21</v>
      </c>
      <c r="C7" s="21">
        <v>12955.22</v>
      </c>
      <c r="D7" s="2">
        <v>0</v>
      </c>
      <c r="E7" s="26">
        <f t="shared" si="0"/>
        <v>0.79365079365079361</v>
      </c>
      <c r="F7" s="2">
        <f t="shared" si="1"/>
        <v>0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2" t="s">
        <v>131</v>
      </c>
    </row>
    <row r="8" spans="1:11" x14ac:dyDescent="0.25">
      <c r="A8" s="4" t="s">
        <v>22</v>
      </c>
      <c r="B8" s="1" t="s">
        <v>23</v>
      </c>
      <c r="C8" s="21">
        <v>12959.84</v>
      </c>
      <c r="D8" s="2">
        <v>0</v>
      </c>
      <c r="E8" s="26">
        <f t="shared" si="0"/>
        <v>0.79365079365079361</v>
      </c>
      <c r="F8" s="2">
        <f t="shared" si="1"/>
        <v>0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2" t="s">
        <v>131</v>
      </c>
    </row>
    <row r="9" spans="1:11" x14ac:dyDescent="0.25">
      <c r="A9" s="4" t="s">
        <v>24</v>
      </c>
      <c r="B9" s="1" t="s">
        <v>25</v>
      </c>
      <c r="C9" s="21">
        <v>13045.78</v>
      </c>
      <c r="D9" s="2">
        <v>0</v>
      </c>
      <c r="E9" s="26">
        <f t="shared" si="0"/>
        <v>0.79365079365079361</v>
      </c>
      <c r="F9" s="2">
        <f t="shared" si="1"/>
        <v>0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2" t="s">
        <v>131</v>
      </c>
    </row>
    <row r="10" spans="1:11" x14ac:dyDescent="0.25">
      <c r="A10" s="4" t="s">
        <v>26</v>
      </c>
      <c r="B10" s="1" t="s">
        <v>27</v>
      </c>
      <c r="C10" s="21">
        <v>13041.17</v>
      </c>
      <c r="D10" s="2">
        <v>0</v>
      </c>
      <c r="E10" s="26">
        <f t="shared" si="0"/>
        <v>0.79365079365079361</v>
      </c>
      <c r="F10" s="2">
        <f t="shared" si="1"/>
        <v>0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2" t="s">
        <v>131</v>
      </c>
    </row>
    <row r="11" spans="1:11" x14ac:dyDescent="0.25">
      <c r="A11" s="4" t="s">
        <v>28</v>
      </c>
      <c r="B11" s="1" t="s">
        <v>29</v>
      </c>
      <c r="C11" s="21">
        <v>11647.96</v>
      </c>
      <c r="D11" s="2">
        <v>0</v>
      </c>
      <c r="E11" s="26">
        <f t="shared" si="0"/>
        <v>0.79365079365079361</v>
      </c>
      <c r="F11" s="2">
        <f t="shared" si="1"/>
        <v>0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2" t="s">
        <v>131</v>
      </c>
    </row>
    <row r="12" spans="1:11" x14ac:dyDescent="0.25">
      <c r="A12" s="27" t="s">
        <v>117</v>
      </c>
      <c r="B12" s="1"/>
      <c r="C12" s="14"/>
      <c r="D12" s="14"/>
      <c r="E12" s="14"/>
      <c r="F12" s="15">
        <v>0</v>
      </c>
      <c r="G12" s="26"/>
      <c r="H12" s="26"/>
      <c r="I12" s="34">
        <f>SUMPRODUCT(F5:F11,I5:I11)/(1E-20+SUM(F5:F11))</f>
        <v>0</v>
      </c>
      <c r="J12" s="34">
        <f>SUMPRODUCT(F5:F11,J5:J11)/(1E-20+SUM(F5:F11))</f>
        <v>0</v>
      </c>
      <c r="K12" s="15">
        <f>SUM(K5:K11)</f>
        <v>0</v>
      </c>
    </row>
    <row r="13" spans="1:11" x14ac:dyDescent="0.25">
      <c r="A13" s="82" t="s">
        <v>30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1" t="s">
        <v>31</v>
      </c>
      <c r="B14" s="2" t="s">
        <v>29</v>
      </c>
      <c r="C14" s="17">
        <f>323.54+339.89</f>
        <v>663.43000000000006</v>
      </c>
      <c r="D14" s="7">
        <v>98</v>
      </c>
      <c r="E14" s="1">
        <v>1.0249999999999999</v>
      </c>
      <c r="F14" s="30">
        <f>C14*D14*E14/100</f>
        <v>666.415435</v>
      </c>
      <c r="G14" s="31">
        <v>39.619999999999997</v>
      </c>
      <c r="H14" s="31">
        <v>1.68</v>
      </c>
      <c r="I14" s="31">
        <f>G14</f>
        <v>39.619999999999997</v>
      </c>
      <c r="J14" s="31">
        <f>H14</f>
        <v>1.68</v>
      </c>
      <c r="K14" s="30" t="s">
        <v>131</v>
      </c>
    </row>
    <row r="15" spans="1:11" x14ac:dyDescent="0.25">
      <c r="A15" s="1" t="s">
        <v>32</v>
      </c>
      <c r="B15" s="1" t="s">
        <v>29</v>
      </c>
      <c r="C15" s="17">
        <f>323.54+339.89</f>
        <v>663.43000000000006</v>
      </c>
      <c r="D15" s="7">
        <v>98</v>
      </c>
      <c r="E15" s="1">
        <v>1.0249999999999999</v>
      </c>
      <c r="F15" s="30">
        <f t="shared" ref="F15:F47" si="3">C15*D15*E15/100</f>
        <v>666.415435</v>
      </c>
      <c r="G15" s="31">
        <v>39.619999999999997</v>
      </c>
      <c r="H15" s="31">
        <v>1.68</v>
      </c>
      <c r="I15" s="31">
        <f>G15</f>
        <v>39.619999999999997</v>
      </c>
      <c r="J15" s="31">
        <f t="shared" ref="I15:J47" si="4">H15</f>
        <v>1.68</v>
      </c>
      <c r="K15" s="30" t="s">
        <v>131</v>
      </c>
    </row>
    <row r="16" spans="1:11" x14ac:dyDescent="0.25">
      <c r="A16" s="1" t="s">
        <v>33</v>
      </c>
      <c r="B16" s="1" t="s">
        <v>34</v>
      </c>
      <c r="C16" s="17">
        <f>538.2+224.03</f>
        <v>762.23</v>
      </c>
      <c r="D16" s="7">
        <v>98</v>
      </c>
      <c r="E16" s="1">
        <v>1.0249999999999999</v>
      </c>
      <c r="F16" s="30">
        <f t="shared" si="3"/>
        <v>765.66003500000011</v>
      </c>
      <c r="G16" s="17">
        <v>64</v>
      </c>
      <c r="H16" s="17">
        <v>1.47</v>
      </c>
      <c r="I16" s="31">
        <f t="shared" si="4"/>
        <v>64</v>
      </c>
      <c r="J16" s="31">
        <f t="shared" si="4"/>
        <v>1.47</v>
      </c>
      <c r="K16" s="30" t="s">
        <v>131</v>
      </c>
    </row>
    <row r="17" spans="1:11" x14ac:dyDescent="0.25">
      <c r="A17" s="1" t="s">
        <v>35</v>
      </c>
      <c r="B17" s="1" t="s">
        <v>34</v>
      </c>
      <c r="C17" s="17">
        <f>538.2+224.03</f>
        <v>762.23</v>
      </c>
      <c r="D17" s="7">
        <v>98</v>
      </c>
      <c r="E17" s="1">
        <v>1.0249999999999999</v>
      </c>
      <c r="F17" s="30">
        <f t="shared" si="3"/>
        <v>765.66003500000011</v>
      </c>
      <c r="G17" s="17">
        <v>64</v>
      </c>
      <c r="H17" s="17">
        <v>1.47</v>
      </c>
      <c r="I17" s="31">
        <f t="shared" si="4"/>
        <v>64</v>
      </c>
      <c r="J17" s="31">
        <f t="shared" si="4"/>
        <v>1.47</v>
      </c>
      <c r="K17" s="30" t="s">
        <v>131</v>
      </c>
    </row>
    <row r="18" spans="1:11" x14ac:dyDescent="0.25">
      <c r="A18" s="1" t="s">
        <v>36</v>
      </c>
      <c r="B18" s="1" t="s">
        <v>37</v>
      </c>
      <c r="C18" s="17">
        <f>557.98+224.03</f>
        <v>782.01</v>
      </c>
      <c r="D18" s="7">
        <v>98</v>
      </c>
      <c r="E18" s="1">
        <v>1.0249999999999999</v>
      </c>
      <c r="F18" s="30">
        <f t="shared" si="3"/>
        <v>785.52904499999988</v>
      </c>
      <c r="G18" s="17">
        <v>89.5</v>
      </c>
      <c r="H18" s="17">
        <v>1.46</v>
      </c>
      <c r="I18" s="31">
        <f t="shared" si="4"/>
        <v>89.5</v>
      </c>
      <c r="J18" s="31">
        <f t="shared" si="4"/>
        <v>1.46</v>
      </c>
      <c r="K18" s="30" t="s">
        <v>131</v>
      </c>
    </row>
    <row r="19" spans="1:11" x14ac:dyDescent="0.25">
      <c r="A19" s="1" t="s">
        <v>38</v>
      </c>
      <c r="B19" s="1" t="s">
        <v>37</v>
      </c>
      <c r="C19" s="17">
        <f>557.98+224.03</f>
        <v>782.01</v>
      </c>
      <c r="D19" s="7">
        <v>98</v>
      </c>
      <c r="E19" s="1">
        <v>1.0249999999999999</v>
      </c>
      <c r="F19" s="30">
        <f t="shared" si="3"/>
        <v>785.52904499999988</v>
      </c>
      <c r="G19" s="17">
        <v>89.5</v>
      </c>
      <c r="H19" s="17">
        <v>1.46</v>
      </c>
      <c r="I19" s="31">
        <f t="shared" si="4"/>
        <v>89.5</v>
      </c>
      <c r="J19" s="31">
        <f t="shared" si="4"/>
        <v>1.46</v>
      </c>
      <c r="K19" s="30" t="s">
        <v>131</v>
      </c>
    </row>
    <row r="20" spans="1:11" x14ac:dyDescent="0.25">
      <c r="A20" s="1" t="s">
        <v>39</v>
      </c>
      <c r="B20" s="1" t="s">
        <v>40</v>
      </c>
      <c r="C20" s="17">
        <f>560.72+224.03</f>
        <v>784.75</v>
      </c>
      <c r="D20" s="7">
        <v>98</v>
      </c>
      <c r="E20" s="1">
        <v>1.0249999999999999</v>
      </c>
      <c r="F20" s="30">
        <f t="shared" si="3"/>
        <v>788.28137500000003</v>
      </c>
      <c r="G20" s="17">
        <v>115</v>
      </c>
      <c r="H20" s="17">
        <v>1.46</v>
      </c>
      <c r="I20" s="31">
        <f t="shared" si="4"/>
        <v>115</v>
      </c>
      <c r="J20" s="31">
        <f t="shared" si="4"/>
        <v>1.46</v>
      </c>
      <c r="K20" s="30" t="s">
        <v>131</v>
      </c>
    </row>
    <row r="21" spans="1:11" x14ac:dyDescent="0.25">
      <c r="A21" s="1" t="s">
        <v>41</v>
      </c>
      <c r="B21" s="1" t="s">
        <v>40</v>
      </c>
      <c r="C21" s="17">
        <f>560.72+224.03</f>
        <v>784.75</v>
      </c>
      <c r="D21" s="7">
        <v>98</v>
      </c>
      <c r="E21" s="1">
        <v>1.0249999999999999</v>
      </c>
      <c r="F21" s="30">
        <f t="shared" si="3"/>
        <v>788.28137500000003</v>
      </c>
      <c r="G21" s="17">
        <v>115</v>
      </c>
      <c r="H21" s="17">
        <v>1.46</v>
      </c>
      <c r="I21" s="31">
        <f t="shared" si="4"/>
        <v>115</v>
      </c>
      <c r="J21" s="31">
        <f t="shared" si="4"/>
        <v>1.46</v>
      </c>
      <c r="K21" s="30" t="s">
        <v>131</v>
      </c>
    </row>
    <row r="22" spans="1:11" x14ac:dyDescent="0.25">
      <c r="A22" s="1" t="s">
        <v>42</v>
      </c>
      <c r="B22" s="1" t="s">
        <v>43</v>
      </c>
      <c r="C22" s="17">
        <f>560.57+224.03</f>
        <v>784.6</v>
      </c>
      <c r="D22" s="7">
        <v>98</v>
      </c>
      <c r="E22" s="1">
        <v>1.0249999999999999</v>
      </c>
      <c r="F22" s="30">
        <f t="shared" si="3"/>
        <v>788.13069999999993</v>
      </c>
      <c r="G22" s="17">
        <v>140.5</v>
      </c>
      <c r="H22" s="17">
        <v>1.46</v>
      </c>
      <c r="I22" s="31">
        <f t="shared" si="4"/>
        <v>140.5</v>
      </c>
      <c r="J22" s="31">
        <f t="shared" si="4"/>
        <v>1.46</v>
      </c>
      <c r="K22" s="30" t="s">
        <v>131</v>
      </c>
    </row>
    <row r="23" spans="1:11" x14ac:dyDescent="0.25">
      <c r="A23" s="1" t="s">
        <v>44</v>
      </c>
      <c r="B23" s="1" t="s">
        <v>43</v>
      </c>
      <c r="C23" s="17">
        <f>560.57+224.03</f>
        <v>784.6</v>
      </c>
      <c r="D23" s="7">
        <v>98</v>
      </c>
      <c r="E23" s="1">
        <v>1.0249999999999999</v>
      </c>
      <c r="F23" s="30">
        <f t="shared" si="3"/>
        <v>788.13069999999993</v>
      </c>
      <c r="G23" s="17">
        <v>140.5</v>
      </c>
      <c r="H23" s="17">
        <v>1.46</v>
      </c>
      <c r="I23" s="31">
        <f t="shared" si="4"/>
        <v>140.5</v>
      </c>
      <c r="J23" s="31">
        <f t="shared" si="4"/>
        <v>1.46</v>
      </c>
      <c r="K23" s="30" t="s">
        <v>131</v>
      </c>
    </row>
    <row r="24" spans="1:11" x14ac:dyDescent="0.25">
      <c r="A24" s="1" t="s">
        <v>45</v>
      </c>
      <c r="B24" s="1" t="s">
        <v>46</v>
      </c>
      <c r="C24" s="17">
        <f>560.57+224.03</f>
        <v>784.6</v>
      </c>
      <c r="D24" s="7">
        <v>98</v>
      </c>
      <c r="E24" s="1">
        <v>1.0249999999999999</v>
      </c>
      <c r="F24" s="30">
        <f t="shared" si="3"/>
        <v>788.13069999999993</v>
      </c>
      <c r="G24" s="17">
        <v>166</v>
      </c>
      <c r="H24" s="17">
        <v>1.46</v>
      </c>
      <c r="I24" s="31">
        <f t="shared" si="4"/>
        <v>166</v>
      </c>
      <c r="J24" s="31">
        <f t="shared" si="4"/>
        <v>1.46</v>
      </c>
      <c r="K24" s="30" t="s">
        <v>131</v>
      </c>
    </row>
    <row r="25" spans="1:11" x14ac:dyDescent="0.25">
      <c r="A25" s="1" t="s">
        <v>47</v>
      </c>
      <c r="B25" s="1" t="s">
        <v>46</v>
      </c>
      <c r="C25" s="17">
        <f>560.57+224.03</f>
        <v>784.6</v>
      </c>
      <c r="D25" s="7">
        <v>98</v>
      </c>
      <c r="E25" s="1">
        <v>1.0249999999999999</v>
      </c>
      <c r="F25" s="30">
        <f t="shared" si="3"/>
        <v>788.13069999999993</v>
      </c>
      <c r="G25" s="17">
        <v>166</v>
      </c>
      <c r="H25" s="17">
        <v>1.46</v>
      </c>
      <c r="I25" s="31">
        <f t="shared" si="4"/>
        <v>166</v>
      </c>
      <c r="J25" s="31">
        <f t="shared" si="4"/>
        <v>1.46</v>
      </c>
      <c r="K25" s="30" t="s">
        <v>131</v>
      </c>
    </row>
    <row r="26" spans="1:11" x14ac:dyDescent="0.25">
      <c r="A26" s="1" t="s">
        <v>48</v>
      </c>
      <c r="B26" s="1" t="s">
        <v>29</v>
      </c>
      <c r="C26" s="39">
        <f>428.97+350.99</f>
        <v>779.96</v>
      </c>
      <c r="D26" s="7">
        <v>0</v>
      </c>
      <c r="E26" s="1">
        <v>1.0249999999999999</v>
      </c>
      <c r="F26" s="30">
        <f t="shared" si="3"/>
        <v>0</v>
      </c>
      <c r="G26" s="17">
        <v>196.7</v>
      </c>
      <c r="H26" s="39">
        <v>1.49</v>
      </c>
      <c r="I26" s="31">
        <f t="shared" si="4"/>
        <v>196.7</v>
      </c>
      <c r="J26" s="31">
        <f t="shared" si="4"/>
        <v>1.49</v>
      </c>
      <c r="K26" s="30" t="s">
        <v>131</v>
      </c>
    </row>
    <row r="27" spans="1:11" x14ac:dyDescent="0.25">
      <c r="A27" s="1" t="s">
        <v>49</v>
      </c>
      <c r="B27" s="1" t="s">
        <v>29</v>
      </c>
      <c r="C27" s="39">
        <f>428.97+350.99</f>
        <v>779.96</v>
      </c>
      <c r="D27" s="7">
        <v>0</v>
      </c>
      <c r="E27" s="1">
        <v>1.0249999999999999</v>
      </c>
      <c r="F27" s="30">
        <f t="shared" si="3"/>
        <v>0</v>
      </c>
      <c r="G27" s="17">
        <v>196.7</v>
      </c>
      <c r="H27" s="39">
        <v>1.49</v>
      </c>
      <c r="I27" s="31">
        <f t="shared" si="4"/>
        <v>196.7</v>
      </c>
      <c r="J27" s="31">
        <f t="shared" si="4"/>
        <v>1.49</v>
      </c>
      <c r="K27" s="30" t="s">
        <v>131</v>
      </c>
    </row>
    <row r="28" spans="1:11" x14ac:dyDescent="0.25">
      <c r="A28" s="1" t="s">
        <v>50</v>
      </c>
      <c r="B28" s="1" t="s">
        <v>29</v>
      </c>
      <c r="C28" s="16">
        <v>232.55</v>
      </c>
      <c r="D28" s="7">
        <v>98</v>
      </c>
      <c r="E28" s="1">
        <v>1.0249999999999999</v>
      </c>
      <c r="F28" s="30">
        <f t="shared" si="3"/>
        <v>233.596475</v>
      </c>
      <c r="G28" s="16">
        <v>40.64</v>
      </c>
      <c r="H28" s="16">
        <v>11.46</v>
      </c>
      <c r="I28" s="31">
        <f t="shared" si="4"/>
        <v>40.64</v>
      </c>
      <c r="J28" s="31">
        <f t="shared" si="4"/>
        <v>11.46</v>
      </c>
      <c r="K28" s="30" t="s">
        <v>131</v>
      </c>
    </row>
    <row r="29" spans="1:11" x14ac:dyDescent="0.25">
      <c r="A29" s="1" t="s">
        <v>51</v>
      </c>
      <c r="B29" s="1" t="s">
        <v>29</v>
      </c>
      <c r="C29" s="43">
        <v>232.55</v>
      </c>
      <c r="D29" s="7">
        <v>98</v>
      </c>
      <c r="E29" s="1">
        <v>1.0249999999999999</v>
      </c>
      <c r="F29" s="30">
        <f t="shared" si="3"/>
        <v>233.596475</v>
      </c>
      <c r="G29" s="16">
        <v>40.64</v>
      </c>
      <c r="H29" s="16">
        <v>11.46</v>
      </c>
      <c r="I29" s="31">
        <f t="shared" si="4"/>
        <v>40.64</v>
      </c>
      <c r="J29" s="31">
        <f t="shared" si="4"/>
        <v>11.46</v>
      </c>
      <c r="K29" s="30" t="s">
        <v>131</v>
      </c>
    </row>
    <row r="30" spans="1:11" x14ac:dyDescent="0.25">
      <c r="A30" s="1" t="s">
        <v>52</v>
      </c>
      <c r="B30" s="1" t="s">
        <v>34</v>
      </c>
      <c r="C30" s="16">
        <v>351.96</v>
      </c>
      <c r="D30" s="7">
        <v>98</v>
      </c>
      <c r="E30" s="1">
        <v>1.0249999999999999</v>
      </c>
      <c r="F30" s="30">
        <f t="shared" si="3"/>
        <v>353.54381999999993</v>
      </c>
      <c r="G30" s="16">
        <v>64</v>
      </c>
      <c r="H30" s="16">
        <v>10.119999999999999</v>
      </c>
      <c r="I30" s="31">
        <f t="shared" si="4"/>
        <v>64</v>
      </c>
      <c r="J30" s="31">
        <f t="shared" si="4"/>
        <v>10.119999999999999</v>
      </c>
      <c r="K30" s="30" t="s">
        <v>131</v>
      </c>
    </row>
    <row r="31" spans="1:11" x14ac:dyDescent="0.25">
      <c r="A31" s="1" t="s">
        <v>53</v>
      </c>
      <c r="B31" s="1" t="s">
        <v>34</v>
      </c>
      <c r="C31" s="16">
        <v>351.96</v>
      </c>
      <c r="D31" s="7">
        <v>98</v>
      </c>
      <c r="E31" s="1">
        <v>1.0249999999999999</v>
      </c>
      <c r="F31" s="30">
        <f t="shared" si="3"/>
        <v>353.54381999999993</v>
      </c>
      <c r="G31" s="16">
        <v>64</v>
      </c>
      <c r="H31" s="16">
        <v>10.119999999999999</v>
      </c>
      <c r="I31" s="31">
        <f t="shared" si="4"/>
        <v>64</v>
      </c>
      <c r="J31" s="31">
        <f t="shared" si="4"/>
        <v>10.119999999999999</v>
      </c>
      <c r="K31" s="30" t="s">
        <v>131</v>
      </c>
    </row>
    <row r="32" spans="1:11" x14ac:dyDescent="0.25">
      <c r="A32" s="1" t="s">
        <v>54</v>
      </c>
      <c r="B32" s="1" t="s">
        <v>37</v>
      </c>
      <c r="C32" s="16">
        <v>351.96</v>
      </c>
      <c r="D32" s="7">
        <v>98</v>
      </c>
      <c r="E32" s="1">
        <v>1.0249999999999999</v>
      </c>
      <c r="F32" s="30">
        <f t="shared" si="3"/>
        <v>353.54381999999993</v>
      </c>
      <c r="G32" s="16">
        <v>89.5</v>
      </c>
      <c r="H32" s="16">
        <v>10.119999999999999</v>
      </c>
      <c r="I32" s="31">
        <f t="shared" si="4"/>
        <v>89.5</v>
      </c>
      <c r="J32" s="31">
        <f t="shared" si="4"/>
        <v>10.119999999999999</v>
      </c>
      <c r="K32" s="30" t="s">
        <v>131</v>
      </c>
    </row>
    <row r="33" spans="1:11" x14ac:dyDescent="0.25">
      <c r="A33" s="1" t="s">
        <v>55</v>
      </c>
      <c r="B33" s="1" t="s">
        <v>37</v>
      </c>
      <c r="C33" s="16">
        <v>351.96</v>
      </c>
      <c r="D33" s="7">
        <v>98</v>
      </c>
      <c r="E33" s="1">
        <v>1.0249999999999999</v>
      </c>
      <c r="F33" s="30">
        <f t="shared" si="3"/>
        <v>353.54381999999993</v>
      </c>
      <c r="G33" s="16">
        <v>89.5</v>
      </c>
      <c r="H33" s="16">
        <v>10.119999999999999</v>
      </c>
      <c r="I33" s="31">
        <f t="shared" si="4"/>
        <v>89.5</v>
      </c>
      <c r="J33" s="31">
        <f t="shared" si="4"/>
        <v>10.119999999999999</v>
      </c>
      <c r="K33" s="30" t="s">
        <v>131</v>
      </c>
    </row>
    <row r="34" spans="1:11" x14ac:dyDescent="0.25">
      <c r="A34" s="1" t="s">
        <v>56</v>
      </c>
      <c r="B34" s="1" t="s">
        <v>40</v>
      </c>
      <c r="C34" s="16">
        <v>351.96</v>
      </c>
      <c r="D34" s="7">
        <v>98</v>
      </c>
      <c r="E34" s="1">
        <v>1.0249999999999999</v>
      </c>
      <c r="F34" s="30">
        <f t="shared" si="3"/>
        <v>353.54381999999993</v>
      </c>
      <c r="G34" s="16">
        <v>115</v>
      </c>
      <c r="H34" s="16">
        <v>10.119999999999999</v>
      </c>
      <c r="I34" s="31">
        <f t="shared" si="4"/>
        <v>115</v>
      </c>
      <c r="J34" s="31">
        <f t="shared" si="4"/>
        <v>10.119999999999999</v>
      </c>
      <c r="K34" s="30" t="s">
        <v>131</v>
      </c>
    </row>
    <row r="35" spans="1:11" x14ac:dyDescent="0.25">
      <c r="A35" s="1" t="s">
        <v>57</v>
      </c>
      <c r="B35" s="1" t="s">
        <v>40</v>
      </c>
      <c r="C35" s="16">
        <v>351.96</v>
      </c>
      <c r="D35" s="7">
        <v>98</v>
      </c>
      <c r="E35" s="1">
        <v>1.0249999999999999</v>
      </c>
      <c r="F35" s="30">
        <f t="shared" si="3"/>
        <v>353.54381999999993</v>
      </c>
      <c r="G35" s="16">
        <v>115</v>
      </c>
      <c r="H35" s="16">
        <v>10.119999999999999</v>
      </c>
      <c r="I35" s="31">
        <f t="shared" si="4"/>
        <v>115</v>
      </c>
      <c r="J35" s="31">
        <f t="shared" si="4"/>
        <v>10.119999999999999</v>
      </c>
      <c r="K35" s="30" t="s">
        <v>131</v>
      </c>
    </row>
    <row r="36" spans="1:11" x14ac:dyDescent="0.25">
      <c r="A36" s="1" t="s">
        <v>58</v>
      </c>
      <c r="B36" s="1" t="s">
        <v>59</v>
      </c>
      <c r="C36" s="16">
        <v>351.96</v>
      </c>
      <c r="D36" s="7">
        <v>98</v>
      </c>
      <c r="E36" s="1">
        <v>1.0249999999999999</v>
      </c>
      <c r="F36" s="30">
        <f t="shared" si="3"/>
        <v>353.54381999999993</v>
      </c>
      <c r="G36" s="16">
        <v>140.5</v>
      </c>
      <c r="H36" s="16">
        <v>10.119999999999999</v>
      </c>
      <c r="I36" s="31">
        <f t="shared" si="4"/>
        <v>140.5</v>
      </c>
      <c r="J36" s="31">
        <f t="shared" si="4"/>
        <v>10.119999999999999</v>
      </c>
      <c r="K36" s="30" t="s">
        <v>131</v>
      </c>
    </row>
    <row r="37" spans="1:11" x14ac:dyDescent="0.25">
      <c r="A37" s="1" t="s">
        <v>60</v>
      </c>
      <c r="B37" s="1" t="s">
        <v>59</v>
      </c>
      <c r="C37" s="16">
        <v>351.96</v>
      </c>
      <c r="D37" s="7">
        <v>98</v>
      </c>
      <c r="E37" s="1">
        <v>1.0249999999999999</v>
      </c>
      <c r="F37" s="30">
        <f t="shared" si="3"/>
        <v>353.54381999999993</v>
      </c>
      <c r="G37" s="16">
        <v>140.5</v>
      </c>
      <c r="H37" s="16">
        <v>10.119999999999999</v>
      </c>
      <c r="I37" s="31">
        <f t="shared" si="4"/>
        <v>140.5</v>
      </c>
      <c r="J37" s="31">
        <f t="shared" si="4"/>
        <v>10.119999999999999</v>
      </c>
      <c r="K37" s="30" t="s">
        <v>131</v>
      </c>
    </row>
    <row r="38" spans="1:11" x14ac:dyDescent="0.25">
      <c r="A38" s="1" t="s">
        <v>61</v>
      </c>
      <c r="B38" s="1" t="s">
        <v>62</v>
      </c>
      <c r="C38" s="16">
        <v>351.96</v>
      </c>
      <c r="D38" s="7">
        <v>98</v>
      </c>
      <c r="E38" s="1">
        <v>1.0249999999999999</v>
      </c>
      <c r="F38" s="30">
        <f t="shared" si="3"/>
        <v>353.54381999999993</v>
      </c>
      <c r="G38" s="16">
        <v>166</v>
      </c>
      <c r="H38" s="16">
        <v>10.119999999999999</v>
      </c>
      <c r="I38" s="31">
        <f t="shared" si="4"/>
        <v>166</v>
      </c>
      <c r="J38" s="31">
        <f t="shared" si="4"/>
        <v>10.119999999999999</v>
      </c>
      <c r="K38" s="30" t="s">
        <v>131</v>
      </c>
    </row>
    <row r="39" spans="1:11" x14ac:dyDescent="0.25">
      <c r="A39" s="1" t="s">
        <v>63</v>
      </c>
      <c r="B39" s="1" t="s">
        <v>62</v>
      </c>
      <c r="C39" s="16">
        <v>351.96</v>
      </c>
      <c r="D39" s="7">
        <v>98</v>
      </c>
      <c r="E39" s="1">
        <v>1.0249999999999999</v>
      </c>
      <c r="F39" s="30">
        <f>C39*D39*E39/100</f>
        <v>353.54381999999993</v>
      </c>
      <c r="G39" s="16">
        <v>166</v>
      </c>
      <c r="H39" s="16">
        <v>10.119999999999999</v>
      </c>
      <c r="I39" s="31">
        <f t="shared" si="4"/>
        <v>166</v>
      </c>
      <c r="J39" s="31">
        <f t="shared" si="4"/>
        <v>10.119999999999999</v>
      </c>
      <c r="K39" s="30" t="s">
        <v>131</v>
      </c>
    </row>
    <row r="40" spans="1:11" x14ac:dyDescent="0.25">
      <c r="A40" s="1" t="s">
        <v>64</v>
      </c>
      <c r="B40" s="1" t="s">
        <v>46</v>
      </c>
      <c r="C40" s="43">
        <v>330.03</v>
      </c>
      <c r="D40" s="7">
        <v>0</v>
      </c>
      <c r="E40" s="1">
        <v>1.0249999999999999</v>
      </c>
      <c r="F40" s="30">
        <f t="shared" si="3"/>
        <v>0</v>
      </c>
      <c r="G40" s="16">
        <v>191.5</v>
      </c>
      <c r="H40" s="16">
        <v>10.119999999999999</v>
      </c>
      <c r="I40" s="31">
        <f t="shared" si="4"/>
        <v>191.5</v>
      </c>
      <c r="J40" s="31">
        <f t="shared" si="4"/>
        <v>10.119999999999999</v>
      </c>
      <c r="K40" s="30" t="s">
        <v>131</v>
      </c>
    </row>
    <row r="41" spans="1:11" x14ac:dyDescent="0.25">
      <c r="A41" s="1" t="s">
        <v>65</v>
      </c>
      <c r="B41" s="1" t="s">
        <v>46</v>
      </c>
      <c r="C41" s="16">
        <v>330.03</v>
      </c>
      <c r="D41" s="7">
        <v>0</v>
      </c>
      <c r="E41" s="1">
        <v>1.0249999999999999</v>
      </c>
      <c r="F41" s="30">
        <f t="shared" si="3"/>
        <v>0</v>
      </c>
      <c r="G41" s="16">
        <v>191.5</v>
      </c>
      <c r="H41" s="16">
        <v>10.119999999999999</v>
      </c>
      <c r="I41" s="31">
        <f t="shared" si="4"/>
        <v>191.5</v>
      </c>
      <c r="J41" s="31">
        <f t="shared" si="4"/>
        <v>10.119999999999999</v>
      </c>
      <c r="K41" s="30" t="s">
        <v>131</v>
      </c>
    </row>
    <row r="42" spans="1:11" x14ac:dyDescent="0.25">
      <c r="A42" s="1" t="s">
        <v>66</v>
      </c>
      <c r="B42" s="1" t="s">
        <v>67</v>
      </c>
      <c r="C42" s="16">
        <v>629.11</v>
      </c>
      <c r="D42" s="7">
        <v>98</v>
      </c>
      <c r="E42" s="1">
        <v>1.0249999999999999</v>
      </c>
      <c r="F42" s="30">
        <f t="shared" si="3"/>
        <v>631.94099499999993</v>
      </c>
      <c r="G42" s="16">
        <v>191.89</v>
      </c>
      <c r="H42" s="16">
        <v>18.71</v>
      </c>
      <c r="I42" s="31">
        <f t="shared" si="4"/>
        <v>191.89</v>
      </c>
      <c r="J42" s="31">
        <f t="shared" si="4"/>
        <v>18.71</v>
      </c>
      <c r="K42" s="30" t="s">
        <v>131</v>
      </c>
    </row>
    <row r="43" spans="1:11" x14ac:dyDescent="0.25">
      <c r="A43" s="1" t="s">
        <v>68</v>
      </c>
      <c r="B43" s="1" t="s">
        <v>67</v>
      </c>
      <c r="C43" s="16">
        <v>629.11</v>
      </c>
      <c r="D43" s="7">
        <v>98</v>
      </c>
      <c r="E43" s="1">
        <v>1.0249999999999999</v>
      </c>
      <c r="F43" s="30">
        <f t="shared" si="3"/>
        <v>631.94099499999993</v>
      </c>
      <c r="G43" s="16">
        <v>191.89</v>
      </c>
      <c r="H43" s="16">
        <v>18.71</v>
      </c>
      <c r="I43" s="31">
        <f t="shared" si="4"/>
        <v>191.89</v>
      </c>
      <c r="J43" s="31">
        <f t="shared" si="4"/>
        <v>18.71</v>
      </c>
      <c r="K43" s="30" t="s">
        <v>131</v>
      </c>
    </row>
    <row r="44" spans="1:11" x14ac:dyDescent="0.25">
      <c r="A44" s="7" t="s">
        <v>113</v>
      </c>
      <c r="B44" s="21" t="s">
        <v>43</v>
      </c>
      <c r="C44" s="16">
        <v>1013.88</v>
      </c>
      <c r="D44" s="7">
        <v>98</v>
      </c>
      <c r="E44" s="21">
        <v>1.0249999999999999</v>
      </c>
      <c r="F44" s="30">
        <f t="shared" si="3"/>
        <v>1018.44246</v>
      </c>
      <c r="G44" s="16">
        <v>153.88</v>
      </c>
      <c r="H44" s="16">
        <v>17.5</v>
      </c>
      <c r="I44" s="31">
        <f t="shared" si="4"/>
        <v>153.88</v>
      </c>
      <c r="J44" s="31">
        <f t="shared" si="4"/>
        <v>17.5</v>
      </c>
      <c r="K44" s="30" t="s">
        <v>131</v>
      </c>
    </row>
    <row r="45" spans="1:11" x14ac:dyDescent="0.25">
      <c r="A45" s="7" t="s">
        <v>114</v>
      </c>
      <c r="B45" s="21" t="s">
        <v>43</v>
      </c>
      <c r="C45" s="16">
        <v>1013.88</v>
      </c>
      <c r="D45" s="7">
        <v>98</v>
      </c>
      <c r="E45" s="21">
        <v>1.0249999999999999</v>
      </c>
      <c r="F45" s="30">
        <f t="shared" si="3"/>
        <v>1018.44246</v>
      </c>
      <c r="G45" s="16">
        <v>153.88</v>
      </c>
      <c r="H45" s="16">
        <v>17.5</v>
      </c>
      <c r="I45" s="31">
        <f t="shared" si="4"/>
        <v>153.88</v>
      </c>
      <c r="J45" s="31">
        <f t="shared" si="4"/>
        <v>17.5</v>
      </c>
      <c r="K45" s="30" t="s">
        <v>131</v>
      </c>
    </row>
    <row r="46" spans="1:11" x14ac:dyDescent="0.25">
      <c r="A46" s="7" t="s">
        <v>115</v>
      </c>
      <c r="B46" s="21" t="s">
        <v>81</v>
      </c>
      <c r="C46" s="16">
        <v>1013.88</v>
      </c>
      <c r="D46" s="7">
        <v>98</v>
      </c>
      <c r="E46" s="21">
        <v>1.0249999999999999</v>
      </c>
      <c r="F46" s="30">
        <f t="shared" si="3"/>
        <v>1018.44246</v>
      </c>
      <c r="G46" s="16">
        <v>102.25</v>
      </c>
      <c r="H46" s="16">
        <v>17.420000000000002</v>
      </c>
      <c r="I46" s="31">
        <f t="shared" si="4"/>
        <v>102.25</v>
      </c>
      <c r="J46" s="31">
        <f t="shared" si="4"/>
        <v>17.420000000000002</v>
      </c>
      <c r="K46" s="30" t="s">
        <v>131</v>
      </c>
    </row>
    <row r="47" spans="1:11" x14ac:dyDescent="0.25">
      <c r="A47" s="7" t="s">
        <v>116</v>
      </c>
      <c r="B47" s="21" t="s">
        <v>81</v>
      </c>
      <c r="C47" s="16">
        <v>1013.88</v>
      </c>
      <c r="D47" s="7">
        <v>98</v>
      </c>
      <c r="E47" s="21">
        <v>1.0249999999999999</v>
      </c>
      <c r="F47" s="30">
        <f t="shared" si="3"/>
        <v>1018.44246</v>
      </c>
      <c r="G47" s="16">
        <v>102.25</v>
      </c>
      <c r="H47" s="16">
        <v>17.420000000000002</v>
      </c>
      <c r="I47" s="31">
        <f t="shared" si="4"/>
        <v>102.25</v>
      </c>
      <c r="J47" s="31">
        <f t="shared" si="4"/>
        <v>17.420000000000002</v>
      </c>
      <c r="K47" s="30" t="s">
        <v>131</v>
      </c>
    </row>
    <row r="48" spans="1:11" x14ac:dyDescent="0.25">
      <c r="A48" s="15" t="s">
        <v>69</v>
      </c>
      <c r="B48" s="15"/>
      <c r="C48" s="18"/>
      <c r="D48" s="1"/>
      <c r="E48" s="1"/>
      <c r="F48" s="32">
        <f>SUM(F14:F47)</f>
        <v>18504.577560000005</v>
      </c>
      <c r="G48" s="38"/>
      <c r="H48" s="38"/>
      <c r="I48" s="34">
        <f>SUMPRODUCT(F14:F47,I14:I47)/SUM(F14:F47)</f>
        <v>115.95214941308278</v>
      </c>
      <c r="J48" s="34">
        <f>SUMPRODUCT(F14:F47,J14:J47)/(SUM(F14:F47))</f>
        <v>8.0842875134081122</v>
      </c>
      <c r="K48" s="32">
        <f>SUM(K14:K47)</f>
        <v>0</v>
      </c>
    </row>
    <row r="49" spans="1:11" x14ac:dyDescent="0.25">
      <c r="A49" s="82" t="s">
        <v>70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1:11" x14ac:dyDescent="0.25">
      <c r="A50" s="16" t="s">
        <v>126</v>
      </c>
      <c r="B50" s="16" t="s">
        <v>127</v>
      </c>
      <c r="C50" s="16">
        <v>23.27</v>
      </c>
      <c r="D50" s="16">
        <v>9.8000000000000007</v>
      </c>
      <c r="E50" s="16">
        <v>1</v>
      </c>
      <c r="F50" s="16">
        <f>C50*D50/100*E50</f>
        <v>2.2804600000000002</v>
      </c>
      <c r="G50" s="16">
        <v>7.51</v>
      </c>
      <c r="H50" s="16">
        <v>14.51</v>
      </c>
      <c r="I50" s="16">
        <f>G50</f>
        <v>7.51</v>
      </c>
      <c r="J50" s="16">
        <v>13.62</v>
      </c>
      <c r="K50" s="16">
        <v>61.25</v>
      </c>
    </row>
    <row r="51" spans="1:11" x14ac:dyDescent="0.25">
      <c r="A51" s="16" t="s">
        <v>71</v>
      </c>
      <c r="B51" s="16" t="s">
        <v>72</v>
      </c>
      <c r="C51" s="16">
        <v>239.6</v>
      </c>
      <c r="D51" s="16">
        <v>9.8000000000000007</v>
      </c>
      <c r="E51" s="16">
        <v>1</v>
      </c>
      <c r="F51" s="16">
        <f>C51*D51/100*E51</f>
        <v>23.480799999999999</v>
      </c>
      <c r="G51" s="16">
        <v>3.92</v>
      </c>
      <c r="H51" s="16">
        <v>16.670000000000002</v>
      </c>
      <c r="I51" s="16">
        <v>4.03</v>
      </c>
      <c r="J51" s="16">
        <v>13.93</v>
      </c>
      <c r="K51" s="16">
        <v>1738.55</v>
      </c>
    </row>
    <row r="52" spans="1:11" x14ac:dyDescent="0.25">
      <c r="A52" s="16" t="s">
        <v>73</v>
      </c>
      <c r="B52" s="16" t="s">
        <v>72</v>
      </c>
      <c r="C52" s="16">
        <v>239.6</v>
      </c>
      <c r="D52" s="16">
        <v>9.8000000000000007</v>
      </c>
      <c r="E52" s="16">
        <v>1</v>
      </c>
      <c r="F52" s="16">
        <f>C52*D52/100*E52</f>
        <v>23.480799999999999</v>
      </c>
      <c r="G52" s="16">
        <v>3.92</v>
      </c>
      <c r="H52" s="16">
        <v>16.670000000000002</v>
      </c>
      <c r="I52" s="16">
        <v>4.03</v>
      </c>
      <c r="J52" s="16">
        <v>13.93</v>
      </c>
      <c r="K52" s="16">
        <v>1738.55</v>
      </c>
    </row>
    <row r="53" spans="1:11" x14ac:dyDescent="0.25">
      <c r="A53" s="15" t="s">
        <v>69</v>
      </c>
      <c r="B53" s="15"/>
      <c r="C53" s="18"/>
      <c r="D53" s="1"/>
      <c r="E53" s="1"/>
      <c r="F53" s="20">
        <f>SUM(F50:F52)</f>
        <v>49.242059999999995</v>
      </c>
      <c r="G53" s="11"/>
      <c r="H53" s="11"/>
      <c r="I53" s="23">
        <f>SUMPRODUCT(F50:F52,I50:I52)/SUM(F50:F52)</f>
        <v>4.1911630545107172</v>
      </c>
      <c r="J53" s="23">
        <f>SUMPRODUCT(F50:F52,J50:J52)/SUM(F50:F52)</f>
        <v>13.915643521006229</v>
      </c>
      <c r="K53" s="9">
        <f>SUM(K50:K52)</f>
        <v>3538.35</v>
      </c>
    </row>
    <row r="54" spans="1:11" x14ac:dyDescent="0.25">
      <c r="A54" s="82" t="s">
        <v>74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1:11" x14ac:dyDescent="0.25">
      <c r="A55" s="16" t="s">
        <v>130</v>
      </c>
      <c r="B55" s="16" t="s">
        <v>75</v>
      </c>
      <c r="C55" s="16">
        <v>130</v>
      </c>
      <c r="D55" s="16">
        <v>9.8000000000000007</v>
      </c>
      <c r="E55" s="16">
        <v>0.85</v>
      </c>
      <c r="F55" s="16">
        <f>C55*D55/100*E55</f>
        <v>10.829000000000001</v>
      </c>
      <c r="G55" s="16">
        <v>25.37</v>
      </c>
      <c r="H55" s="16">
        <v>3.86</v>
      </c>
      <c r="I55" s="16">
        <v>26.02</v>
      </c>
      <c r="J55" s="16">
        <v>2.06</v>
      </c>
      <c r="K55" s="16">
        <v>988.71</v>
      </c>
    </row>
    <row r="56" spans="1:11" x14ac:dyDescent="0.25">
      <c r="A56" s="16" t="s">
        <v>77</v>
      </c>
      <c r="B56" s="16" t="s">
        <v>78</v>
      </c>
      <c r="C56" s="16">
        <v>30</v>
      </c>
      <c r="D56" s="16">
        <v>9.8000000000000007</v>
      </c>
      <c r="E56" s="16">
        <v>0.89</v>
      </c>
      <c r="F56" s="16">
        <f t="shared" ref="F56:F62" si="5">C56*D56/100*E56</f>
        <v>2.6166</v>
      </c>
      <c r="G56" s="16">
        <v>14.76</v>
      </c>
      <c r="H56" s="16">
        <v>11.15</v>
      </c>
      <c r="I56" s="16">
        <f t="shared" ref="I56" si="6">G56</f>
        <v>14.76</v>
      </c>
      <c r="J56" s="16">
        <v>9.8699999999999992</v>
      </c>
      <c r="K56" s="16">
        <v>1225.53</v>
      </c>
    </row>
    <row r="57" spans="1:11" x14ac:dyDescent="0.25">
      <c r="A57" s="16" t="s">
        <v>77</v>
      </c>
      <c r="B57" s="16" t="s">
        <v>79</v>
      </c>
      <c r="C57" s="16">
        <v>30</v>
      </c>
      <c r="D57" s="16">
        <v>9.8000000000000007</v>
      </c>
      <c r="E57" s="16">
        <v>0.89</v>
      </c>
      <c r="F57" s="16">
        <f t="shared" si="5"/>
        <v>2.6166</v>
      </c>
      <c r="G57" s="16">
        <v>22.73</v>
      </c>
      <c r="H57" s="16">
        <v>11.18</v>
      </c>
      <c r="I57" s="16">
        <f>G57</f>
        <v>22.73</v>
      </c>
      <c r="J57" s="16">
        <v>9.8800000000000008</v>
      </c>
      <c r="K57" s="16">
        <v>1225.53</v>
      </c>
    </row>
    <row r="58" spans="1:11" x14ac:dyDescent="0.25">
      <c r="A58" s="16" t="s">
        <v>128</v>
      </c>
      <c r="B58" s="16" t="s">
        <v>83</v>
      </c>
      <c r="C58" s="16">
        <v>588.96</v>
      </c>
      <c r="D58" s="16">
        <v>9.8000000000000007</v>
      </c>
      <c r="E58" s="16">
        <v>0.89</v>
      </c>
      <c r="F58" s="16">
        <f t="shared" si="5"/>
        <v>51.369091200000007</v>
      </c>
      <c r="G58" s="16">
        <v>19.940000000000001</v>
      </c>
      <c r="H58" s="16">
        <v>15</v>
      </c>
      <c r="I58" s="16">
        <v>21.57</v>
      </c>
      <c r="J58" s="16">
        <v>10.6</v>
      </c>
      <c r="K58" s="16">
        <v>5338.06</v>
      </c>
    </row>
    <row r="59" spans="1:11" x14ac:dyDescent="0.25">
      <c r="A59" s="16" t="s">
        <v>129</v>
      </c>
      <c r="B59" s="16" t="s">
        <v>83</v>
      </c>
      <c r="C59" s="16">
        <v>588.96</v>
      </c>
      <c r="D59" s="16">
        <v>9.8000000000000007</v>
      </c>
      <c r="E59" s="16">
        <v>0.89</v>
      </c>
      <c r="F59" s="16">
        <f t="shared" si="5"/>
        <v>51.369091200000007</v>
      </c>
      <c r="G59" s="16">
        <v>19.940000000000001</v>
      </c>
      <c r="H59" s="16">
        <v>15</v>
      </c>
      <c r="I59" s="16">
        <v>21.57</v>
      </c>
      <c r="J59" s="16">
        <v>10.6</v>
      </c>
      <c r="K59" s="16">
        <v>5338.06</v>
      </c>
    </row>
    <row r="60" spans="1:11" x14ac:dyDescent="0.25">
      <c r="A60" s="11" t="s">
        <v>80</v>
      </c>
      <c r="B60" s="11" t="s">
        <v>81</v>
      </c>
      <c r="C60" s="11">
        <v>976.75</v>
      </c>
      <c r="D60" s="16">
        <v>9.8000000000000007</v>
      </c>
      <c r="E60" s="11">
        <v>0.89</v>
      </c>
      <c r="F60" s="16">
        <f t="shared" si="5"/>
        <v>85.192135000000022</v>
      </c>
      <c r="G60" s="21">
        <v>52.03</v>
      </c>
      <c r="H60" s="21">
        <v>18.010000000000002</v>
      </c>
      <c r="I60" s="21">
        <v>52.03</v>
      </c>
      <c r="J60" s="21">
        <v>16.03</v>
      </c>
      <c r="K60" s="21">
        <v>13002.01</v>
      </c>
    </row>
    <row r="61" spans="1:11" x14ac:dyDescent="0.25">
      <c r="A61" s="11" t="s">
        <v>82</v>
      </c>
      <c r="B61" s="11" t="s">
        <v>81</v>
      </c>
      <c r="C61" s="11">
        <v>976.75</v>
      </c>
      <c r="D61" s="16">
        <v>9.8000000000000007</v>
      </c>
      <c r="E61" s="11">
        <v>0.89</v>
      </c>
      <c r="F61" s="16">
        <f t="shared" si="5"/>
        <v>85.192135000000022</v>
      </c>
      <c r="G61" s="21">
        <v>52.03</v>
      </c>
      <c r="H61" s="21">
        <v>18.010000000000002</v>
      </c>
      <c r="I61" s="21">
        <f t="shared" ref="I61" si="7">G61</f>
        <v>52.03</v>
      </c>
      <c r="J61" s="21">
        <v>16.03</v>
      </c>
      <c r="K61" s="21">
        <v>13002.01</v>
      </c>
    </row>
    <row r="62" spans="1:11" x14ac:dyDescent="0.25">
      <c r="A62" s="16" t="s">
        <v>132</v>
      </c>
      <c r="B62" s="16" t="s">
        <v>133</v>
      </c>
      <c r="C62" s="21">
        <v>110</v>
      </c>
      <c r="D62" s="16">
        <v>9.8000000000000007</v>
      </c>
      <c r="E62" s="21">
        <v>0.89</v>
      </c>
      <c r="F62" s="16">
        <f t="shared" si="5"/>
        <v>9.594199999999999</v>
      </c>
      <c r="G62" s="21">
        <v>22.45</v>
      </c>
      <c r="H62" s="21">
        <v>12.52</v>
      </c>
      <c r="I62" s="21">
        <v>22.45</v>
      </c>
      <c r="J62" s="21">
        <v>9.8000000000000007</v>
      </c>
      <c r="K62" s="16">
        <v>1091.1400000000001</v>
      </c>
    </row>
    <row r="63" spans="1:11" x14ac:dyDescent="0.25">
      <c r="A63" s="15" t="s">
        <v>69</v>
      </c>
      <c r="B63" s="15"/>
      <c r="C63" s="18"/>
      <c r="D63" s="1"/>
      <c r="E63" s="1"/>
      <c r="F63" s="22">
        <f>SUM(F55:F62)</f>
        <v>298.77885240000006</v>
      </c>
      <c r="G63" s="19"/>
      <c r="H63" s="19"/>
      <c r="I63" s="34">
        <f>SUMPRODUCT(F55:F62,I55:I62)/SUM(F55:F62)</f>
        <v>39.080452892414947</v>
      </c>
      <c r="J63" s="34">
        <f>SUMPRODUCT(F55:F62,J55:J62)/SUM(F55:F62)</f>
        <v>13.348646664592383</v>
      </c>
      <c r="K63" s="8">
        <f>SUM(K55:K62)</f>
        <v>41211.050000000003</v>
      </c>
    </row>
    <row r="64" spans="1:11" x14ac:dyDescent="0.25">
      <c r="A64" s="79" t="s">
        <v>84</v>
      </c>
      <c r="B64" s="80"/>
      <c r="C64" s="80"/>
      <c r="D64" s="80"/>
      <c r="E64" s="80"/>
      <c r="F64" s="80"/>
      <c r="G64" s="80"/>
      <c r="H64" s="80"/>
      <c r="I64" s="80"/>
      <c r="J64" s="80"/>
      <c r="K64" s="81"/>
    </row>
    <row r="65" spans="1:11" x14ac:dyDescent="0.25">
      <c r="A65" s="7" t="s">
        <v>85</v>
      </c>
      <c r="B65" s="7" t="s">
        <v>86</v>
      </c>
      <c r="C65" s="16">
        <v>15.79</v>
      </c>
      <c r="D65" s="7">
        <v>9.8000000000000007</v>
      </c>
      <c r="E65" s="7">
        <v>0.9</v>
      </c>
      <c r="F65" s="30">
        <f t="shared" ref="F65:F66" si="8">C65*D65*E65/100</f>
        <v>1.3926779999999999</v>
      </c>
      <c r="G65" s="16">
        <v>24.83</v>
      </c>
      <c r="H65" s="16">
        <v>1.1499999999999999</v>
      </c>
      <c r="I65" s="21">
        <v>24.88</v>
      </c>
      <c r="J65" s="21">
        <v>0.69</v>
      </c>
      <c r="K65" s="21">
        <v>241.2</v>
      </c>
    </row>
    <row r="66" spans="1:11" x14ac:dyDescent="0.25">
      <c r="A66" s="7" t="s">
        <v>87</v>
      </c>
      <c r="B66" s="7" t="s">
        <v>88</v>
      </c>
      <c r="C66" s="16">
        <v>16.920000000000002</v>
      </c>
      <c r="D66" s="7">
        <v>9.8000000000000007</v>
      </c>
      <c r="E66" s="7">
        <v>0.9</v>
      </c>
      <c r="F66" s="30">
        <f t="shared" si="8"/>
        <v>1.4923440000000001</v>
      </c>
      <c r="G66" s="16">
        <v>20.27</v>
      </c>
      <c r="H66" s="31">
        <f>(1619+632)/2/1000</f>
        <v>1.1254999999999999</v>
      </c>
      <c r="I66" s="21">
        <f>G66</f>
        <v>20.27</v>
      </c>
      <c r="J66" s="21">
        <v>0.68</v>
      </c>
      <c r="K66" s="21">
        <v>5.01</v>
      </c>
    </row>
    <row r="67" spans="1:11" x14ac:dyDescent="0.25">
      <c r="A67" s="8" t="s">
        <v>69</v>
      </c>
      <c r="B67" s="8"/>
      <c r="C67" s="9"/>
      <c r="D67" s="7"/>
      <c r="E67" s="7"/>
      <c r="F67" s="32">
        <f>SUM(F65:F66)</f>
        <v>2.8850220000000002</v>
      </c>
      <c r="G67" s="33"/>
      <c r="H67" s="33"/>
      <c r="I67" s="36">
        <f>SUMPRODUCT(F65:F66,I65:I66)/(SUM(F65:F66)+1E-20)</f>
        <v>22.495371446040959</v>
      </c>
      <c r="J67" s="36">
        <f>SUMPRODUCT(F65:F66,J65:J66)/(SUM(F65:F66)+1E-20)</f>
        <v>0.68482726994802812</v>
      </c>
      <c r="K67" s="8">
        <f>SUM(K65:K66)</f>
        <v>246.20999999999998</v>
      </c>
    </row>
    <row r="68" spans="1:11" x14ac:dyDescent="0.25">
      <c r="A68" s="72" t="s">
        <v>89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</row>
    <row r="69" spans="1:11" x14ac:dyDescent="0.25">
      <c r="A69" s="7" t="s">
        <v>90</v>
      </c>
      <c r="B69" s="7" t="s">
        <v>76</v>
      </c>
      <c r="C69" s="16">
        <v>26.9</v>
      </c>
      <c r="D69" s="7">
        <v>0</v>
      </c>
      <c r="E69" s="7">
        <v>1</v>
      </c>
      <c r="F69" s="30">
        <f t="shared" ref="F69:F70" si="9">C69*D69*E69/100</f>
        <v>0</v>
      </c>
      <c r="G69" s="35">
        <v>18.899999999999999</v>
      </c>
      <c r="H69" s="35">
        <v>0.91</v>
      </c>
      <c r="I69" s="50">
        <f>G69</f>
        <v>18.899999999999999</v>
      </c>
      <c r="J69" s="50">
        <f>H69</f>
        <v>0.91</v>
      </c>
      <c r="K69" s="7">
        <v>0</v>
      </c>
    </row>
    <row r="70" spans="1:11" x14ac:dyDescent="0.25">
      <c r="A70" s="7" t="s">
        <v>91</v>
      </c>
      <c r="B70" s="7" t="s">
        <v>79</v>
      </c>
      <c r="C70" s="16">
        <v>15.79</v>
      </c>
      <c r="D70" s="7">
        <v>0</v>
      </c>
      <c r="E70" s="7">
        <v>0.89</v>
      </c>
      <c r="F70" s="30">
        <f t="shared" si="9"/>
        <v>0</v>
      </c>
      <c r="G70" s="35">
        <v>24.83</v>
      </c>
      <c r="H70" s="35">
        <v>1.1499999999999999</v>
      </c>
      <c r="I70" s="50">
        <f>G70</f>
        <v>24.83</v>
      </c>
      <c r="J70" s="50">
        <f>H70</f>
        <v>1.1499999999999999</v>
      </c>
      <c r="K70" s="7">
        <v>0</v>
      </c>
    </row>
    <row r="71" spans="1:11" x14ac:dyDescent="0.25">
      <c r="A71" s="8" t="s">
        <v>69</v>
      </c>
      <c r="B71" s="8"/>
      <c r="C71" s="9"/>
      <c r="D71" s="7"/>
      <c r="E71" s="7"/>
      <c r="F71" s="32">
        <f>SUM(F69:F70)</f>
        <v>0</v>
      </c>
      <c r="G71" s="9"/>
      <c r="H71" s="9"/>
      <c r="I71" s="36">
        <f>SUMPRODUCT(F69:F70,I69:I70)/(SUM(F69:F70)+1E-20)</f>
        <v>0</v>
      </c>
      <c r="J71" s="36">
        <f>SUMPRODUCT(F69:F70,J69:J70)/(SUM(F69:F70)+1E-20)</f>
        <v>0</v>
      </c>
      <c r="K71" s="8">
        <f>SUM(K69:K70)</f>
        <v>0</v>
      </c>
    </row>
    <row r="72" spans="1:11" x14ac:dyDescent="0.25">
      <c r="A72" s="82" t="s">
        <v>92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1:11" x14ac:dyDescent="0.25">
      <c r="A73" s="1" t="s">
        <v>93</v>
      </c>
      <c r="B73" s="1" t="s">
        <v>94</v>
      </c>
      <c r="C73" s="10" t="s">
        <v>108</v>
      </c>
      <c r="D73" s="10" t="s">
        <v>108</v>
      </c>
      <c r="E73" s="10" t="s">
        <v>108</v>
      </c>
      <c r="F73" s="21">
        <v>0.67600000000000005</v>
      </c>
      <c r="G73" s="28">
        <v>13.05</v>
      </c>
      <c r="H73" s="28">
        <v>23.14</v>
      </c>
      <c r="I73" s="28">
        <v>13.05</v>
      </c>
      <c r="J73" s="28">
        <v>23.14</v>
      </c>
      <c r="K73" s="2" t="s">
        <v>131</v>
      </c>
    </row>
    <row r="74" spans="1:11" x14ac:dyDescent="0.25">
      <c r="A74" s="1" t="s">
        <v>95</v>
      </c>
      <c r="B74" s="1" t="s">
        <v>96</v>
      </c>
      <c r="C74" s="10" t="s">
        <v>108</v>
      </c>
      <c r="D74" s="10" t="s">
        <v>108</v>
      </c>
      <c r="E74" s="10" t="s">
        <v>108</v>
      </c>
      <c r="F74" s="21">
        <v>93.74</v>
      </c>
      <c r="G74" s="28">
        <v>18.193999999999999</v>
      </c>
      <c r="H74" s="28">
        <v>23.14</v>
      </c>
      <c r="I74" s="28">
        <v>18.193999999999999</v>
      </c>
      <c r="J74" s="28">
        <v>23.14</v>
      </c>
      <c r="K74" s="2" t="s">
        <v>131</v>
      </c>
    </row>
    <row r="75" spans="1:11" x14ac:dyDescent="0.25">
      <c r="A75" s="1" t="s">
        <v>97</v>
      </c>
      <c r="B75" s="1" t="s">
        <v>98</v>
      </c>
      <c r="C75" s="10" t="s">
        <v>108</v>
      </c>
      <c r="D75" s="10" t="s">
        <v>108</v>
      </c>
      <c r="E75" s="10" t="s">
        <v>108</v>
      </c>
      <c r="F75" s="21">
        <v>3.08</v>
      </c>
      <c r="G75" s="28">
        <v>16.25</v>
      </c>
      <c r="H75" s="28">
        <v>26.2</v>
      </c>
      <c r="I75" s="28">
        <v>16.25</v>
      </c>
      <c r="J75" s="28">
        <v>26.2</v>
      </c>
      <c r="K75" s="2" t="s">
        <v>131</v>
      </c>
    </row>
    <row r="76" spans="1:11" x14ac:dyDescent="0.25">
      <c r="A76" s="15" t="s">
        <v>69</v>
      </c>
      <c r="B76" s="15"/>
      <c r="C76" s="18"/>
      <c r="D76" s="1"/>
      <c r="E76" s="1"/>
      <c r="F76" s="22">
        <f>SUM(F73:F75)</f>
        <v>97.495999999999995</v>
      </c>
      <c r="G76" s="19"/>
      <c r="H76" s="19"/>
      <c r="I76" s="34">
        <f>SUMPRODUCT(F73:F75,I73:I75)/SUM(F73:F75)</f>
        <v>18.096920489045704</v>
      </c>
      <c r="J76" s="34">
        <f>SUMPRODUCT(F73:F75,J73:J75)/SUM(F73:F75)</f>
        <v>23.236668581275129</v>
      </c>
      <c r="K76" s="20">
        <f>SUM(K73:K75)</f>
        <v>0</v>
      </c>
    </row>
    <row r="77" spans="1:11" x14ac:dyDescent="0.25">
      <c r="A77" s="15"/>
      <c r="B77" s="15"/>
      <c r="C77" s="18"/>
      <c r="D77" s="1"/>
      <c r="E77" s="1"/>
      <c r="F77" s="6"/>
      <c r="G77" s="19"/>
      <c r="H77" s="19"/>
      <c r="I77" s="19"/>
      <c r="J77" s="19"/>
      <c r="K77" s="6"/>
    </row>
    <row r="78" spans="1:11" x14ac:dyDescent="0.25">
      <c r="A78" s="15" t="s">
        <v>99</v>
      </c>
      <c r="B78" s="15"/>
      <c r="C78" s="18"/>
      <c r="D78" s="15"/>
      <c r="E78" s="15"/>
      <c r="F78" s="34">
        <v>12489.28</v>
      </c>
      <c r="G78" s="24"/>
      <c r="H78" s="24"/>
      <c r="I78" s="9">
        <v>99.79</v>
      </c>
      <c r="J78" s="9">
        <v>11.51</v>
      </c>
      <c r="K78" s="34">
        <v>0</v>
      </c>
    </row>
    <row r="79" spans="1:11" x14ac:dyDescent="0.25">
      <c r="A79" s="15" t="s">
        <v>100</v>
      </c>
      <c r="B79" s="15"/>
      <c r="C79" s="18"/>
      <c r="D79" s="15"/>
      <c r="E79" s="15"/>
      <c r="F79" s="29">
        <f>F12+F48+F53+F63+F67+F71+F76</f>
        <v>18952.979494400002</v>
      </c>
      <c r="G79" s="24"/>
      <c r="H79" s="24"/>
      <c r="I79" s="29">
        <f>(F12*I12+F48*I48+F53*I53+F63*I63+F71*I71+F76*I76)/SUM(F76,F71,F63,F48,F53,F12)</f>
        <v>113.94627699281835</v>
      </c>
      <c r="J79" s="29">
        <f>(F12*J12+F48*J48+F53*J53+F63*J63+F71*J71+F76*J76)/SUM(F76,F71,F63,F48,F53,F12)</f>
        <v>8.2603987047097309</v>
      </c>
      <c r="K79" s="29">
        <f>SUM(K12,K48,K53,K63,K67,K71,K76)</f>
        <v>44995.61</v>
      </c>
    </row>
    <row r="80" spans="1:11" x14ac:dyDescent="0.25">
      <c r="A80" s="15" t="s">
        <v>101</v>
      </c>
      <c r="B80" s="15"/>
      <c r="C80" s="18"/>
      <c r="D80" s="15"/>
      <c r="E80" s="15"/>
      <c r="F80" s="29">
        <f>SUM(F78+F79)</f>
        <v>31442.259494400001</v>
      </c>
      <c r="G80" s="24"/>
      <c r="H80" s="24"/>
      <c r="I80" s="29">
        <f>(F78*I78+F79*I79)/(F78+F79)</f>
        <v>108.32321713758257</v>
      </c>
      <c r="J80" s="29">
        <f>(F78*J78+F79*J79)/(F78+F79)</f>
        <v>9.5511831813301598</v>
      </c>
      <c r="K80" s="29">
        <f>SUM(K17,K53,K57,K64,K68,K72,K77)</f>
        <v>4763.88</v>
      </c>
    </row>
    <row r="83" spans="1:2" x14ac:dyDescent="0.25">
      <c r="A83" s="40" t="s">
        <v>119</v>
      </c>
      <c r="B83">
        <f>18060.6*1.025</f>
        <v>18512.114999999998</v>
      </c>
    </row>
    <row r="84" spans="1:2" x14ac:dyDescent="0.25">
      <c r="A84" s="40" t="s">
        <v>120</v>
      </c>
      <c r="B84" s="41">
        <f>$F$48</f>
        <v>18504.577560000005</v>
      </c>
    </row>
    <row r="85" spans="1:2" x14ac:dyDescent="0.25">
      <c r="A85" s="41">
        <f>SUM(F14,F15,F16,F17,F28,F29,F30,F31,F18,F19,F32,F33,F47,F46,F20,F21,F34,F35,F22,F23,F36,F37,F38,F39,F24,F25,F45,F44)</f>
        <v>17240.695570000003</v>
      </c>
      <c r="B85" s="41">
        <f>B83-A85</f>
        <v>1271.4194299999945</v>
      </c>
    </row>
  </sheetData>
  <mergeCells count="16">
    <mergeCell ref="A72:K72"/>
    <mergeCell ref="A64:K64"/>
    <mergeCell ref="A68:K68"/>
    <mergeCell ref="K1:K2"/>
    <mergeCell ref="A4:K4"/>
    <mergeCell ref="A13:K13"/>
    <mergeCell ref="A49:K49"/>
    <mergeCell ref="A54:K54"/>
    <mergeCell ref="G1:H1"/>
    <mergeCell ref="A1:A2"/>
    <mergeCell ref="B1:B2"/>
    <mergeCell ref="C1:C2"/>
    <mergeCell ref="D1:D2"/>
    <mergeCell ref="E1:E2"/>
    <mergeCell ref="F1:F2"/>
    <mergeCell ref="I1:J1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8A3D-3C49-436E-8D21-41AD8E44C2D7}">
  <dimension ref="A1:G30"/>
  <sheetViews>
    <sheetView tabSelected="1" topLeftCell="A4" workbookViewId="0">
      <selection activeCell="I9" sqref="I9"/>
    </sheetView>
  </sheetViews>
  <sheetFormatPr defaultRowHeight="14" x14ac:dyDescent="0.25"/>
  <cols>
    <col min="1" max="1" width="22.1796875" bestFit="1" customWidth="1"/>
    <col min="2" max="2" width="6.26953125" bestFit="1" customWidth="1"/>
    <col min="3" max="3" width="18.453125" customWidth="1"/>
    <col min="4" max="4" width="12.81640625" bestFit="1" customWidth="1"/>
    <col min="5" max="5" width="10.54296875" bestFit="1" customWidth="1"/>
    <col min="6" max="6" width="11.81640625" customWidth="1"/>
    <col min="7" max="7" width="12.36328125" customWidth="1"/>
  </cols>
  <sheetData>
    <row r="1" spans="1:7" x14ac:dyDescent="0.25">
      <c r="A1" s="63" t="s">
        <v>134</v>
      </c>
      <c r="B1" s="63" t="s">
        <v>135</v>
      </c>
      <c r="C1" s="63" t="s">
        <v>136</v>
      </c>
      <c r="D1" s="63" t="s">
        <v>153</v>
      </c>
      <c r="E1" s="1" t="s">
        <v>154</v>
      </c>
      <c r="F1" s="1" t="s">
        <v>155</v>
      </c>
      <c r="G1" s="1" t="s">
        <v>156</v>
      </c>
    </row>
    <row r="2" spans="1:7" x14ac:dyDescent="0.25">
      <c r="A2" s="63" t="s">
        <v>137</v>
      </c>
      <c r="B2" s="64" t="s">
        <v>158</v>
      </c>
      <c r="C2" s="64" t="s">
        <v>160</v>
      </c>
      <c r="D2" s="65">
        <v>215.17</v>
      </c>
      <c r="E2" s="65">
        <v>215.17</v>
      </c>
      <c r="F2" s="65">
        <v>215.17</v>
      </c>
      <c r="G2" s="65">
        <v>215.17</v>
      </c>
    </row>
    <row r="3" spans="1:7" x14ac:dyDescent="0.25">
      <c r="A3" s="63" t="s">
        <v>139</v>
      </c>
      <c r="B3" s="64" t="s">
        <v>159</v>
      </c>
      <c r="C3" s="64" t="s">
        <v>140</v>
      </c>
      <c r="D3" s="67">
        <f>满载出港!$F$80</f>
        <v>84591.790259873</v>
      </c>
      <c r="E3" s="67">
        <f>满载到港!$F$80</f>
        <v>81448.07699027301</v>
      </c>
      <c r="F3" s="67">
        <f>压载出港!$F$80</f>
        <v>34584.468219000009</v>
      </c>
      <c r="G3" s="67">
        <f>压载到港!$F$80</f>
        <v>31442.259494400001</v>
      </c>
    </row>
    <row r="4" spans="1:7" x14ac:dyDescent="0.25">
      <c r="A4" s="63" t="s">
        <v>141</v>
      </c>
      <c r="B4" s="64" t="s">
        <v>158</v>
      </c>
      <c r="C4" s="64" t="s">
        <v>161</v>
      </c>
      <c r="D4" s="65">
        <v>14.12</v>
      </c>
      <c r="E4" s="65">
        <v>13.64</v>
      </c>
      <c r="F4" s="65">
        <v>6.54</v>
      </c>
      <c r="G4" s="65">
        <v>6.01</v>
      </c>
    </row>
    <row r="5" spans="1:7" x14ac:dyDescent="0.25">
      <c r="A5" s="63" t="s">
        <v>142</v>
      </c>
      <c r="B5" s="64" t="s">
        <v>138</v>
      </c>
      <c r="C5" s="64" t="s">
        <v>143</v>
      </c>
      <c r="D5" s="65">
        <f>满载出港!$I$80</f>
        <v>108.49047363037948</v>
      </c>
      <c r="E5" s="65">
        <f>满载到港!$I$80</f>
        <v>111.35208255407484</v>
      </c>
      <c r="F5" s="65">
        <f>压载出港!$I$80</f>
        <v>101.83103141888063</v>
      </c>
      <c r="G5" s="65">
        <f>压载到港!$I$80</f>
        <v>108.32321713758257</v>
      </c>
    </row>
    <row r="6" spans="1:7" x14ac:dyDescent="0.25">
      <c r="A6" s="63" t="s">
        <v>144</v>
      </c>
      <c r="B6" s="64" t="s">
        <v>138</v>
      </c>
      <c r="C6" s="64" t="s">
        <v>145</v>
      </c>
      <c r="D6" s="65">
        <v>111.01</v>
      </c>
      <c r="E6" s="65">
        <v>111.26</v>
      </c>
      <c r="F6" s="65">
        <v>114.97</v>
      </c>
      <c r="G6" s="65">
        <v>115.13</v>
      </c>
    </row>
    <row r="7" spans="1:7" x14ac:dyDescent="0.25">
      <c r="A7" s="63" t="s">
        <v>146</v>
      </c>
      <c r="B7" s="64" t="s">
        <v>138</v>
      </c>
      <c r="C7" s="64" t="s">
        <v>172</v>
      </c>
      <c r="D7" s="65">
        <f>满载出港!$J$80</f>
        <v>11.312269853672232</v>
      </c>
      <c r="E7" s="65">
        <f>满载到港!$J$80</f>
        <v>11.115222262338529</v>
      </c>
      <c r="F7" s="65">
        <f>压载出港!$J$80</f>
        <v>10.237877547737156</v>
      </c>
      <c r="G7" s="65">
        <f>压载到港!$J$80</f>
        <v>9.5511831813301598</v>
      </c>
    </row>
    <row r="8" spans="1:7" x14ac:dyDescent="0.25">
      <c r="A8" s="63" t="s">
        <v>147</v>
      </c>
      <c r="B8" s="64" t="s">
        <v>138</v>
      </c>
      <c r="C8" s="64" t="s">
        <v>148</v>
      </c>
      <c r="D8" s="67">
        <v>270.32</v>
      </c>
      <c r="E8" s="67">
        <v>277.35000000000002</v>
      </c>
      <c r="F8" s="67">
        <v>480.27</v>
      </c>
      <c r="G8" s="67">
        <v>512.27</v>
      </c>
    </row>
    <row r="9" spans="1:7" x14ac:dyDescent="0.25">
      <c r="A9" s="63" t="s">
        <v>149</v>
      </c>
      <c r="B9" s="64" t="s">
        <v>138</v>
      </c>
      <c r="C9" s="64" t="s">
        <v>150</v>
      </c>
      <c r="D9" s="65">
        <f>D8-D7</f>
        <v>259.00773014632779</v>
      </c>
      <c r="E9" s="65">
        <f t="shared" ref="E9:G9" si="0">E8-E7</f>
        <v>266.23477773766149</v>
      </c>
      <c r="F9" s="65">
        <f t="shared" si="0"/>
        <v>470.0321224522628</v>
      </c>
      <c r="G9" s="65">
        <f t="shared" si="0"/>
        <v>502.71881681866984</v>
      </c>
    </row>
    <row r="10" spans="1:7" x14ac:dyDescent="0.25">
      <c r="A10" s="63" t="s">
        <v>151</v>
      </c>
      <c r="B10" s="64" t="s">
        <v>171</v>
      </c>
      <c r="C10" s="64" t="s">
        <v>152</v>
      </c>
      <c r="D10" s="65">
        <f>D3*D9/100/D2</f>
        <v>1018.261262454057</v>
      </c>
      <c r="E10" s="65">
        <f t="shared" ref="E10:G10" si="1">E3*E9/100/E2</f>
        <v>1007.775743582529</v>
      </c>
      <c r="F10" s="65">
        <f t="shared" si="1"/>
        <v>755.4868708862482</v>
      </c>
      <c r="G10" s="65">
        <f t="shared" si="1"/>
        <v>734.61056332808266</v>
      </c>
    </row>
    <row r="11" spans="1:7" x14ac:dyDescent="0.25">
      <c r="A11" s="1" t="s">
        <v>162</v>
      </c>
      <c r="B11" s="64" t="s">
        <v>157</v>
      </c>
      <c r="C11" s="64" t="s">
        <v>173</v>
      </c>
      <c r="D11" s="67">
        <v>108.41</v>
      </c>
      <c r="E11" s="67">
        <v>108.59</v>
      </c>
      <c r="F11" s="67">
        <v>116.93</v>
      </c>
      <c r="G11" s="67">
        <v>117.49</v>
      </c>
    </row>
    <row r="12" spans="1:7" x14ac:dyDescent="0.25">
      <c r="A12" s="66" t="s">
        <v>163</v>
      </c>
      <c r="B12" s="64" t="s">
        <v>157</v>
      </c>
      <c r="C12" s="64" t="s">
        <v>174</v>
      </c>
      <c r="D12" s="65">
        <f>D5-D6</f>
        <v>-2.5195263696205217</v>
      </c>
      <c r="E12" s="65">
        <f t="shared" ref="E12:G12" si="2">E5-E6</f>
        <v>9.2082554074835343E-2</v>
      </c>
      <c r="F12" s="65">
        <f t="shared" si="2"/>
        <v>-13.138968581119371</v>
      </c>
      <c r="G12" s="65">
        <f t="shared" si="2"/>
        <v>-6.8067828624174211</v>
      </c>
    </row>
    <row r="13" spans="1:7" x14ac:dyDescent="0.25">
      <c r="A13" s="66" t="s">
        <v>164</v>
      </c>
      <c r="B13" s="64" t="s">
        <v>170</v>
      </c>
      <c r="C13" s="64" t="s">
        <v>175</v>
      </c>
      <c r="D13" s="65">
        <f>D3*D12</f>
        <v>-213131.24621315842</v>
      </c>
      <c r="E13" s="65">
        <f t="shared" ref="E13:G13" si="3">E3*E12</f>
        <v>7499.9469537481664</v>
      </c>
      <c r="F13" s="65">
        <f t="shared" si="3"/>
        <v>-454404.24132416258</v>
      </c>
      <c r="G13" s="65">
        <f t="shared" si="3"/>
        <v>-214020.63308216337</v>
      </c>
    </row>
    <row r="14" spans="1:7" x14ac:dyDescent="0.25">
      <c r="A14" s="1" t="s">
        <v>165</v>
      </c>
      <c r="B14" s="64" t="s">
        <v>157</v>
      </c>
      <c r="C14" s="64" t="s">
        <v>176</v>
      </c>
      <c r="D14" s="65">
        <f>D13/100/D10</f>
        <v>-2.0930899963679477</v>
      </c>
      <c r="E14" s="65">
        <f t="shared" ref="E14:G14" si="4">E13/100/E10</f>
        <v>7.442079253750146E-2</v>
      </c>
      <c r="F14" s="65">
        <f t="shared" si="4"/>
        <v>-6.0147205575010068</v>
      </c>
      <c r="G14" s="65">
        <f t="shared" si="4"/>
        <v>-2.913388995014766</v>
      </c>
    </row>
    <row r="15" spans="1:7" x14ac:dyDescent="0.25">
      <c r="A15" s="1" t="s">
        <v>166</v>
      </c>
      <c r="B15" s="64" t="s">
        <v>157</v>
      </c>
      <c r="C15" s="64" t="s">
        <v>177</v>
      </c>
      <c r="D15" s="65">
        <f>(D2-D11)*(D14/D2)</f>
        <v>-1.0385197193486178</v>
      </c>
      <c r="E15" s="65">
        <f t="shared" ref="E15:G15" si="5">(E2-E11)*(E14/E2)</f>
        <v>3.6862797177333761E-2</v>
      </c>
      <c r="F15" s="65">
        <f t="shared" si="5"/>
        <v>-2.7461362995254861</v>
      </c>
      <c r="G15" s="65">
        <f t="shared" si="5"/>
        <v>-1.3225813869639929</v>
      </c>
    </row>
    <row r="16" spans="1:7" x14ac:dyDescent="0.25">
      <c r="A16" s="1" t="s">
        <v>167</v>
      </c>
      <c r="B16" s="64" t="s">
        <v>157</v>
      </c>
      <c r="C16" s="64" t="s">
        <v>178</v>
      </c>
      <c r="D16" s="65">
        <f>-D11*D14/D2</f>
        <v>1.0545702770193299</v>
      </c>
      <c r="E16" s="65">
        <f t="shared" ref="E16:G16" si="6">-E11*E14/E2</f>
        <v>-3.7557995360167698E-2</v>
      </c>
      <c r="F16" s="65">
        <f t="shared" si="6"/>
        <v>3.2685842579755207</v>
      </c>
      <c r="G16" s="65">
        <f t="shared" si="6"/>
        <v>1.5908076080507731</v>
      </c>
    </row>
    <row r="17" spans="1:7" x14ac:dyDescent="0.25">
      <c r="A17" s="1" t="s">
        <v>168</v>
      </c>
      <c r="B17" s="64" t="s">
        <v>157</v>
      </c>
      <c r="C17" s="64" t="s">
        <v>179</v>
      </c>
      <c r="D17" s="65">
        <f>D4+D15</f>
        <v>13.081480280651382</v>
      </c>
      <c r="E17" s="65">
        <f t="shared" ref="E17:G17" si="7">E4+E15</f>
        <v>13.676862797177334</v>
      </c>
      <c r="F17" s="65">
        <f t="shared" si="7"/>
        <v>3.7938637004745139</v>
      </c>
      <c r="G17" s="65">
        <f t="shared" si="7"/>
        <v>4.6874186130360069</v>
      </c>
    </row>
    <row r="18" spans="1:7" x14ac:dyDescent="0.25">
      <c r="A18" s="1" t="s">
        <v>169</v>
      </c>
      <c r="B18" s="64" t="s">
        <v>157</v>
      </c>
      <c r="C18" s="64" t="s">
        <v>180</v>
      </c>
      <c r="D18" s="65">
        <f>D4+D16</f>
        <v>15.174570277019329</v>
      </c>
      <c r="E18" s="65">
        <f t="shared" ref="E18:G18" si="8">E4+E16</f>
        <v>13.602442004639833</v>
      </c>
      <c r="F18" s="65">
        <f t="shared" si="8"/>
        <v>9.8085842579755216</v>
      </c>
      <c r="G18" s="65">
        <f t="shared" si="8"/>
        <v>7.6008076080507729</v>
      </c>
    </row>
    <row r="21" spans="1:7" x14ac:dyDescent="0.25">
      <c r="A21" s="69" t="s">
        <v>181</v>
      </c>
      <c r="D21">
        <v>1357.81</v>
      </c>
      <c r="E21">
        <v>1472.91</v>
      </c>
      <c r="F21">
        <v>3009.06</v>
      </c>
      <c r="G21">
        <v>3128.87</v>
      </c>
    </row>
    <row r="22" spans="1:7" x14ac:dyDescent="0.25">
      <c r="A22" s="69" t="s">
        <v>182</v>
      </c>
      <c r="D22">
        <v>321.94</v>
      </c>
      <c r="E22">
        <v>321.94</v>
      </c>
      <c r="F22">
        <v>321.94</v>
      </c>
      <c r="G22">
        <v>321.94</v>
      </c>
    </row>
    <row r="23" spans="1:7" x14ac:dyDescent="0.25">
      <c r="A23" s="70" t="s">
        <v>183</v>
      </c>
      <c r="D23">
        <v>17.350000000000001</v>
      </c>
      <c r="E23">
        <v>17.100000000000001</v>
      </c>
      <c r="F23">
        <v>13.53</v>
      </c>
      <c r="G23">
        <v>13.26</v>
      </c>
    </row>
    <row r="24" spans="1:7" x14ac:dyDescent="0.25">
      <c r="A24" s="70" t="s">
        <v>184</v>
      </c>
      <c r="D24">
        <v>28.57</v>
      </c>
      <c r="E24">
        <v>28.57</v>
      </c>
      <c r="F24">
        <v>28.57</v>
      </c>
      <c r="G24">
        <v>28.57</v>
      </c>
    </row>
    <row r="25" spans="1:7" x14ac:dyDescent="0.25">
      <c r="A25" s="70" t="s">
        <v>185</v>
      </c>
      <c r="D25">
        <f>SUM(D21:D22)</f>
        <v>1679.75</v>
      </c>
      <c r="E25">
        <f t="shared" ref="E25:G25" si="9">SUM(E21:E22)</f>
        <v>1794.8500000000001</v>
      </c>
      <c r="F25">
        <f t="shared" si="9"/>
        <v>3331</v>
      </c>
      <c r="G25">
        <f t="shared" si="9"/>
        <v>3450.81</v>
      </c>
    </row>
    <row r="26" spans="1:7" x14ac:dyDescent="0.25">
      <c r="A26" s="70" t="s">
        <v>191</v>
      </c>
      <c r="D26">
        <f>(D23*D21+D24*D22)/(D21+D22)</f>
        <v>19.500419288584613</v>
      </c>
      <c r="E26">
        <f t="shared" ref="E26:G26" si="10">(E23*E21+E24*E22)/(E21+E22)</f>
        <v>19.157359556508901</v>
      </c>
      <c r="F26">
        <f t="shared" si="10"/>
        <v>14.983610807565295</v>
      </c>
      <c r="G26">
        <f t="shared" si="10"/>
        <v>14.688331725015287</v>
      </c>
    </row>
    <row r="27" spans="1:7" x14ac:dyDescent="0.25">
      <c r="A27" s="70" t="s">
        <v>190</v>
      </c>
      <c r="D27" s="41">
        <f>D26-D4</f>
        <v>5.3804192885846138</v>
      </c>
      <c r="E27" s="41">
        <f t="shared" ref="E27:G27" si="11">E26-E4</f>
        <v>5.5173595565089002</v>
      </c>
      <c r="F27" s="41">
        <f t="shared" si="11"/>
        <v>8.443610807565296</v>
      </c>
      <c r="G27" s="41">
        <f t="shared" si="11"/>
        <v>8.6783317250152869</v>
      </c>
    </row>
    <row r="28" spans="1:7" x14ac:dyDescent="0.25">
      <c r="A28" s="70" t="s">
        <v>186</v>
      </c>
      <c r="D28" s="68">
        <v>0</v>
      </c>
      <c r="E28">
        <v>1780.12</v>
      </c>
      <c r="F28">
        <v>0</v>
      </c>
      <c r="G28">
        <v>1780.12</v>
      </c>
    </row>
    <row r="29" spans="1:7" x14ac:dyDescent="0.25">
      <c r="A29" s="70" t="s">
        <v>187</v>
      </c>
      <c r="D29">
        <f>D28*0.89/D3</f>
        <v>0</v>
      </c>
      <c r="E29">
        <f t="shared" ref="E29:G29" si="12">E28*0.89/E3</f>
        <v>1.9451739789868909E-2</v>
      </c>
      <c r="F29">
        <f t="shared" si="12"/>
        <v>0</v>
      </c>
      <c r="G29">
        <f t="shared" si="12"/>
        <v>5.0387816444367545E-2</v>
      </c>
    </row>
    <row r="30" spans="1:7" x14ac:dyDescent="0.25">
      <c r="A30" s="70" t="s">
        <v>188</v>
      </c>
      <c r="D30" s="68" t="s">
        <v>189</v>
      </c>
      <c r="E30" s="68" t="s">
        <v>189</v>
      </c>
      <c r="F30" s="68" t="s">
        <v>192</v>
      </c>
      <c r="G30" s="68" t="s">
        <v>193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满载出港</vt:lpstr>
      <vt:lpstr>满载到港</vt:lpstr>
      <vt:lpstr>压载出港</vt:lpstr>
      <vt:lpstr>压载到港</vt:lpstr>
      <vt:lpstr>浮态计算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2024-03-21T09:02:58Z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