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harts/chart18.xml" ContentType="application/vnd.openxmlformats-officedocument.drawingml.char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harts/chart16.xml" ContentType="application/vnd.openxmlformats-officedocument.drawingml.chart+xml"/>
  <Override PartName="/xl/charts/chart17.xml" ContentType="application/vnd.openxmlformats-officedocument.drawingml.chart+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ackupFile="1" defaultThemeVersion="124226"/>
  <bookViews>
    <workbookView xWindow="96" yWindow="96" windowWidth="15168" windowHeight="5772" firstSheet="1" activeTab="1"/>
  </bookViews>
  <sheets>
    <sheet name="Sheet2" sheetId="1" state="hidden" r:id="rId1"/>
    <sheet name="Control" sheetId="2" r:id="rId2"/>
    <sheet name="2012~2011 Analysis" sheetId="6" r:id="rId3"/>
    <sheet name="2011~2010 Analysis" sheetId="5" r:id="rId4"/>
    <sheet name="Follow-up" sheetId="3" state="hidden" r:id="rId5"/>
    <sheet name="2013 Analysis" sheetId="7" r:id="rId6"/>
  </sheets>
  <externalReferences>
    <externalReference r:id="rId7"/>
  </externalReferences>
  <definedNames>
    <definedName name="_xlnm._FilterDatabase" localSheetId="1" hidden="1">Control!$A$1:$BC$35</definedName>
    <definedName name="_xlnm._FilterDatabase" localSheetId="4" hidden="1">'Follow-up'!$A$1:$L$25</definedName>
    <definedName name="_xlnm.Print_Area" localSheetId="3">'2011~2010 Analysis'!$A$1:$T$101</definedName>
    <definedName name="_xlnm.Print_Area" localSheetId="2">'2012~2011 Analysis'!$A$1:$U$95</definedName>
    <definedName name="_xlnm.Print_Area" localSheetId="1">Control!$A$1:$BC$15</definedName>
    <definedName name="_xlnm.Print_Titles" localSheetId="1">Control!$1:$1</definedName>
    <definedName name="_xlnm.Print_Titles" localSheetId="4">'Follow-up'!$1:$1</definedName>
    <definedName name="Z_7BA9E918_F3F9_4CEB_966C_941A716ADD86_.wvu.Cols" localSheetId="1" hidden="1">Control!$N:$O,Control!$Z:$AA,Control!$BA:$BC</definedName>
    <definedName name="Z_7BA9E918_F3F9_4CEB_966C_941A716ADD86_.wvu.FilterData" localSheetId="1" hidden="1">Control!$B$1:$BD$1</definedName>
    <definedName name="Z_7BA9E918_F3F9_4CEB_966C_941A716ADD86_.wvu.FilterData" localSheetId="4" hidden="1">'Follow-up'!$A$1:$L$25</definedName>
    <definedName name="Z_7BA9E918_F3F9_4CEB_966C_941A716ADD86_.wvu.PrintTitles" localSheetId="1" hidden="1">Control!$1:$1</definedName>
    <definedName name="Z_7BA9E918_F3F9_4CEB_966C_941A716ADD86_.wvu.PrintTitles" localSheetId="4" hidden="1">'Follow-up'!$1:$1</definedName>
  </definedNames>
  <calcPr calcId="125725"/>
  <customWorkbookViews>
    <customWorkbookView name="Patrick Yu - Personal View" guid="{7BA9E918-F3F9-4CEB-966C-941A716ADD86}" mergeInterval="0" personalView="1" maximized="1" xWindow="1" yWindow="1" windowWidth="1366" windowHeight="396" activeSheetId="2"/>
  </customWorkbookViews>
</workbook>
</file>

<file path=xl/calcChain.xml><?xml version="1.0" encoding="utf-8"?>
<calcChain xmlns="http://schemas.openxmlformats.org/spreadsheetml/2006/main">
  <c r="F68" i="7"/>
  <c r="E68"/>
  <c r="D68"/>
  <c r="C68"/>
  <c r="B68"/>
  <c r="F57"/>
  <c r="E57"/>
  <c r="E58"/>
  <c r="D57"/>
  <c r="C57"/>
  <c r="B57"/>
  <c r="F69"/>
  <c r="E69"/>
  <c r="D69"/>
  <c r="C69"/>
  <c r="B69"/>
  <c r="B46"/>
  <c r="B44" l="1"/>
  <c r="B45"/>
  <c r="F70"/>
  <c r="E70"/>
  <c r="D70"/>
  <c r="C70"/>
  <c r="B70"/>
  <c r="F67"/>
  <c r="E67"/>
  <c r="D67"/>
  <c r="C67"/>
  <c r="F66"/>
  <c r="E66"/>
  <c r="D66"/>
  <c r="B67"/>
  <c r="B66"/>
  <c r="C66"/>
  <c r="B43"/>
  <c r="B65"/>
  <c r="B64"/>
  <c r="F65"/>
  <c r="F64"/>
  <c r="F63"/>
  <c r="F62"/>
  <c r="F61"/>
  <c r="F60"/>
  <c r="F59"/>
  <c r="F58"/>
  <c r="F56"/>
  <c r="F55"/>
  <c r="E65"/>
  <c r="E64"/>
  <c r="E63"/>
  <c r="E62"/>
  <c r="E61"/>
  <c r="E60"/>
  <c r="E59"/>
  <c r="E56"/>
  <c r="E55"/>
  <c r="D65"/>
  <c r="D64"/>
  <c r="D63"/>
  <c r="D62"/>
  <c r="D61"/>
  <c r="D60"/>
  <c r="D59"/>
  <c r="D58"/>
  <c r="D56"/>
  <c r="D55"/>
  <c r="C65"/>
  <c r="C64"/>
  <c r="C63"/>
  <c r="C62"/>
  <c r="C61"/>
  <c r="C60"/>
  <c r="C59"/>
  <c r="C58"/>
  <c r="C56"/>
  <c r="C55"/>
  <c r="B61"/>
  <c r="B62"/>
  <c r="B63"/>
  <c r="B60"/>
  <c r="B59"/>
  <c r="B58"/>
  <c r="B56"/>
  <c r="B34"/>
  <c r="B35"/>
  <c r="B36"/>
  <c r="B37"/>
  <c r="B38"/>
  <c r="B39"/>
  <c r="B40"/>
  <c r="B41"/>
  <c r="B42"/>
  <c r="B33"/>
  <c r="M10" i="2"/>
  <c r="M8"/>
  <c r="M9"/>
  <c r="M7"/>
  <c r="AX12"/>
  <c r="AX11"/>
  <c r="B55" i="7"/>
  <c r="C71"/>
  <c r="D71"/>
  <c r="E71"/>
  <c r="F71"/>
  <c r="B71"/>
  <c r="C14"/>
  <c r="D14"/>
  <c r="E14"/>
  <c r="F14"/>
  <c r="G14"/>
  <c r="B14"/>
  <c r="B76" i="6"/>
  <c r="B54"/>
  <c r="B55"/>
  <c r="B56"/>
  <c r="B57"/>
  <c r="B58"/>
  <c r="B59"/>
  <c r="B60"/>
  <c r="B61"/>
  <c r="B62"/>
  <c r="B63"/>
  <c r="B64"/>
  <c r="B65"/>
  <c r="B66"/>
  <c r="B67"/>
  <c r="B68"/>
  <c r="B69"/>
  <c r="B70"/>
  <c r="B71"/>
  <c r="B72"/>
  <c r="B73"/>
  <c r="B74"/>
  <c r="B75"/>
  <c r="B53"/>
  <c r="B49"/>
  <c r="B48"/>
  <c r="B47"/>
  <c r="B46"/>
  <c r="B45"/>
  <c r="B44"/>
  <c r="B43"/>
  <c r="B40"/>
  <c r="B39"/>
  <c r="B4" s="1"/>
  <c r="B38"/>
  <c r="B17"/>
  <c r="B18"/>
  <c r="B19"/>
  <c r="B20"/>
  <c r="B21"/>
  <c r="B22"/>
  <c r="B23"/>
  <c r="B24"/>
  <c r="B25"/>
  <c r="B26"/>
  <c r="B27"/>
  <c r="B29"/>
  <c r="B30"/>
  <c r="B31"/>
  <c r="B32"/>
  <c r="B33"/>
  <c r="B34"/>
  <c r="B35"/>
  <c r="B28"/>
  <c r="B16"/>
  <c r="B12"/>
  <c r="B11"/>
  <c r="B10"/>
  <c r="B13" l="1"/>
  <c r="C55" s="1"/>
  <c r="B3"/>
  <c r="B5"/>
  <c r="C76" l="1"/>
  <c r="C28"/>
  <c r="C10"/>
  <c r="C40"/>
  <c r="C54"/>
  <c r="C56"/>
  <c r="C58"/>
  <c r="C60"/>
  <c r="C62"/>
  <c r="C64"/>
  <c r="C66"/>
  <c r="C68"/>
  <c r="C69"/>
  <c r="C71"/>
  <c r="C73"/>
  <c r="C75"/>
  <c r="C44"/>
  <c r="C46"/>
  <c r="C48"/>
  <c r="C43"/>
  <c r="C39"/>
  <c r="C38"/>
  <c r="C57"/>
  <c r="C59"/>
  <c r="C61"/>
  <c r="C63"/>
  <c r="C65"/>
  <c r="C67"/>
  <c r="C70"/>
  <c r="C72"/>
  <c r="C74"/>
  <c r="C53"/>
  <c r="C45"/>
  <c r="C47"/>
  <c r="C49"/>
  <c r="C34"/>
  <c r="C30"/>
  <c r="C25"/>
  <c r="C21"/>
  <c r="C17"/>
  <c r="C33"/>
  <c r="C29"/>
  <c r="C24"/>
  <c r="C20"/>
  <c r="C16"/>
  <c r="C32"/>
  <c r="C27"/>
  <c r="C23"/>
  <c r="C19"/>
  <c r="C35"/>
  <c r="C31"/>
  <c r="C26"/>
  <c r="C22"/>
  <c r="C18"/>
  <c r="B2"/>
  <c r="C13"/>
  <c r="C12"/>
  <c r="C11"/>
  <c r="D53" l="1"/>
  <c r="D16"/>
  <c r="F75"/>
  <c r="F74"/>
  <c r="F73"/>
  <c r="F72"/>
  <c r="F62"/>
  <c r="F71"/>
  <c r="F70"/>
  <c r="F69"/>
  <c r="F68"/>
  <c r="F67"/>
  <c r="F66"/>
  <c r="F65"/>
  <c r="F64"/>
  <c r="F63"/>
  <c r="F61"/>
  <c r="F60"/>
  <c r="F59"/>
  <c r="F58"/>
  <c r="F57"/>
  <c r="F56"/>
  <c r="F55"/>
  <c r="F54"/>
  <c r="F53"/>
  <c r="F49"/>
  <c r="F48"/>
  <c r="F47"/>
  <c r="F46"/>
  <c r="F45"/>
  <c r="F44"/>
  <c r="F43"/>
  <c r="F40"/>
  <c r="F39"/>
  <c r="F38"/>
  <c r="F33"/>
  <c r="F32"/>
  <c r="F27"/>
  <c r="F31"/>
  <c r="F30"/>
  <c r="F29"/>
  <c r="F28"/>
  <c r="F26"/>
  <c r="F25"/>
  <c r="F24"/>
  <c r="F23"/>
  <c r="F22"/>
  <c r="F21"/>
  <c r="F20"/>
  <c r="F19"/>
  <c r="F18"/>
  <c r="F17"/>
  <c r="F16"/>
  <c r="F12"/>
  <c r="D12" s="1"/>
  <c r="F11"/>
  <c r="D11" s="1"/>
  <c r="F10"/>
  <c r="D10" s="1"/>
  <c r="F5"/>
  <c r="F4"/>
  <c r="F3"/>
  <c r="F13" l="1"/>
  <c r="B77" i="5"/>
  <c r="B76"/>
  <c r="B75"/>
  <c r="B74"/>
  <c r="B73"/>
  <c r="B79"/>
  <c r="B27"/>
  <c r="B78"/>
  <c r="B72"/>
  <c r="B64"/>
  <c r="B63"/>
  <c r="B71"/>
  <c r="B70"/>
  <c r="B68"/>
  <c r="B69"/>
  <c r="B67"/>
  <c r="B66"/>
  <c r="B65"/>
  <c r="B62"/>
  <c r="B61"/>
  <c r="B60"/>
  <c r="B56"/>
  <c r="B59"/>
  <c r="B58"/>
  <c r="B57"/>
  <c r="B52"/>
  <c r="B51"/>
  <c r="B50"/>
  <c r="B49"/>
  <c r="B48"/>
  <c r="B47"/>
  <c r="B46"/>
  <c r="B44"/>
  <c r="B53" s="1"/>
  <c r="B45"/>
  <c r="B39"/>
  <c r="B5" s="1"/>
  <c r="B38"/>
  <c r="B4" s="1"/>
  <c r="B37"/>
  <c r="B3" s="1"/>
  <c r="B33"/>
  <c r="B17"/>
  <c r="B32"/>
  <c r="B31"/>
  <c r="B24"/>
  <c r="B30"/>
  <c r="B22"/>
  <c r="B26"/>
  <c r="B29"/>
  <c r="B28"/>
  <c r="B25"/>
  <c r="B23"/>
  <c r="B21"/>
  <c r="B20"/>
  <c r="B19"/>
  <c r="B18"/>
  <c r="B16"/>
  <c r="B12"/>
  <c r="B11"/>
  <c r="B10"/>
  <c r="B13" s="1"/>
  <c r="B2" s="1"/>
  <c r="F27"/>
  <c r="F3" s="1"/>
  <c r="G78"/>
  <c r="G77"/>
  <c r="G76"/>
  <c r="G75"/>
  <c r="G74"/>
  <c r="G73"/>
  <c r="G72"/>
  <c r="G71"/>
  <c r="G70"/>
  <c r="G69"/>
  <c r="G68"/>
  <c r="G67"/>
  <c r="G66"/>
  <c r="G65"/>
  <c r="G64"/>
  <c r="G63"/>
  <c r="G62"/>
  <c r="G61"/>
  <c r="G60"/>
  <c r="G59"/>
  <c r="G58"/>
  <c r="G57"/>
  <c r="G56"/>
  <c r="G55"/>
  <c r="G54"/>
  <c r="G53"/>
  <c r="G52"/>
  <c r="G51"/>
  <c r="G50"/>
  <c r="G49"/>
  <c r="G48"/>
  <c r="G47"/>
  <c r="G46"/>
  <c r="G79"/>
  <c r="G42"/>
  <c r="G41"/>
  <c r="G40"/>
  <c r="G39"/>
  <c r="G38"/>
  <c r="G37"/>
  <c r="G36"/>
  <c r="G35"/>
  <c r="G34"/>
  <c r="F29"/>
  <c r="F5" s="1"/>
  <c r="F28"/>
  <c r="F4" s="1"/>
  <c r="G24"/>
  <c r="G23"/>
  <c r="G22"/>
  <c r="G21"/>
  <c r="G20"/>
  <c r="G19"/>
  <c r="G18"/>
  <c r="G17"/>
  <c r="G16"/>
  <c r="F12"/>
  <c r="G12" s="1"/>
  <c r="C17" i="3"/>
  <c r="C18"/>
  <c r="C19"/>
  <c r="C16"/>
  <c r="B17"/>
  <c r="B18"/>
  <c r="B19"/>
  <c r="B16"/>
  <c r="B15"/>
  <c r="C15"/>
  <c r="H20"/>
  <c r="H21"/>
  <c r="H22"/>
  <c r="H23"/>
  <c r="H24"/>
  <c r="H25"/>
  <c r="H12"/>
  <c r="C14"/>
  <c r="B14"/>
  <c r="B20"/>
  <c r="B10"/>
  <c r="C20"/>
  <c r="C11"/>
  <c r="C12"/>
  <c r="C13"/>
  <c r="C10"/>
  <c r="B11"/>
  <c r="B12"/>
  <c r="B13"/>
  <c r="C7"/>
  <c r="C8"/>
  <c r="C9"/>
  <c r="C6"/>
  <c r="C2"/>
  <c r="B6"/>
  <c r="B7"/>
  <c r="B8"/>
  <c r="B9"/>
  <c r="B2"/>
  <c r="H3"/>
  <c r="H4"/>
  <c r="H5"/>
  <c r="H2"/>
  <c r="B3"/>
  <c r="C3"/>
  <c r="B4"/>
  <c r="C4"/>
  <c r="B5"/>
  <c r="C5"/>
  <c r="F30" i="5" l="1"/>
  <c r="G27" s="1"/>
  <c r="C50"/>
  <c r="B40"/>
  <c r="C40" s="1"/>
  <c r="C13"/>
  <c r="C10"/>
  <c r="G11"/>
  <c r="G19" i="6"/>
  <c r="D13"/>
  <c r="G12"/>
  <c r="G10"/>
  <c r="G11"/>
  <c r="G13"/>
  <c r="F2"/>
  <c r="G74"/>
  <c r="G71"/>
  <c r="G67"/>
  <c r="G63"/>
  <c r="G58"/>
  <c r="G54"/>
  <c r="G45"/>
  <c r="G39"/>
  <c r="G73"/>
  <c r="G70"/>
  <c r="G66"/>
  <c r="G61"/>
  <c r="G57"/>
  <c r="G53"/>
  <c r="G48"/>
  <c r="G44"/>
  <c r="G38"/>
  <c r="G72"/>
  <c r="G69"/>
  <c r="G65"/>
  <c r="G60"/>
  <c r="G56"/>
  <c r="G49"/>
  <c r="G47"/>
  <c r="G43"/>
  <c r="G75"/>
  <c r="G62"/>
  <c r="G68"/>
  <c r="G64"/>
  <c r="G59"/>
  <c r="G55"/>
  <c r="G46"/>
  <c r="G40"/>
  <c r="G31"/>
  <c r="G26"/>
  <c r="G22"/>
  <c r="G18"/>
  <c r="G33"/>
  <c r="G30"/>
  <c r="G25"/>
  <c r="G21"/>
  <c r="G17"/>
  <c r="G32"/>
  <c r="G29"/>
  <c r="G24"/>
  <c r="G20"/>
  <c r="G16"/>
  <c r="G27"/>
  <c r="G28"/>
  <c r="G23"/>
  <c r="F2" i="5"/>
  <c r="C47"/>
  <c r="G10"/>
  <c r="C46"/>
  <c r="C51"/>
  <c r="G28"/>
  <c r="G29"/>
  <c r="G30"/>
  <c r="C45"/>
  <c r="B34"/>
  <c r="C31" s="1"/>
  <c r="B80"/>
  <c r="C76" s="1"/>
  <c r="C12"/>
  <c r="C11"/>
  <c r="C52"/>
  <c r="C44"/>
  <c r="C49"/>
  <c r="C53"/>
  <c r="C48"/>
  <c r="C58" l="1"/>
  <c r="C75"/>
  <c r="C39"/>
  <c r="C26"/>
  <c r="C37"/>
  <c r="C28"/>
  <c r="C38"/>
  <c r="C69"/>
  <c r="C60"/>
  <c r="C59"/>
  <c r="C71"/>
  <c r="C78"/>
  <c r="C67"/>
  <c r="C79"/>
  <c r="C72"/>
  <c r="C63"/>
  <c r="C70"/>
  <c r="C17"/>
  <c r="C30"/>
  <c r="C19"/>
  <c r="C29"/>
  <c r="C66"/>
  <c r="C68"/>
  <c r="C77"/>
  <c r="C73"/>
  <c r="C62"/>
  <c r="C65"/>
  <c r="C64"/>
  <c r="C80"/>
  <c r="C61"/>
  <c r="C74"/>
  <c r="C56"/>
  <c r="C57"/>
  <c r="C23"/>
  <c r="C34"/>
  <c r="C25"/>
  <c r="C18"/>
  <c r="C24"/>
  <c r="C20"/>
  <c r="C33"/>
  <c r="C21"/>
  <c r="C27"/>
  <c r="C22"/>
  <c r="C16"/>
  <c r="H53" i="6"/>
  <c r="H16"/>
  <c r="C32" i="5"/>
</calcChain>
</file>

<file path=xl/comments1.xml><?xml version="1.0" encoding="utf-8"?>
<comments xmlns="http://schemas.openxmlformats.org/spreadsheetml/2006/main">
  <authors>
    <author>Patrick Yu</author>
  </authors>
  <commentList>
    <comment ref="E1" authorId="0">
      <text>
        <r>
          <rPr>
            <b/>
            <sz val="10"/>
            <color indexed="81"/>
            <rFont val="Tahoma"/>
            <family val="2"/>
          </rPr>
          <t>Department / Division affected.</t>
        </r>
      </text>
    </comment>
    <comment ref="AZ1" authorId="0">
      <text>
        <r>
          <rPr>
            <b/>
            <sz val="10"/>
            <color indexed="81"/>
            <rFont val="Tahoma"/>
            <family val="2"/>
          </rPr>
          <t xml:space="preserve">Close
Open
O+A=Open+Accepted
O+E=Open+Extension
A+W=answered and waiting
A+R=answered and rejected
</t>
        </r>
      </text>
    </comment>
  </commentList>
</comments>
</file>

<file path=xl/comments2.xml><?xml version="1.0" encoding="utf-8"?>
<comments xmlns="http://schemas.openxmlformats.org/spreadsheetml/2006/main">
  <authors>
    <author>Patrick Yu</author>
  </authors>
  <commentList>
    <comment ref="C1" authorId="0">
      <text>
        <r>
          <rPr>
            <b/>
            <sz val="10"/>
            <color indexed="81"/>
            <rFont val="Tahoma"/>
            <family val="2"/>
          </rPr>
          <t>Department / Division affected.</t>
        </r>
      </text>
    </comment>
    <comment ref="I1" authorId="0">
      <text>
        <r>
          <rPr>
            <b/>
            <sz val="10"/>
            <color indexed="81"/>
            <rFont val="Tahoma"/>
            <family val="2"/>
          </rPr>
          <t xml:space="preserve">Close
Open
O+A=Open+Accepted
O+E=Open+Extension
A+W=answered and waiting
A+R=answered and rejected
</t>
        </r>
      </text>
    </comment>
    <comment ref="P3" authorId="0">
      <text>
        <r>
          <rPr>
            <b/>
            <sz val="10"/>
            <color indexed="81"/>
            <rFont val="Tahoma"/>
            <family val="2"/>
          </rPr>
          <t>OPEN+ANSWER</t>
        </r>
      </text>
    </comment>
    <comment ref="P4" authorId="0">
      <text>
        <r>
          <rPr>
            <b/>
            <sz val="10"/>
            <color indexed="81"/>
            <rFont val="Tahoma"/>
            <family val="2"/>
          </rPr>
          <t>O+E=Open+Extension</t>
        </r>
      </text>
    </comment>
    <comment ref="P5" authorId="0">
      <text>
        <r>
          <rPr>
            <b/>
            <sz val="10"/>
            <color indexed="81"/>
            <rFont val="Tahoma"/>
            <family val="2"/>
          </rPr>
          <t>Answered+Rejected</t>
        </r>
      </text>
    </comment>
  </commentList>
</comments>
</file>

<file path=xl/sharedStrings.xml><?xml version="1.0" encoding="utf-8"?>
<sst xmlns="http://schemas.openxmlformats.org/spreadsheetml/2006/main" count="1297" uniqueCount="655">
  <si>
    <t>Closed</t>
  </si>
  <si>
    <t>CAR No.</t>
  </si>
  <si>
    <t>Issue date</t>
  </si>
  <si>
    <t>Due date</t>
  </si>
  <si>
    <t>Days Left</t>
  </si>
  <si>
    <t>Status</t>
  </si>
  <si>
    <t>Finding Level</t>
  </si>
  <si>
    <t>Level 1</t>
  </si>
  <si>
    <t>Level 2</t>
  </si>
  <si>
    <t>Level 3</t>
  </si>
  <si>
    <t>Open</t>
  </si>
  <si>
    <t>Reg. No.</t>
  </si>
  <si>
    <t>Note</t>
  </si>
  <si>
    <t>N/A</t>
  </si>
  <si>
    <t>MODEL</t>
    <phoneticPr fontId="1" type="noConversion"/>
  </si>
  <si>
    <t>REG. No.</t>
    <phoneticPr fontId="1" type="noConversion"/>
  </si>
  <si>
    <t>B-MAK</t>
    <phoneticPr fontId="1" type="noConversion"/>
  </si>
  <si>
    <t>B-MAL</t>
    <phoneticPr fontId="1" type="noConversion"/>
  </si>
  <si>
    <t>B-MAM</t>
    <phoneticPr fontId="1" type="noConversion"/>
  </si>
  <si>
    <t>B-MAN</t>
    <phoneticPr fontId="1" type="noConversion"/>
  </si>
  <si>
    <t>B-MAO</t>
    <phoneticPr fontId="1" type="noConversion"/>
  </si>
  <si>
    <t>B-MAH</t>
    <phoneticPr fontId="1" type="noConversion"/>
  </si>
  <si>
    <t>A319-132</t>
    <phoneticPr fontId="1" type="noConversion"/>
  </si>
  <si>
    <t>A320-232</t>
    <phoneticPr fontId="1" type="noConversion"/>
  </si>
  <si>
    <t>QD</t>
  </si>
  <si>
    <t>ED</t>
  </si>
  <si>
    <t>PPC</t>
  </si>
  <si>
    <t>AMD</t>
  </si>
  <si>
    <t>MCC</t>
  </si>
  <si>
    <t>A320</t>
  </si>
  <si>
    <t>A300</t>
  </si>
  <si>
    <t>MR</t>
  </si>
  <si>
    <t>Division/Station</t>
  </si>
  <si>
    <t>Div/Sta. Affec.</t>
  </si>
  <si>
    <t>Description</t>
  </si>
  <si>
    <t>O+E</t>
  </si>
  <si>
    <t>O+A</t>
  </si>
  <si>
    <t>Audit Title
/Follow up</t>
  </si>
  <si>
    <t>Clarification</t>
  </si>
  <si>
    <t>CRS</t>
  </si>
  <si>
    <t>Maintenance Data</t>
  </si>
  <si>
    <t>Training Records</t>
  </si>
  <si>
    <t>Maintenance Records</t>
  </si>
  <si>
    <t>Marking</t>
  </si>
  <si>
    <t>Repair approval</t>
  </si>
  <si>
    <t>Remedial action</t>
  </si>
  <si>
    <t>Feedback System</t>
  </si>
  <si>
    <t>O+R</t>
  </si>
  <si>
    <t>Letter Number</t>
    <phoneticPr fontId="9" type="noConversion"/>
  </si>
  <si>
    <t>Action2</t>
    <phoneticPr fontId="9" type="noConversion"/>
  </si>
  <si>
    <t>Action</t>
    <phoneticPr fontId="9" type="noConversion"/>
  </si>
  <si>
    <t>Answered</t>
    <phoneticPr fontId="9" type="noConversion"/>
  </si>
  <si>
    <t>Extention</t>
    <phoneticPr fontId="9" type="noConversion"/>
  </si>
  <si>
    <t>Rejected</t>
    <phoneticPr fontId="9" type="noConversion"/>
  </si>
  <si>
    <t>Evidence</t>
    <phoneticPr fontId="9" type="noConversion"/>
  </si>
  <si>
    <t>Closed</t>
    <phoneticPr fontId="9" type="noConversion"/>
  </si>
  <si>
    <t>Waiting for action</t>
    <phoneticPr fontId="9" type="noConversion"/>
  </si>
  <si>
    <t>SN</t>
    <phoneticPr fontId="9" type="noConversion"/>
  </si>
  <si>
    <t>Final-Days Left</t>
    <phoneticPr fontId="9" type="noConversion"/>
  </si>
  <si>
    <t>N/A</t>
    <phoneticPr fontId="9" type="noConversion"/>
  </si>
  <si>
    <t>Corrective Action-Proposed</t>
    <phoneticPr fontId="9" type="noConversion"/>
  </si>
  <si>
    <t>Preventive Action-Proposed</t>
    <phoneticPr fontId="9" type="noConversion"/>
  </si>
  <si>
    <t>0140/DFSL/10</t>
  </si>
  <si>
    <t>Evidence</t>
  </si>
  <si>
    <t>Waiting for action</t>
  </si>
  <si>
    <t>Letter Number</t>
  </si>
  <si>
    <t>Newest Follow-up</t>
  </si>
  <si>
    <t>Level</t>
  </si>
  <si>
    <t>Final-Due
date</t>
  </si>
  <si>
    <t>Final-Issue
date</t>
  </si>
  <si>
    <t>Final-Letter
Number</t>
  </si>
  <si>
    <t>To revise MEPM L 2.4.1 paragraph 14 to read that" ...... across the MAR 145.50 and; write the JMM number and the origin LAA approval Certificate number. " to meet the JMM requirement.</t>
  </si>
  <si>
    <t>To revise MEPM L 2.4.1 paragraph 14 to read that" ...... across the MAR 145.50 and. write the JMM number and the origin LAA approval Certificate number. " to meet the JMM requirement. Notify relevant LM service Providers to follow the new procedures.</t>
  </si>
  <si>
    <t>The MEL TR No.-2S/0 lA issue 01 has been issued and under approval. it will be inserted into MEL for reference. also, Alert to add UPK was accomplished. therefore. TN A320-00303 Rev. 01 is unnecessary to be sent out to Out Stations.</t>
  </si>
  <si>
    <t>The TN master control list will be provided to Out Stations for their information whenever there is a TN relate to Out Stations.</t>
  </si>
  <si>
    <t>To check the AMASIS database and if found the material is still within shelf life limit. To reissue Material Sticker for the mentioned AeroShell Grease 7 and Skydrol LD4 individual container.</t>
  </si>
  <si>
    <t>1. Request QCls to strictly follow the MEPM procedure 2.2.1 &amp; 2.2.2 to ensure Material Sticker are issued and attached to relevant materials at individual container basis.
2. To revise MEPM procedure 2.3.2 to request LM Technicians to report any loss of sticker promptly to Material Recourses who will check the AMASIS database and if found the matetial is still within shelf life limit, to inform QCI to reissue the sticker.</t>
  </si>
  <si>
    <t>Answered</t>
  </si>
  <si>
    <t>Waiting for AACM answer</t>
  </si>
  <si>
    <t>QD/AAC/11-022</t>
  </si>
  <si>
    <t>Material Resource on-site representative was requested to search for proper container in local for keeping the type of DG material.</t>
  </si>
  <si>
    <t>The relevant staff was notified about this issue and called back from PEK to MFM for renew training on 20-Jan-20 11.</t>
  </si>
  <si>
    <t>email from stephen</t>
  </si>
  <si>
    <t>acceptable</t>
  </si>
  <si>
    <t>Answer to AACM</t>
  </si>
  <si>
    <t>Training</t>
  </si>
  <si>
    <t>Procedure Manual for Base Maintenance</t>
  </si>
  <si>
    <t>0691/DFSL/11</t>
  </si>
  <si>
    <t>LetterDate</t>
  </si>
  <si>
    <t>Leter No.</t>
  </si>
  <si>
    <t>Result1</t>
  </si>
  <si>
    <t>Result2</t>
  </si>
  <si>
    <t>Result3</t>
  </si>
  <si>
    <t>Result4</t>
  </si>
  <si>
    <t>Result5</t>
  </si>
  <si>
    <t>result</t>
  </si>
  <si>
    <t>status</t>
  </si>
  <si>
    <t>Corrective Action</t>
  </si>
  <si>
    <t>Preventive Action</t>
  </si>
  <si>
    <t>FO</t>
  </si>
  <si>
    <t>Finding</t>
  </si>
  <si>
    <t>Result
(before close)</t>
  </si>
  <si>
    <t>145 Phase II</t>
    <phoneticPr fontId="9" type="noConversion"/>
  </si>
  <si>
    <t>Area Concerned</t>
  </si>
  <si>
    <t>Home/Out</t>
    <phoneticPr fontId="9" type="noConversion"/>
  </si>
  <si>
    <t>AD Control</t>
  </si>
  <si>
    <t>Location</t>
    <phoneticPr fontId="9" type="noConversion"/>
  </si>
  <si>
    <t>Aircraft equipment</t>
  </si>
  <si>
    <t>Approved documenttation</t>
  </si>
  <si>
    <t>Approved parts &amp;Materials</t>
  </si>
  <si>
    <t>C-check document</t>
  </si>
  <si>
    <t>Certification of maintenance</t>
  </si>
  <si>
    <t>Check process control</t>
  </si>
  <si>
    <t>Defect control procedure</t>
  </si>
  <si>
    <t>Document completion</t>
  </si>
  <si>
    <t>Duties and responsibilities</t>
  </si>
  <si>
    <t>Emergency equipment</t>
  </si>
  <si>
    <t>Feedback system</t>
  </si>
  <si>
    <t>Interface procedure</t>
  </si>
  <si>
    <t>List of Approved Facility</t>
  </si>
  <si>
    <t>Maintenance program</t>
  </si>
  <si>
    <t>NDT</t>
  </si>
  <si>
    <t>Notification of changes to procedure</t>
  </si>
  <si>
    <t>Occurrence report</t>
  </si>
  <si>
    <t>Orgnization mornitor</t>
  </si>
  <si>
    <t>Parts segregation</t>
  </si>
  <si>
    <t>Qualification of Staff</t>
  </si>
  <si>
    <t>Radio equipment</t>
  </si>
  <si>
    <t>Structural repair</t>
  </si>
  <si>
    <t>Tool and equipment</t>
  </si>
  <si>
    <t>Work package</t>
  </si>
  <si>
    <t>Area Concerned</t>
    <phoneticPr fontId="9" type="noConversion"/>
  </si>
  <si>
    <t>Implemention of AC</t>
  </si>
  <si>
    <t>Implemention of AC</t>
    <phoneticPr fontId="9" type="noConversion"/>
  </si>
  <si>
    <t>Store</t>
    <phoneticPr fontId="9" type="noConversion"/>
  </si>
  <si>
    <t>ED</t>
    <phoneticPr fontId="1" type="noConversion"/>
  </si>
  <si>
    <t>PPC</t>
    <phoneticPr fontId="1" type="noConversion"/>
  </si>
  <si>
    <t>AMD</t>
    <phoneticPr fontId="1" type="noConversion"/>
  </si>
  <si>
    <t>MCC</t>
    <phoneticPr fontId="1" type="noConversion"/>
  </si>
  <si>
    <t>Home/Out Station/Base Maint.</t>
    <phoneticPr fontId="9" type="noConversion"/>
  </si>
  <si>
    <t>Home Base</t>
    <phoneticPr fontId="9" type="noConversion"/>
  </si>
  <si>
    <t>Out Station</t>
    <phoneticPr fontId="9" type="noConversion"/>
  </si>
  <si>
    <t>Base Maintenance</t>
    <phoneticPr fontId="9" type="noConversion"/>
  </si>
  <si>
    <t>Year</t>
    <phoneticPr fontId="9" type="noConversion"/>
  </si>
  <si>
    <t>AACM Audit Titles</t>
    <phoneticPr fontId="9" type="noConversion"/>
  </si>
  <si>
    <t>Total</t>
    <phoneticPr fontId="9" type="noConversion"/>
  </si>
  <si>
    <t>Div/Sta. Affec.</t>
    <phoneticPr fontId="9" type="noConversion"/>
  </si>
  <si>
    <t>Area Concerned</t>
    <phoneticPr fontId="9" type="noConversion"/>
  </si>
  <si>
    <t>Finding Level</t>
    <phoneticPr fontId="9" type="noConversion"/>
  </si>
  <si>
    <t>Area Concerned</t>
    <phoneticPr fontId="9" type="noConversion"/>
  </si>
  <si>
    <t>Total</t>
    <phoneticPr fontId="9" type="noConversion"/>
  </si>
  <si>
    <t>AD Control</t>
    <phoneticPr fontId="9" type="noConversion"/>
  </si>
  <si>
    <t>Certification of maintenance</t>
    <phoneticPr fontId="9" type="noConversion"/>
  </si>
  <si>
    <t>Duties and responsibilities</t>
    <phoneticPr fontId="9" type="noConversion"/>
  </si>
  <si>
    <t>Goods Inspection-Labelling &amp; Tagging</t>
    <phoneticPr fontId="9" type="noConversion"/>
  </si>
  <si>
    <t>Maintenance Data</t>
    <phoneticPr fontId="9" type="noConversion"/>
  </si>
  <si>
    <t>Maintenance Records</t>
    <phoneticPr fontId="9" type="noConversion"/>
  </si>
  <si>
    <t>Orgnization mornitor</t>
    <phoneticPr fontId="9" type="noConversion"/>
  </si>
  <si>
    <t>Personnel Quantity</t>
    <phoneticPr fontId="9" type="noConversion"/>
  </si>
  <si>
    <t>Qualification of Staff</t>
    <phoneticPr fontId="9" type="noConversion"/>
  </si>
  <si>
    <t>Quality system</t>
    <phoneticPr fontId="9" type="noConversion"/>
  </si>
  <si>
    <t>Tool and equipment</t>
    <phoneticPr fontId="9" type="noConversion"/>
  </si>
  <si>
    <t>Work package</t>
    <phoneticPr fontId="9" type="noConversion"/>
  </si>
  <si>
    <t>Certification of registration</t>
    <phoneticPr fontId="9" type="noConversion"/>
  </si>
  <si>
    <t>Number of CARs</t>
  </si>
  <si>
    <t>ED(+PPC)</t>
    <phoneticPr fontId="9" type="noConversion"/>
  </si>
  <si>
    <t>Base Maintenance</t>
    <phoneticPr fontId="9" type="noConversion"/>
  </si>
  <si>
    <t>Outstation</t>
    <phoneticPr fontId="9" type="noConversion"/>
  </si>
  <si>
    <t>Total findings</t>
  </si>
  <si>
    <t>Percent</t>
  </si>
  <si>
    <t>Homebase</t>
  </si>
  <si>
    <t>Base Maintenance+outstation</t>
    <phoneticPr fontId="9" type="noConversion"/>
  </si>
  <si>
    <t>C check</t>
  </si>
  <si>
    <t>C of A Renewal</t>
  </si>
  <si>
    <t>CMP Annual Revision</t>
    <phoneticPr fontId="9" type="noConversion"/>
  </si>
  <si>
    <t>AOC&amp;MAR</t>
  </si>
  <si>
    <t>ASL Renewal</t>
  </si>
  <si>
    <t>Ramp inspection</t>
  </si>
  <si>
    <t>Station</t>
  </si>
  <si>
    <t>Unannounced Audit</t>
  </si>
  <si>
    <t>Personnel Competency</t>
  </si>
  <si>
    <t>Home/Out Station/Base Maint.</t>
    <phoneticPr fontId="9" type="noConversion"/>
  </si>
  <si>
    <t>Percentage</t>
    <phoneticPr fontId="9" type="noConversion"/>
  </si>
  <si>
    <t>Audit Title</t>
    <phoneticPr fontId="9" type="noConversion"/>
  </si>
  <si>
    <t>Level</t>
    <phoneticPr fontId="9" type="noConversion"/>
  </si>
  <si>
    <t>Number of Level</t>
    <phoneticPr fontId="9" type="noConversion"/>
  </si>
  <si>
    <t>Homebase/Outstation</t>
    <phoneticPr fontId="9" type="noConversion"/>
  </si>
  <si>
    <t>Division/station affected</t>
    <phoneticPr fontId="9" type="noConversion"/>
  </si>
  <si>
    <t>Jan~Dec</t>
    <phoneticPr fontId="9" type="noConversion"/>
  </si>
  <si>
    <t>Beijing Station Audit</t>
    <phoneticPr fontId="9" type="noConversion"/>
  </si>
  <si>
    <t>145 Phase I</t>
    <phoneticPr fontId="9" type="noConversion"/>
  </si>
  <si>
    <t>6C follow up audit</t>
    <phoneticPr fontId="9" type="noConversion"/>
  </si>
  <si>
    <t>KWL Station Audit</t>
    <phoneticPr fontId="9" type="noConversion"/>
  </si>
  <si>
    <t>C Check in STARCO</t>
    <phoneticPr fontId="9" type="noConversion"/>
  </si>
  <si>
    <t>C of A renew</t>
    <phoneticPr fontId="9" type="noConversion"/>
  </si>
  <si>
    <t>NGB Station Audit</t>
    <phoneticPr fontId="9" type="noConversion"/>
  </si>
  <si>
    <t>Level 1</t>
    <phoneticPr fontId="9" type="noConversion"/>
  </si>
  <si>
    <t>CAR</t>
    <phoneticPr fontId="9" type="noConversion"/>
  </si>
  <si>
    <t>Level</t>
    <phoneticPr fontId="9" type="noConversion"/>
  </si>
  <si>
    <t>Number of Level</t>
    <phoneticPr fontId="9" type="noConversion"/>
  </si>
  <si>
    <t>Percent</t>
    <phoneticPr fontId="9" type="noConversion"/>
  </si>
  <si>
    <t>Division/station affected</t>
    <phoneticPr fontId="9" type="noConversion"/>
  </si>
  <si>
    <t>AACM Audit Titles</t>
    <phoneticPr fontId="9" type="noConversion"/>
  </si>
  <si>
    <t>QA Manpower</t>
    <phoneticPr fontId="9" type="noConversion"/>
  </si>
  <si>
    <t>Ground Handling equipment</t>
  </si>
  <si>
    <t>Regulation Compliance</t>
  </si>
  <si>
    <t>Jan~Dec</t>
  </si>
  <si>
    <t>Taipei Station Audit</t>
  </si>
  <si>
    <t>MR Unannounced Audit</t>
  </si>
  <si>
    <t>BKK Station Audit</t>
  </si>
  <si>
    <t>B-MAR 12C Audit</t>
  </si>
  <si>
    <t>SHA Intl' Airport Audit</t>
  </si>
  <si>
    <t>AOC &amp; 145 Phase III</t>
  </si>
  <si>
    <t>B-MAS CoA Renewal</t>
  </si>
  <si>
    <t>B-MAF CoA Renewal</t>
  </si>
  <si>
    <t>He Fei Station Audit</t>
  </si>
  <si>
    <t>Flight Test Programme</t>
  </si>
  <si>
    <t>Year</t>
  </si>
  <si>
    <t>CAMB station Aduit</t>
    <phoneticPr fontId="9" type="noConversion"/>
  </si>
  <si>
    <t>MAR145 follow up</t>
    <phoneticPr fontId="9" type="noConversion"/>
  </si>
  <si>
    <t>B-MAL Cabin Mod</t>
    <phoneticPr fontId="9" type="noConversion"/>
  </si>
  <si>
    <t>TYN station Audit</t>
    <phoneticPr fontId="9" type="noConversion"/>
  </si>
  <si>
    <t>B-MAB CoA Renewl Audit</t>
    <phoneticPr fontId="9" type="noConversion"/>
  </si>
  <si>
    <t>B-MAB C-CHK Audit</t>
    <phoneticPr fontId="9" type="noConversion"/>
  </si>
  <si>
    <t>B-MAK CoA Renewal Audit</t>
    <phoneticPr fontId="9" type="noConversion"/>
  </si>
  <si>
    <t>B-MAO CoA Renewal Audit</t>
    <phoneticPr fontId="9" type="noConversion"/>
  </si>
  <si>
    <t>MEL</t>
  </si>
  <si>
    <t>NRT Tire</t>
    <phoneticPr fontId="9" type="noConversion"/>
  </si>
  <si>
    <t>Unannounced Audit</t>
    <phoneticPr fontId="9" type="noConversion"/>
  </si>
  <si>
    <t>Life Limited Components Control</t>
    <phoneticPr fontId="9" type="noConversion"/>
  </si>
  <si>
    <t>CPA F/U</t>
    <phoneticPr fontId="9" type="noConversion"/>
  </si>
  <si>
    <t>B-MAL Loosen &amp; Empty O2 Cylinder</t>
    <phoneticPr fontId="9" type="noConversion"/>
  </si>
  <si>
    <t>AOC Audit</t>
    <phoneticPr fontId="9" type="noConversion"/>
  </si>
  <si>
    <t>KHH Station Audit</t>
    <phoneticPr fontId="9" type="noConversion"/>
  </si>
  <si>
    <t>SMS</t>
    <phoneticPr fontId="9" type="noConversion"/>
  </si>
  <si>
    <t>SHA STARCO Audit</t>
    <phoneticPr fontId="9" type="noConversion"/>
  </si>
  <si>
    <t>Time Control Item</t>
    <phoneticPr fontId="9" type="noConversion"/>
  </si>
  <si>
    <t>Task Card Preparation</t>
    <phoneticPr fontId="9" type="noConversion"/>
  </si>
  <si>
    <t>Issuance of NRC</t>
    <phoneticPr fontId="9" type="noConversion"/>
  </si>
  <si>
    <t>Result6</t>
    <phoneticPr fontId="9" type="noConversion"/>
  </si>
  <si>
    <t>Result7</t>
    <phoneticPr fontId="9" type="noConversion"/>
  </si>
  <si>
    <t>Result8</t>
    <phoneticPr fontId="9" type="noConversion"/>
  </si>
  <si>
    <t>Result9</t>
    <phoneticPr fontId="9" type="noConversion"/>
  </si>
  <si>
    <t>Result10</t>
    <phoneticPr fontId="9" type="noConversion"/>
  </si>
  <si>
    <t>Result11</t>
    <phoneticPr fontId="9" type="noConversion"/>
  </si>
  <si>
    <t>Certifying Staff</t>
    <phoneticPr fontId="9" type="noConversion"/>
  </si>
  <si>
    <t>B-MAN 7C-CHK</t>
    <phoneticPr fontId="9" type="noConversion"/>
  </si>
  <si>
    <t>Year 2011 Monthly Average</t>
    <phoneticPr fontId="9" type="noConversion"/>
  </si>
  <si>
    <t>Year 2010 Monthly Average</t>
    <phoneticPr fontId="9" type="noConversion"/>
  </si>
  <si>
    <t>Year 2012 Monthly Average</t>
    <phoneticPr fontId="9" type="noConversion"/>
  </si>
  <si>
    <t>145 Phase I</t>
    <phoneticPr fontId="9" type="noConversion"/>
  </si>
  <si>
    <t>145 Phase II</t>
    <phoneticPr fontId="9" type="noConversion"/>
  </si>
  <si>
    <t>Maintenance Task Revision Approval</t>
    <phoneticPr fontId="17" type="noConversion"/>
  </si>
  <si>
    <t>Out Station</t>
    <phoneticPr fontId="9" type="noConversion"/>
  </si>
  <si>
    <t>Level</t>
    <phoneticPr fontId="9" type="noConversion"/>
  </si>
  <si>
    <t>Number of Level</t>
    <phoneticPr fontId="9" type="noConversion"/>
  </si>
  <si>
    <t>B-MAM 7C-CHK</t>
    <phoneticPr fontId="9" type="noConversion"/>
  </si>
  <si>
    <t>Analysis:</t>
    <phoneticPr fontId="17" type="noConversion"/>
  </si>
  <si>
    <t>&lt;1&gt;</t>
    <phoneticPr fontId="17" type="noConversion"/>
  </si>
  <si>
    <t>&lt;2&gt;</t>
  </si>
  <si>
    <t xml:space="preserve">Total findings decrease from 57 (year 2011) to 49 (year 2012), 14.04% less. Numbers of Home base findings remain the same; numbers of Out stations decrease 42.31%, numbers of Base maint. decrease 33.33%. </t>
    <phoneticPr fontId="17" type="noConversion"/>
  </si>
  <si>
    <t>&lt;3&gt;</t>
  </si>
  <si>
    <t>Audit with mutiple findings decrease from 89.47% (year 2011) to 85.71% (year 2012).</t>
    <phoneticPr fontId="17" type="noConversion"/>
  </si>
  <si>
    <t>No Level 1 finding as previous year. Numbers of Level 2 findings decrease from 91.23% (year 2011) to 75.51% (year 2012).</t>
    <phoneticPr fontId="17" type="noConversion"/>
  </si>
  <si>
    <t>&lt;4&gt;</t>
  </si>
  <si>
    <t>Numbers of Out station &amp; QD finding decrease, ED, AMD &amp; MR increase.</t>
    <phoneticPr fontId="17" type="noConversion"/>
  </si>
  <si>
    <t>&lt;5&gt;</t>
  </si>
  <si>
    <t>Findings of Maint. Data, Maint. Record &amp; CRS are still top 3 of concerned areas, but total numbers decrease.</t>
    <phoneticPr fontId="17" type="noConversion"/>
  </si>
  <si>
    <t>Solution:</t>
    <phoneticPr fontId="17" type="noConversion"/>
  </si>
  <si>
    <t>Summary:</t>
    <phoneticPr fontId="17" type="noConversion"/>
  </si>
  <si>
    <t>Continue to push forward the implementation of preventive actions.</t>
    <phoneticPr fontId="17" type="noConversion"/>
  </si>
  <si>
    <t>Tool and equipment</t>
    <phoneticPr fontId="17" type="noConversion"/>
  </si>
  <si>
    <t>CRS</t>
    <phoneticPr fontId="17" type="noConversion"/>
  </si>
  <si>
    <t>Personal Requirements</t>
    <phoneticPr fontId="17" type="noConversion"/>
  </si>
  <si>
    <t>Quality system</t>
    <phoneticPr fontId="17" type="noConversion"/>
  </si>
  <si>
    <t>Store</t>
    <phoneticPr fontId="17" type="noConversion"/>
  </si>
  <si>
    <t>Work package</t>
    <phoneticPr fontId="17" type="noConversion"/>
  </si>
  <si>
    <t>Production Planning</t>
    <phoneticPr fontId="9" type="noConversion"/>
  </si>
  <si>
    <t>Maintenance Records</t>
    <phoneticPr fontId="17" type="noConversion"/>
  </si>
  <si>
    <t>AD Control</t>
    <phoneticPr fontId="17" type="noConversion"/>
  </si>
  <si>
    <t>Duties and responsibilities</t>
    <phoneticPr fontId="17" type="noConversion"/>
  </si>
  <si>
    <t>Working performance of ENM is better than the last year.</t>
    <phoneticPr fontId="17" type="noConversion"/>
  </si>
  <si>
    <t>Approved documentation</t>
    <phoneticPr fontId="17" type="noConversion"/>
  </si>
  <si>
    <t>Division/station affected</t>
    <phoneticPr fontId="9" type="noConversion"/>
  </si>
  <si>
    <t>Percentage</t>
    <phoneticPr fontId="17" type="noConversion"/>
  </si>
  <si>
    <t>Percentage</t>
    <phoneticPr fontId="17" type="noConversion"/>
  </si>
  <si>
    <t>as of 19 Dec 2012</t>
    <phoneticPr fontId="17" type="noConversion"/>
  </si>
  <si>
    <t>Aircraft Components</t>
    <phoneticPr fontId="9" type="noConversion"/>
  </si>
  <si>
    <t>Lease Return Check Audit</t>
    <phoneticPr fontId="9" type="noConversion"/>
  </si>
  <si>
    <t>ED</t>
    <phoneticPr fontId="9" type="noConversion"/>
  </si>
  <si>
    <t>B-MAR</t>
    <phoneticPr fontId="9" type="noConversion"/>
  </si>
  <si>
    <t>0235/DFSL/13</t>
    <phoneticPr fontId="9" type="noConversion"/>
  </si>
  <si>
    <t>CEO/016/13</t>
    <phoneticPr fontId="9" type="noConversion"/>
  </si>
  <si>
    <t>Answered</t>
    <phoneticPr fontId="9" type="noConversion"/>
  </si>
  <si>
    <t>N/A</t>
    <phoneticPr fontId="9" type="noConversion"/>
  </si>
  <si>
    <t>0367/DFSL/13</t>
    <phoneticPr fontId="9" type="noConversion"/>
  </si>
  <si>
    <t>Acceptable &amp; Closed</t>
    <phoneticPr fontId="9" type="noConversion"/>
  </si>
  <si>
    <t>0367/DFSL/13</t>
    <phoneticPr fontId="9" type="noConversion"/>
  </si>
  <si>
    <t>Closed</t>
    <phoneticPr fontId="9" type="noConversion"/>
  </si>
  <si>
    <t>B-MAQ CoA Renewal</t>
    <phoneticPr fontId="9" type="noConversion"/>
  </si>
  <si>
    <t>ED</t>
    <phoneticPr fontId="9" type="noConversion"/>
  </si>
  <si>
    <t>B-MAQ</t>
    <phoneticPr fontId="9" type="noConversion"/>
  </si>
  <si>
    <t>0439/DFSL/13</t>
    <phoneticPr fontId="9" type="noConversion"/>
  </si>
  <si>
    <t>Open</t>
    <phoneticPr fontId="9" type="noConversion"/>
  </si>
  <si>
    <t>CAMB</t>
    <phoneticPr fontId="9" type="noConversion"/>
  </si>
  <si>
    <t>AMU Office</t>
    <phoneticPr fontId="9" type="noConversion"/>
  </si>
  <si>
    <t>Audit No.</t>
    <phoneticPr fontId="9" type="noConversion"/>
  </si>
  <si>
    <t>Findings</t>
    <phoneticPr fontId="9" type="noConversion"/>
  </si>
  <si>
    <t>Maintenance Data</t>
    <phoneticPr fontId="9" type="noConversion"/>
  </si>
  <si>
    <t>The subject discrepancies on task card were evaluated by Engineering &amp; Quality Division.
1. Item 1: “DI” noted in “Insp” column is for Air Macau internal use. MCC Engineer manually changes all “DI” to “RII” when task cards will be delivered to contract maintenance organization. According to revised MEPM (Rev 19) chap. 2.10.2, all task cards in a C Check Pack will be checked by QCI before delivery. CAMB has provided the actual in use task cards which are correct. 
(Attachment #1)
2. Item 2, 3, 4 and 5: Responsible engineer will review Airbus MPD and revised relevant task card before 28 Apr, 2013.</t>
    <phoneticPr fontId="9" type="noConversion"/>
  </si>
  <si>
    <r>
      <t>1. Quality Notice QN/13/001 has been issued to all responsible personnel to prevent similar issue from happen when generating new task card &amp; to enhance C</t>
    </r>
    <r>
      <rPr>
        <sz val="8"/>
        <rFont val="FZShuTi"/>
        <family val="3"/>
        <charset val="134"/>
      </rPr>
      <t>‐</t>
    </r>
    <r>
      <rPr>
        <sz val="8"/>
        <rFont val="Arial"/>
        <family val="2"/>
      </rPr>
      <t>Check Pack review. (Attachment #2)
2. Engineering Division will review all exist task cards and correct similar discrepancies before the end of 2013.</t>
    </r>
    <phoneticPr fontId="9" type="noConversion"/>
  </si>
  <si>
    <t>QD/AAC/13-042</t>
    <phoneticPr fontId="9" type="noConversion"/>
  </si>
  <si>
    <t>Answered</t>
    <phoneticPr fontId="9" type="noConversion"/>
  </si>
  <si>
    <t>ZN-WHC-2013006-1</t>
    <phoneticPr fontId="9" type="noConversion"/>
  </si>
  <si>
    <t>ZN-WHC-2013006-3</t>
    <phoneticPr fontId="9" type="noConversion"/>
  </si>
  <si>
    <t>CAAC CAR-129 Audit in SHE</t>
    <phoneticPr fontId="9" type="noConversion"/>
  </si>
  <si>
    <t>QD</t>
    <phoneticPr fontId="9" type="noConversion"/>
  </si>
  <si>
    <t>Out Station</t>
    <phoneticPr fontId="9" type="noConversion"/>
  </si>
  <si>
    <t>Base Maintenance</t>
    <phoneticPr fontId="9" type="noConversion"/>
  </si>
  <si>
    <t>Home Base</t>
    <phoneticPr fontId="9" type="noConversion"/>
  </si>
  <si>
    <t>Training</t>
    <phoneticPr fontId="9" type="noConversion"/>
  </si>
  <si>
    <t>Maintenance Data</t>
    <phoneticPr fontId="9" type="noConversion"/>
  </si>
  <si>
    <t>SHE</t>
    <phoneticPr fontId="9" type="noConversion"/>
  </si>
  <si>
    <t>N/A</t>
    <phoneticPr fontId="9" type="noConversion"/>
  </si>
  <si>
    <r>
      <rPr>
        <sz val="8"/>
        <rFont val="宋体"/>
        <family val="2"/>
        <scheme val="minor"/>
      </rPr>
      <t>除/防冰培训记录上没有教员签名（CAAC补充：MEPM培训记录上也没有教员签名）。</t>
    </r>
    <r>
      <rPr>
        <sz val="8"/>
        <rFont val="FZShuTi"/>
        <family val="3"/>
        <charset val="134"/>
      </rPr>
      <t xml:space="preserve">
</t>
    </r>
    <r>
      <rPr>
        <sz val="8"/>
        <rFont val="Arial"/>
        <family val="2"/>
      </rPr>
      <t>The instructor signature for De/Anti-icing training record is blanked (same case with MEPM training).</t>
    </r>
    <phoneticPr fontId="9" type="noConversion"/>
  </si>
  <si>
    <r>
      <rPr>
        <sz val="8"/>
        <rFont val="宋体"/>
        <family val="2"/>
        <scheme val="minor"/>
      </rPr>
      <t>手册分发记录不完整，如没有MEPM手册的分发记录，以及没有记录分发手册的版本号。</t>
    </r>
    <r>
      <rPr>
        <sz val="8"/>
        <rFont val="FZShuTi"/>
        <family val="3"/>
        <charset val="134"/>
      </rPr>
      <t xml:space="preserve">
</t>
    </r>
    <r>
      <rPr>
        <sz val="8"/>
        <rFont val="Arial"/>
        <family val="2"/>
      </rPr>
      <t>There is no distribution record for MEPM. There is no revision record for all documents in the distribution list.
ENM - There is no distribution record for MEPM.</t>
    </r>
    <phoneticPr fontId="9" type="noConversion"/>
  </si>
  <si>
    <t>A44/13-1/5</t>
    <phoneticPr fontId="9" type="noConversion"/>
  </si>
  <si>
    <t>0629/DFSL/13</t>
    <phoneticPr fontId="9" type="noConversion"/>
  </si>
  <si>
    <t>A/44/13-2/5</t>
    <phoneticPr fontId="9" type="noConversion"/>
  </si>
  <si>
    <t>A/44/13-3/5</t>
    <phoneticPr fontId="9" type="noConversion"/>
  </si>
  <si>
    <t>A/44/13-4/5</t>
    <phoneticPr fontId="9" type="noConversion"/>
  </si>
  <si>
    <t>A/44/13-5/5</t>
    <phoneticPr fontId="9" type="noConversion"/>
  </si>
  <si>
    <t>AACM MAR 145 Phase III</t>
    <phoneticPr fontId="9" type="noConversion"/>
  </si>
  <si>
    <t>CAMB</t>
    <phoneticPr fontId="9" type="noConversion"/>
  </si>
  <si>
    <t>ED</t>
    <phoneticPr fontId="9" type="noConversion"/>
  </si>
  <si>
    <t>Base Maintenance</t>
    <phoneticPr fontId="9" type="noConversion"/>
  </si>
  <si>
    <t>Home Base</t>
    <phoneticPr fontId="9" type="noConversion"/>
  </si>
  <si>
    <t>Work Package</t>
    <phoneticPr fontId="9" type="noConversion"/>
  </si>
  <si>
    <t>Maintenance Data</t>
    <phoneticPr fontId="9" type="noConversion"/>
  </si>
  <si>
    <t>Maintenance Records</t>
    <phoneticPr fontId="9" type="noConversion"/>
  </si>
  <si>
    <t>ENM Office</t>
    <phoneticPr fontId="9" type="noConversion"/>
  </si>
  <si>
    <t>Liu email to Bonnie</t>
    <phoneticPr fontId="9" type="noConversion"/>
  </si>
  <si>
    <t>Liu email to Bonnie</t>
  </si>
  <si>
    <t>Accepted+supoorting document to AACM 06-May-13</t>
  </si>
  <si>
    <t>0773/DFSL/13</t>
    <phoneticPr fontId="9" type="noConversion"/>
  </si>
  <si>
    <t>N/A</t>
    <phoneticPr fontId="9" type="noConversion"/>
  </si>
  <si>
    <t>CEO/028/13</t>
    <phoneticPr fontId="9" type="noConversion"/>
  </si>
  <si>
    <t>Answered</t>
    <phoneticPr fontId="9" type="noConversion"/>
  </si>
  <si>
    <t>Answered</t>
    <phoneticPr fontId="9" type="noConversion"/>
  </si>
  <si>
    <t>The information of Date, Station, Aircraft type and Registration mark were entered on the the Technical Log Book Page (SEQ 67) of MAM 7C-check. The corrected TLB is attached.</t>
    <phoneticPr fontId="9" type="noConversion"/>
  </si>
  <si>
    <t>1. All the certifying staff of CAMB will learn the MEPM L2.4.1- section 12.0-12.4. Learning     record will be provided before or on 06-May-13.
2. The Technical Log Book entry made by CAMB will be double checked by CAMB staff before Aircraft release. The procedure of CAMB will be provided before or on 06-May-13.</t>
    <phoneticPr fontId="9" type="noConversion"/>
  </si>
  <si>
    <t>Document References ANRM 19th Schedule OPSM915</t>
    <phoneticPr fontId="9" type="noConversion"/>
  </si>
  <si>
    <t>0785/DFSL/13</t>
  </si>
  <si>
    <t>Acceptable &amp; Waiting for supporting document</t>
  </si>
  <si>
    <t>ENM13-01</t>
  </si>
  <si>
    <t>DG&amp;AD control AD HOC safety audit</t>
  </si>
  <si>
    <t>ENM13-02</t>
  </si>
  <si>
    <t>Home Base</t>
  </si>
  <si>
    <t>Email to Bonnie</t>
    <phoneticPr fontId="9" type="noConversion"/>
  </si>
  <si>
    <r>
      <t>Report Month</t>
    </r>
    <r>
      <rPr>
        <b/>
        <sz val="10.5"/>
        <color rgb="FF000000"/>
        <rFont val="Times New Roman"/>
        <family val="1"/>
      </rPr>
      <t xml:space="preserve"> </t>
    </r>
  </si>
  <si>
    <r>
      <t>No. of Audit</t>
    </r>
    <r>
      <rPr>
        <b/>
        <sz val="10.5"/>
        <color rgb="FF000000"/>
        <rFont val="Times New Roman"/>
        <family val="1"/>
      </rPr>
      <t xml:space="preserve"> </t>
    </r>
  </si>
  <si>
    <r>
      <t>New Finding</t>
    </r>
    <r>
      <rPr>
        <b/>
        <sz val="10.5"/>
        <color rgb="FF000000"/>
        <rFont val="Times New Roman"/>
        <family val="1"/>
      </rPr>
      <t xml:space="preserve"> </t>
    </r>
  </si>
  <si>
    <r>
      <t>Level 1</t>
    </r>
    <r>
      <rPr>
        <b/>
        <sz val="10.5"/>
        <color rgb="FF000000"/>
        <rFont val="Times New Roman"/>
        <family val="1"/>
      </rPr>
      <t xml:space="preserve"> </t>
    </r>
  </si>
  <si>
    <r>
      <t>Level 2</t>
    </r>
    <r>
      <rPr>
        <b/>
        <sz val="10.5"/>
        <color rgb="FF000000"/>
        <rFont val="Times New Roman"/>
        <family val="1"/>
      </rPr>
      <t xml:space="preserve"> </t>
    </r>
  </si>
  <si>
    <r>
      <t>Level 3</t>
    </r>
    <r>
      <rPr>
        <b/>
        <sz val="10.5"/>
        <color rgb="FF000000"/>
        <rFont val="Times New Roman"/>
        <family val="1"/>
      </rPr>
      <t xml:space="preserve"> </t>
    </r>
  </si>
  <si>
    <r>
      <t>Reoccurrence Finding</t>
    </r>
    <r>
      <rPr>
        <b/>
        <sz val="10.5"/>
        <color rgb="FF000000"/>
        <rFont val="Times New Roman"/>
        <family val="1"/>
      </rPr>
      <t xml:space="preserve"> </t>
    </r>
  </si>
  <si>
    <r>
      <t>JAN</t>
    </r>
    <r>
      <rPr>
        <b/>
        <sz val="10.5"/>
        <color rgb="FF000000"/>
        <rFont val="Times New Roman"/>
        <family val="1"/>
      </rPr>
      <t xml:space="preserve"> </t>
    </r>
  </si>
  <si>
    <r>
      <t>FEB</t>
    </r>
    <r>
      <rPr>
        <b/>
        <sz val="10.5"/>
        <color rgb="FF000000"/>
        <rFont val="Times New Roman"/>
        <family val="1"/>
      </rPr>
      <t xml:space="preserve"> </t>
    </r>
  </si>
  <si>
    <r>
      <t>MAR</t>
    </r>
    <r>
      <rPr>
        <b/>
        <sz val="10.5"/>
        <color rgb="FF000000"/>
        <rFont val="Times New Roman"/>
        <family val="1"/>
      </rPr>
      <t xml:space="preserve"> </t>
    </r>
  </si>
  <si>
    <r>
      <t>APR</t>
    </r>
    <r>
      <rPr>
        <b/>
        <sz val="10.5"/>
        <color rgb="FF000000"/>
        <rFont val="Times New Roman"/>
        <family val="1"/>
      </rPr>
      <t xml:space="preserve"> </t>
    </r>
  </si>
  <si>
    <r>
      <t>MAY</t>
    </r>
    <r>
      <rPr>
        <b/>
        <sz val="10.5"/>
        <color rgb="FF000000"/>
        <rFont val="Times New Roman"/>
        <family val="1"/>
      </rPr>
      <t/>
    </r>
  </si>
  <si>
    <r>
      <t>JUN</t>
    </r>
    <r>
      <rPr>
        <b/>
        <sz val="10.5"/>
        <color rgb="FF000000"/>
        <rFont val="Times New Roman"/>
        <family val="1"/>
      </rPr>
      <t/>
    </r>
  </si>
  <si>
    <r>
      <t>JUL</t>
    </r>
    <r>
      <rPr>
        <b/>
        <sz val="10.5"/>
        <color rgb="FF000000"/>
        <rFont val="Times New Roman"/>
        <family val="1"/>
      </rPr>
      <t/>
    </r>
  </si>
  <si>
    <r>
      <t>AUG</t>
    </r>
    <r>
      <rPr>
        <b/>
        <sz val="10.5"/>
        <color rgb="FF000000"/>
        <rFont val="Times New Roman"/>
        <family val="1"/>
      </rPr>
      <t/>
    </r>
  </si>
  <si>
    <r>
      <t>SEP</t>
    </r>
    <r>
      <rPr>
        <b/>
        <sz val="10.5"/>
        <color rgb="FF000000"/>
        <rFont val="Times New Roman"/>
        <family val="1"/>
      </rPr>
      <t/>
    </r>
  </si>
  <si>
    <r>
      <t>OCT</t>
    </r>
    <r>
      <rPr>
        <b/>
        <sz val="10.5"/>
        <color rgb="FF000000"/>
        <rFont val="Times New Roman"/>
        <family val="1"/>
      </rPr>
      <t/>
    </r>
  </si>
  <si>
    <r>
      <t>NOV</t>
    </r>
    <r>
      <rPr>
        <b/>
        <sz val="10.5"/>
        <color rgb="FF000000"/>
        <rFont val="Times New Roman"/>
        <family val="1"/>
      </rPr>
      <t/>
    </r>
  </si>
  <si>
    <r>
      <t>DEC</t>
    </r>
    <r>
      <rPr>
        <b/>
        <sz val="10.5"/>
        <color rgb="FF000000"/>
        <rFont val="Times New Roman"/>
        <family val="1"/>
      </rPr>
      <t/>
    </r>
  </si>
  <si>
    <t>Total</t>
    <phoneticPr fontId="9" type="noConversion"/>
  </si>
  <si>
    <t>Area Concerned</t>
    <phoneticPr fontId="9" type="noConversion"/>
  </si>
  <si>
    <t>Number of Finding</t>
    <phoneticPr fontId="9" type="noConversion"/>
  </si>
  <si>
    <t>QD</t>
    <phoneticPr fontId="9" type="noConversion"/>
  </si>
  <si>
    <t>AMD</t>
    <phoneticPr fontId="9" type="noConversion"/>
  </si>
  <si>
    <t>ED</t>
    <phoneticPr fontId="9" type="noConversion"/>
  </si>
  <si>
    <t>MRD</t>
    <phoneticPr fontId="9" type="noConversion"/>
  </si>
  <si>
    <t>CAMB</t>
    <phoneticPr fontId="9" type="noConversion"/>
  </si>
  <si>
    <t>DEPT/STN Concerned</t>
    <phoneticPr fontId="9" type="noConversion"/>
  </si>
  <si>
    <t>Technical Log</t>
    <phoneticPr fontId="9" type="noConversion"/>
  </si>
  <si>
    <t>Implementation of AC</t>
    <phoneticPr fontId="9" type="noConversion"/>
  </si>
  <si>
    <t>Technical Log</t>
    <phoneticPr fontId="9" type="noConversion"/>
  </si>
  <si>
    <t>Coordinate with the maintenance contractors in advance before the training begin,copies of the training records should be kept after instructor signed off.</t>
    <phoneticPr fontId="9" type="noConversion"/>
  </si>
  <si>
    <t>The scanned copy of signed records has been distributed to Ground Handling Maintenance Agent of Shenyang Taoxian Int'l airport Co., Lted on 19-Mar-13.</t>
    <phoneticPr fontId="9" type="noConversion"/>
  </si>
  <si>
    <t>The additional work order list provided to AACM officers is for B-MAF 12C-Check FAA Certificate Release to Service document. There is another additional work order list for B-MAF 12C-Check JMM Certificate Release to Service also. AMU later has found that It individually located in the C-check document box covered with a plastic bag. The root case of this case is a misunderstanding with PPC in charge that he only remembered looking for the W/O 141477, not realized that  also require to provide the JMM additional work order list to AACM officers. So AMU failed to provide it to AACM officers on the inspection day. 
The JMM additional work order list is as attachment for your review (Attachment 1).</t>
    <phoneticPr fontId="9" type="noConversion"/>
  </si>
  <si>
    <t>The information of this special case has been briefed to Engineer Department and Quality Department through an e-mail by GM-QD to avoid further case happen again (Attachment 2). 
The reason why additional W/O ref AM 141477 was not found in the additional work list in B-MAF 12C-Check FAA Certificate Release to Service document has also been identified. As the subject W/O deals with installation of CAAC PMA parts, the contractor did not think it appropriate that incorporating this W/O into the additional work list. Now AMU has worked out solution for the installation of CAAC PMA parts in case FAA CRS is required. The contractor will prepare a document stating CAAC PMA parts are installed following air carrier's request, then W/O dealing with CAAC PMA parts will also be listed in the additional work list for FAA releasing.</t>
    <phoneticPr fontId="9" type="noConversion"/>
  </si>
  <si>
    <t>During the audit, in B-MAF 12C-Check package, one additional W/O ref AM141477 was written in the JMM CRS but this W/O could not be found in the additional work list provided by Air Macau. This W/O was confirmed performed during the 12C input.</t>
    <phoneticPr fontId="9" type="noConversion"/>
  </si>
  <si>
    <t>Root Cause: System engineer did not pass the SB termination information to CMP engineer. 
The task on the newest revision of CMP REV 08, issue 1 has already been revised. The applicability of the task 572127-01-1 has been updated in AMASIS. The applicability of task 572127-01-1 in AMASIS has also been checked, the status are correct. (Attachment 1)</t>
    <phoneticPr fontId="9" type="noConversion"/>
  </si>
  <si>
    <t>1. ED plan to set up Engineering Documents Implementation Feedback Sheet and internal procedure to follow up the AD/SB/EO completion status (Attachment 2).
2. Responsible engineer shall review the aforementioned feedback sheet within 2 Months after receiving C-check work package.
3. Any information related to update CMP task reflected by the aforementioned feedback sheet shall be handled by responsible engineer, such as applicability, text, interval, reference, etc. The responsible engineer will trigger CMP revision process.
4.CMP engineer will update AMASIS accordingly upon approval of CMP Temporary Revision or Revision.</t>
    <phoneticPr fontId="9" type="noConversion"/>
  </si>
  <si>
    <t>During audit on a B-MAF 12C-Check work package, 2 routine inspection task cards (ref. 572127-01-1 with SEQ No. 1202 and 1203) were found cancelled due to terminate actions had already been performed in the last 11C-Check. The applicability of these 2 cards to the aircraft should have been revised within one c-check period.</t>
    <phoneticPr fontId="9" type="noConversion"/>
  </si>
  <si>
    <t>1. The structure Damage Chart of B-MAM/B-MAN/B-MAP/B-MAQ will be updated before 30-Sep-13.
2. Work Package and additional W/Os for B-MAF 12C-Check have been closed in AMASIS (Attachment 1). Now there are four work packages ( 7C-Check of B-MAM/B-MAN/B-MAP/B-MAQ) are still in open status, ED plan to close them before 30-Sep-13.</t>
    <phoneticPr fontId="9" type="noConversion"/>
  </si>
  <si>
    <t>1. The root cause of work package closure: C-check removal/installation list of component made by MRO is not accurate. QD will issue finding to relevant MRO while reoccurrence.
2. ED internal requirement will be raised that C-check package including the additional W/Os shall be closed within 2 months after receiving the C-check package; Structure Damage Charge shall be updated within 2 months after receiving the C-check package or any other related document (Attachment 2 - ED REMINDER LIST).</t>
    <phoneticPr fontId="9" type="noConversion"/>
  </si>
  <si>
    <t>During the audit, many records after the aircraft C-Check were not updated yet. For example, Structure Damage Chart after the 8-MAM 7C-Check, additional W/Os performed in 8-MAF 12C-Check were found not updated yet in the maintenance record system.</t>
    <phoneticPr fontId="9" type="noConversion"/>
  </si>
  <si>
    <t>During the audit, it was noticed that some EO reference were not recorded and linked to the related SB in the AMASIS which would lead to loss of technical record control in the system.</t>
    <phoneticPr fontId="9" type="noConversion"/>
  </si>
  <si>
    <t xml:space="preserve">1. The EO reference of SB A320-27-1214 has been updated into AMASIS. (Attachment 1)
2. ED will check the all existing EO to ensure that all EO references were properly recorded and linked to the related SB in AMASIS system. Target date of completion is 16-May-13. </t>
    <phoneticPr fontId="9" type="noConversion"/>
  </si>
  <si>
    <t>1. The AD/SB/EO input means of AMASIS has been set up (Attachment 2) by ED. 
2. The internal training will be conducted before 15-May-13, the training record will be provided to AACM before or on 16-May-13.
3. The case has been inserted to ED REMINDER LIST for engineers awareness. (Attachment 3)</t>
    <phoneticPr fontId="9" type="noConversion"/>
  </si>
  <si>
    <t>E-mail from CQD</t>
    <phoneticPr fontId="9" type="noConversion"/>
  </si>
  <si>
    <t>Closed</t>
    <phoneticPr fontId="9" type="noConversion"/>
  </si>
  <si>
    <t>E-mail from CQD</t>
    <phoneticPr fontId="9" type="noConversion"/>
  </si>
  <si>
    <t>N/A</t>
    <phoneticPr fontId="9" type="noConversion"/>
  </si>
  <si>
    <t>N/A. SHE is not contracted line station, MEPM is located in extranet for riding engineer accessment.</t>
    <phoneticPr fontId="9" type="noConversion"/>
  </si>
  <si>
    <t>Answered</t>
    <phoneticPr fontId="9" type="noConversion"/>
  </si>
  <si>
    <t>Liu e-mail to Fernando</t>
    <phoneticPr fontId="9" type="noConversion"/>
  </si>
  <si>
    <t>e-mail to ENM</t>
    <phoneticPr fontId="9" type="noConversion"/>
  </si>
  <si>
    <t>e-mail to Liu Feng</t>
    <phoneticPr fontId="9" type="noConversion"/>
  </si>
  <si>
    <t>Request Fleet ADCN list</t>
    <phoneticPr fontId="9" type="noConversion"/>
  </si>
  <si>
    <t>e-mail to CQD</t>
    <phoneticPr fontId="9" type="noConversion"/>
  </si>
  <si>
    <t>liu send support document from CAMB to Bonnie</t>
  </si>
  <si>
    <t>Provide supporting document to AACM</t>
  </si>
  <si>
    <t>A/80/13-1/3</t>
    <phoneticPr fontId="9" type="noConversion"/>
  </si>
  <si>
    <t>A/80/13-2/3</t>
    <phoneticPr fontId="9" type="noConversion"/>
  </si>
  <si>
    <t>A/80/13-3/3</t>
    <phoneticPr fontId="9" type="noConversion"/>
  </si>
  <si>
    <t>AACM Random Audit</t>
    <phoneticPr fontId="9" type="noConversion"/>
  </si>
  <si>
    <t>AMD</t>
    <phoneticPr fontId="9" type="noConversion"/>
  </si>
  <si>
    <t>Storage</t>
    <phoneticPr fontId="9" type="noConversion"/>
  </si>
  <si>
    <t>Material Handling</t>
    <phoneticPr fontId="9" type="noConversion"/>
  </si>
  <si>
    <t>One Off Authorization</t>
    <phoneticPr fontId="9" type="noConversion"/>
  </si>
  <si>
    <t>Hangar MFM</t>
    <phoneticPr fontId="9" type="noConversion"/>
  </si>
  <si>
    <t>1. All flammable materials stored in hangar including LPS-3 have been transferred to Fire Protection Cabinet. 
2. Fire Protection Cabinet has been re-labeled on each layer to indicate the type of material to be stored. (Please see photo in Attachment #1)</t>
    <phoneticPr fontId="9" type="noConversion"/>
  </si>
  <si>
    <t>1. Line Maintenance Internal Letter AMD/IL/013-16 was issued to enforce the proper way of store flammable material. (Please see Attachment #1)
2. Line Maintenance staff is requested to carry out Read and Sign Training of this Letter before 15 June 2013.</t>
    <phoneticPr fontId="9" type="noConversion"/>
  </si>
  <si>
    <t>1. All the serviceable tags of aircraft wheels had been checked and the one with unreadable tag has been re-issued on 12 Apr 2013.</t>
    <phoneticPr fontId="9" type="noConversion"/>
  </si>
  <si>
    <t>1. Line Maintenance Internal Letter AMD/IL/013-17 was issued to enhance the check of Serviceable Tag before receive material from Material Resource Division (MRD) and before Use the material.  
(Please see Attachment #1)
2. In case of illegible serviceable tag detected, Line Maintenance department will inform MRD &amp; QCI for further disposition. 
3. Line Maintenance staff is requested to carry out Read and Sign Training of the Internal Letter before 15 June 2013.</t>
    <phoneticPr fontId="9" type="noConversion"/>
  </si>
  <si>
    <t>1. GM-QD together with QA staff from QD studied and discussed AACM current MAR-145 145.30(J) (5) and Air Macau MEPM Rev.18 Section 1.7.2 Para.13, now we got common understanding about the wording “Unforeseen”.
2. To handle the case where the contracted maintenance organization performs maintenance task on-wing for Air Macau aircraft under their own maintenance approval issued by the respective Airworthiness Authority, ENM of Air Macau has developed the Work Order specially designed to fit such situation (Please see attachment #4-Sample of the Work Order).</t>
    <phoneticPr fontId="9" type="noConversion"/>
  </si>
  <si>
    <t>1. Work Order AM140208 (please see attachment #1) for A/C B-MAL performed under one-off authorization letter ref. QD/GEN/12-80 was reviewed. The personnel from Arrias Aerospace Limited. listed in QD/GEN/12-80 signed off the maintenance tasks in Work Order AM140208. Meanwhile Arrias Aerospace Limited also issued EASA Form 1 with Form Tracking Number from 2337 to 2344 (total 8 copies, please see attachment #2) under their own approval number EASA Part 145 UK.145.01294. 
2. The issuance of one-off authorization letter ref. QD/GEN/12-80 was not in compliance with Air Macau MEPM Rev.18 Section 1.7.2 Para.13, but the maintenance tasks themselves could be accepted because those maintenance tasks described in Block 12 of the above EASA form one cover the maintenance tasks described in WO AM140208. 
3. Arrias Aerospace Limited has been requested to provide the statement clarifying the seats DO NOT require removing from the aircraft to enable the necessary removal and refitting of modified items/parts. The statement (please see attachment #3) has been filed together with Work Order AM140208 as maintenance record. The CAR will also be filed together with Work Order AM140208 for tracking purpose.</t>
    <phoneticPr fontId="9" type="noConversion"/>
  </si>
  <si>
    <t>e-mail to CQD</t>
    <phoneticPr fontId="9" type="noConversion"/>
  </si>
  <si>
    <t>0629/DFSL/13</t>
    <phoneticPr fontId="9" type="noConversion"/>
  </si>
  <si>
    <t>N/A</t>
    <phoneticPr fontId="9" type="noConversion"/>
  </si>
  <si>
    <t>QD-AAC-13-077</t>
  </si>
  <si>
    <t>Extension Request</t>
  </si>
  <si>
    <t>1163/DFSL/13</t>
    <phoneticPr fontId="9" type="noConversion"/>
  </si>
  <si>
    <t>Closed</t>
    <phoneticPr fontId="9" type="noConversion"/>
  </si>
  <si>
    <t>1163/DFSL/13</t>
    <phoneticPr fontId="9" type="noConversion"/>
  </si>
  <si>
    <t>Accepted</t>
    <phoneticPr fontId="9" type="noConversion"/>
  </si>
  <si>
    <t>Closed</t>
    <phoneticPr fontId="9" type="noConversion"/>
  </si>
  <si>
    <t>Accepted need R&amp;S record</t>
    <phoneticPr fontId="9" type="noConversion"/>
  </si>
  <si>
    <t>CEO-047-13</t>
    <phoneticPr fontId="9" type="noConversion"/>
  </si>
  <si>
    <t>CEO-047-13</t>
    <phoneticPr fontId="9" type="noConversion"/>
  </si>
  <si>
    <t>e-mail to Fernando</t>
    <phoneticPr fontId="9" type="noConversion"/>
  </si>
  <si>
    <t>Follw Up</t>
    <phoneticPr fontId="9" type="noConversion"/>
  </si>
  <si>
    <t>e-mail to Xiao</t>
    <phoneticPr fontId="9" type="noConversion"/>
  </si>
  <si>
    <t>Request Revise Fleet ADCN list</t>
    <phoneticPr fontId="9" type="noConversion"/>
  </si>
  <si>
    <t>e-mail to Xiao</t>
    <phoneticPr fontId="9" type="noConversion"/>
  </si>
  <si>
    <t>Request revise Fleet ADCN list</t>
    <phoneticPr fontId="9" type="noConversion"/>
  </si>
  <si>
    <t>A/85/13-1/1</t>
    <phoneticPr fontId="9" type="noConversion"/>
  </si>
  <si>
    <t>B-MAB CMR</t>
    <phoneticPr fontId="9" type="noConversion"/>
  </si>
  <si>
    <t>Home Base</t>
    <phoneticPr fontId="9" type="noConversion"/>
  </si>
  <si>
    <t>CAMB</t>
    <phoneticPr fontId="9" type="noConversion"/>
  </si>
  <si>
    <t>B-MAB</t>
    <phoneticPr fontId="9" type="noConversion"/>
  </si>
  <si>
    <t>1089/DFSL/13</t>
    <phoneticPr fontId="9" type="noConversion"/>
  </si>
  <si>
    <t>ED</t>
    <phoneticPr fontId="9" type="noConversion"/>
  </si>
  <si>
    <t>AD control</t>
    <phoneticPr fontId="9" type="noConversion"/>
  </si>
  <si>
    <t>A/31/13-1/1</t>
    <phoneticPr fontId="9" type="noConversion"/>
  </si>
  <si>
    <t>The interval of Task 237100-01-1 in CMP R08 Issue 01 will be changed from 7500FH to 7500FH or 1 year, which ever occurs first. The Temporary Revision of this task will be submitted to AACM as evidence after internal approval.</t>
    <phoneticPr fontId="9" type="noConversion"/>
  </si>
  <si>
    <t xml:space="preserve">1) Air Macau engineer proposes that the completion of MPD Task 237100-01-1 with AMM reference 23-71-00-710-001 “Operational Check Of CVR and CVR-Channel Recording” is compliance with AACM AC/AW/023 R02 Para. 2.2 e. &amp; f.. Please refer to the attached evaluation letter issued by engineer on 12 Mar 2013 (as attachment 1), with related documents for your assessment and consideration.
2) Task 237100-01-1 was performed on B-MAQ in 6C Check on 06 Aug 2011 &amp; in 7C Check on 01 Feb 2013. Please refer to the Fleet history/schedule status of CVR replacement and Task 237100-01-1 performance list (as attachment 2). </t>
    <phoneticPr fontId="9" type="noConversion"/>
  </si>
  <si>
    <t>AC/AW/023 states that  ... an annual examination of the recorded signal on the CVR shall be carried out by replay of the CVR recording. While installed in the aircraft, the CVR shall record test signals from each aircraft source and from relevant external sources to ensure that all required signals meet intelligibility standards 
During the B-MAQ CoA renewal audit on AC/AW/023 compliance, it is identified that Air Macau's fleet does not complied with the annual inspection requirement for Cockpit Voice Recorder (CVR) as specified in AC/AW/023 since the effective date15 August 2011 of the first issue of this AC.</t>
    <phoneticPr fontId="9" type="noConversion"/>
  </si>
  <si>
    <t>Letter No.</t>
    <phoneticPr fontId="9" type="noConversion"/>
  </si>
  <si>
    <t>1176/DFSL/13</t>
    <phoneticPr fontId="9" type="noConversion"/>
  </si>
  <si>
    <t>Air Macau MEPM Rev 18 Section 2.3.1 para 2.7 states all material of a flammable nature shoud be kept closed and stored in a suitable safety cabinets or bins of fire-resisting construction. During an audit, it was found the LPS-3 Which is considered flammable, was stored in a open cabinet located inside the hangar. Note that there was a fire-resisting construction cabinet beside this open cabinet.</t>
    <phoneticPr fontId="9" type="noConversion"/>
  </si>
  <si>
    <t>Air Macau MEPM Rev 18 Section 2.2.1 para 2.1 states a serviceable tag of a component should contain details such as nomenclature, part number, serial number if applicable, etc. At the time of the audit, the nomenclature and part number of a service tag of one main landing gear wheel stocked in the wheel rack near the hangar entrance could not be read.</t>
    <phoneticPr fontId="9" type="noConversion"/>
  </si>
  <si>
    <t>Air Macau MEPM Rev 18 Section 1.7.2 para 13 states the criteria and procedures for issuing a one off authorisation. During the audit, the work performed under the one-off authorisation letter ref. QD/GEN12-80 was not considered as an unforeseen case (Section 1.7.2 para 13.1). Procedure for issuance of one-off authorisation were not followed.</t>
    <phoneticPr fontId="9" type="noConversion"/>
  </si>
  <si>
    <t>ANRM Part 3 Para 9(4)(b) states the person shall not issue a Certificate of Maintenance Review (CMR) unless it has first been verified that inspections and modifications required by the CAA as provided in para 7 of this regulation have been completed as certified in the relevant CMR. During B-MAB CoA renewal document inspection, embodiment of AD 2008-0150 listed in the CMR could not be demonstrated. Moreover, AD 2010-0046R1, 2011-0069R1, 2011-0160R2, 2012-0055R1, 2012-0236R1, 2013-0011, 2013-0022 were not included in the CMR.</t>
    <phoneticPr fontId="9" type="noConversion"/>
  </si>
  <si>
    <t>N/A</t>
    <phoneticPr fontId="9" type="noConversion"/>
  </si>
  <si>
    <t>QD/AAC/13-097</t>
    <phoneticPr fontId="9" type="noConversion"/>
  </si>
  <si>
    <t>Answered</t>
    <phoneticPr fontId="9" type="noConversion"/>
  </si>
  <si>
    <t>e-mail to Bonnie</t>
  </si>
  <si>
    <t>Sent Evidence</t>
    <phoneticPr fontId="9" type="noConversion"/>
  </si>
  <si>
    <t>N/A</t>
    <phoneticPr fontId="9" type="noConversion"/>
  </si>
  <si>
    <t>CEO/066/13</t>
    <phoneticPr fontId="9" type="noConversion"/>
  </si>
  <si>
    <t>Sent Evidence</t>
    <phoneticPr fontId="9" type="noConversion"/>
  </si>
  <si>
    <t>Sent Evidence</t>
    <phoneticPr fontId="9" type="noConversion"/>
  </si>
  <si>
    <t>A/97/13-1/3</t>
    <phoneticPr fontId="9" type="noConversion"/>
  </si>
  <si>
    <t>B-MAO CMR</t>
    <phoneticPr fontId="9" type="noConversion"/>
  </si>
  <si>
    <t>ED</t>
    <phoneticPr fontId="9" type="noConversion"/>
  </si>
  <si>
    <t>A/97/13-2/3</t>
    <phoneticPr fontId="9" type="noConversion"/>
  </si>
  <si>
    <t>A/97/13-3/3</t>
    <phoneticPr fontId="9" type="noConversion"/>
  </si>
  <si>
    <t>QD</t>
    <phoneticPr fontId="9" type="noConversion"/>
  </si>
  <si>
    <t>Maintenance Data</t>
    <phoneticPr fontId="9" type="noConversion"/>
  </si>
  <si>
    <t>AD control</t>
    <phoneticPr fontId="9" type="noConversion"/>
  </si>
  <si>
    <t>CMR Issuance</t>
    <phoneticPr fontId="9" type="noConversion"/>
  </si>
  <si>
    <t>ENM Office</t>
    <phoneticPr fontId="9" type="noConversion"/>
  </si>
  <si>
    <t>B-MAO</t>
    <phoneticPr fontId="9" type="noConversion"/>
  </si>
  <si>
    <t>1372/DFSL/13</t>
    <phoneticPr fontId="9" type="noConversion"/>
  </si>
  <si>
    <t>During B-MAO CoA renewal, AMASIS printout indicated that two retraction actuators were expired but later Air Macau confirmed that installation dates of these two components were wrongly input into AMASIS.</t>
    <phoneticPr fontId="9" type="noConversion"/>
  </si>
  <si>
    <t>During B-MAO CoA renewal, "SHP" was hand-written on the "Deadline" column of engine AD list. However, it was discovered that there was a deadlie in flight cycle for AD2012-09-09.</t>
    <phoneticPr fontId="9" type="noConversion"/>
  </si>
  <si>
    <t>Extension approved</t>
    <phoneticPr fontId="9" type="noConversion"/>
  </si>
  <si>
    <t>QD/AAC/13-106</t>
    <phoneticPr fontId="9" type="noConversion"/>
  </si>
  <si>
    <t>Submitted B-MAB MTC of CVR test</t>
    <phoneticPr fontId="9" type="noConversion"/>
  </si>
  <si>
    <t>N/A</t>
    <phoneticPr fontId="9" type="noConversion"/>
  </si>
  <si>
    <t>A/98/13-1/6</t>
    <phoneticPr fontId="9" type="noConversion"/>
  </si>
  <si>
    <t>A/98/13-2/6</t>
    <phoneticPr fontId="9" type="noConversion"/>
  </si>
  <si>
    <t>A/98/13-3/6</t>
    <phoneticPr fontId="9" type="noConversion"/>
  </si>
  <si>
    <t>A/98/13-4/6</t>
    <phoneticPr fontId="9" type="noConversion"/>
  </si>
  <si>
    <t>A/98/13-5/6</t>
    <phoneticPr fontId="9" type="noConversion"/>
  </si>
  <si>
    <t>A/98/13-6/6</t>
    <phoneticPr fontId="9" type="noConversion"/>
  </si>
  <si>
    <t>B-MAK 8C Check</t>
    <phoneticPr fontId="9" type="noConversion"/>
  </si>
  <si>
    <t>B-MAK 9C Check</t>
  </si>
  <si>
    <t>B-MAK 10C Check</t>
  </si>
  <si>
    <t>B-MAK 11C Check</t>
  </si>
  <si>
    <t>B-MAK 12C Check</t>
  </si>
  <si>
    <t>B-MAK 13C Check</t>
  </si>
  <si>
    <t>Open</t>
    <phoneticPr fontId="9" type="noConversion"/>
  </si>
  <si>
    <t>Out Station</t>
    <phoneticPr fontId="9" type="noConversion"/>
  </si>
  <si>
    <t>B-MAK</t>
    <phoneticPr fontId="9" type="noConversion"/>
  </si>
  <si>
    <t>CAMB</t>
    <phoneticPr fontId="9" type="noConversion"/>
  </si>
  <si>
    <t>ED</t>
    <phoneticPr fontId="9" type="noConversion"/>
  </si>
  <si>
    <t>QD/AAC/13-109</t>
    <phoneticPr fontId="9" type="noConversion"/>
  </si>
  <si>
    <t>Extension 5 days</t>
    <phoneticPr fontId="9" type="noConversion"/>
  </si>
  <si>
    <t>QD/AAC/13-110</t>
  </si>
  <si>
    <t>Answered</t>
    <phoneticPr fontId="9" type="noConversion"/>
  </si>
  <si>
    <t>During the audit, task cards with SEQ No: 458 - 460 were identified to be issued for seat covers removal,
cleaning and installation while additional work order no. AM142116 was issued for (cabin seat
refurbishment with) seat cover replacement. On-site c-check team stated that all abovementioned task
cards and the additional work order need to be performed and sign-off with no cancellation required.
Maintenance tasks appeared to be lack of control and information given was contradictory.</t>
    <phoneticPr fontId="9" type="noConversion"/>
  </si>
  <si>
    <t>During the audit, the task cards referred to Air Macau CMP Rev.08 only instead of the latest approved
CMP Rev.08 and CMP Rev.08 Issue 01.</t>
    <phoneticPr fontId="9" type="noConversion"/>
  </si>
  <si>
    <t>During the audit, task cards with SEQ No: 388, 410, 494 had unidentified Code "FC"; task cards with SEQ
No: 236 - 240 had unidentified Code "01"; task cards with SEQ No: 390, 414 had unidentified Code "OP";
task cards with SEQ No: 258, 259, 266, 280 had unidentified Code "RS".</t>
    <phoneticPr fontId="9" type="noConversion"/>
  </si>
  <si>
    <t>During the audit, task cards with SEQ No: 958, 1474 and 1475 were missing references in the "Skill"
section.</t>
    <phoneticPr fontId="9" type="noConversion"/>
  </si>
  <si>
    <t>During the audit, "Assessment Check list for staff to be assigned in Aircraft C-Check" of Air Macau staff
(staff no. AM03535 Hugo Ouyang) and meeting minutes were noted to be for 8-MAX aircraft instead.</t>
    <phoneticPr fontId="9" type="noConversion"/>
  </si>
  <si>
    <t>A/112/13-1/2</t>
    <phoneticPr fontId="9" type="noConversion"/>
  </si>
  <si>
    <t>SMS</t>
    <phoneticPr fontId="9" type="noConversion"/>
  </si>
  <si>
    <t>HKG station Audit</t>
    <phoneticPr fontId="9" type="noConversion"/>
  </si>
  <si>
    <t>Out Station</t>
    <phoneticPr fontId="9" type="noConversion"/>
  </si>
  <si>
    <t>HKG</t>
    <phoneticPr fontId="9" type="noConversion"/>
  </si>
  <si>
    <t>1464/DFSL/13</t>
    <phoneticPr fontId="9" type="noConversion"/>
  </si>
  <si>
    <t>QD</t>
    <phoneticPr fontId="9" type="noConversion"/>
  </si>
  <si>
    <t>1467/DFSL/13</t>
    <phoneticPr fontId="9" type="noConversion"/>
  </si>
  <si>
    <t>Accepted &amp; Closed</t>
    <phoneticPr fontId="9" type="noConversion"/>
  </si>
  <si>
    <t>1467/DFSL/13</t>
    <phoneticPr fontId="9" type="noConversion"/>
  </si>
  <si>
    <t>Closed</t>
    <phoneticPr fontId="9" type="noConversion"/>
  </si>
  <si>
    <t>Accepted</t>
    <phoneticPr fontId="9" type="noConversion"/>
  </si>
  <si>
    <t>Accepted</t>
    <phoneticPr fontId="9" type="noConversion"/>
  </si>
  <si>
    <t>The person who issue CMR for B-MAO didn't verify the expired remaining potentials on AMASIS printout and incorrect deadline "hand-written" on engine AD list in the application package for B-MAO CoA renewal.</t>
    <phoneticPr fontId="9" type="noConversion"/>
  </si>
  <si>
    <t>1487/DFSL/13</t>
    <phoneticPr fontId="9" type="noConversion"/>
  </si>
  <si>
    <t>Approved Extension</t>
    <phoneticPr fontId="9" type="noConversion"/>
  </si>
  <si>
    <t>Rejected</t>
    <phoneticPr fontId="9" type="noConversion"/>
  </si>
  <si>
    <t>QD/AAC/13-116</t>
    <phoneticPr fontId="9" type="noConversion"/>
  </si>
  <si>
    <t>Answered</t>
    <phoneticPr fontId="9" type="noConversion"/>
  </si>
  <si>
    <t>CMR Issuance</t>
    <phoneticPr fontId="9" type="noConversion"/>
  </si>
  <si>
    <t>C Check Personal Requirement</t>
    <phoneticPr fontId="9" type="noConversion"/>
  </si>
  <si>
    <t>SMS</t>
    <phoneticPr fontId="9" type="noConversion"/>
  </si>
  <si>
    <t>As the provided audit report (QAR-13-014) and other documentation submitted, there was no evidence
could demonstrate the Safety Management System of China Aircraft Services Limited (CASL) had ever
been assessed. The Section H regarding Emergency Management of the aforesaid audit report was just the verification on the emergency contact list.</t>
    <phoneticPr fontId="9" type="noConversion"/>
  </si>
  <si>
    <t>N/A</t>
    <phoneticPr fontId="9" type="noConversion"/>
  </si>
  <si>
    <t>1506/DFSL/13</t>
    <phoneticPr fontId="9" type="noConversion"/>
  </si>
  <si>
    <t>Acceptable &amp; Closed</t>
    <phoneticPr fontId="9" type="noConversion"/>
  </si>
  <si>
    <t>1506/DFSL/13</t>
    <phoneticPr fontId="9" type="noConversion"/>
  </si>
  <si>
    <t>Accepted</t>
    <phoneticPr fontId="9" type="noConversion"/>
  </si>
  <si>
    <t>Closed</t>
    <phoneticPr fontId="9" type="noConversion"/>
  </si>
  <si>
    <t>N/A</t>
    <phoneticPr fontId="9" type="noConversion"/>
  </si>
  <si>
    <t>Answered</t>
    <phoneticPr fontId="9" type="noConversion"/>
  </si>
  <si>
    <t>N/A</t>
    <phoneticPr fontId="9" type="noConversion"/>
  </si>
  <si>
    <t>As per Airbus A320s MPD General Rules Para.10.L Issue JUN 01/12 and Airbus clarification e-mail ref. 2286LG/200613 dated 21Jun 2013 (as attachment 1 and 2), it was confirmed that the due date of B-MAO two Main Landing Gear Retraction Actuators was 23 Jun 2013. The reason is that engineer previously wrongly input the date of maiden flight (24 Mar 2003) as initial calculation date of two retraction actuators in AMASIS, instead of aircraft delivery date (23 Jun 2003). Engineer did aware of AMASIS warning comes up since the end of March 2013, but because it couldn't be revised by even database developer IFR due to old version, in-charge engineer kept monitoring the due date and issued WO AM138618 on date 20 Aug 2012 with completion deadline date 18 Jun 2013, which was before the true due date. WO AM138618 was completed on 03 Jun 2013 by replacing both actuators during 7C Check (as attachment 4).</t>
    <phoneticPr fontId="9" type="noConversion"/>
  </si>
  <si>
    <t>1. Engineering Division reviewed initial calculation date and expiry date of fleet Main Landing Gear Retraction Actuators, ensured there was no equivalent case.
2. Engineering Division requests all engineers to study the requirements of AMU CMP R8.01 General Rules Para. 3.D. regarding how to calculate the due date of the maintenance task to avoid further confusion (as attachment 3). The completed "Read &amp; Sign" training record will be submitted to AACM by 31 Jul 2013.</t>
    <phoneticPr fontId="9" type="noConversion"/>
  </si>
  <si>
    <t>1. As per Airbus A320s MPD General Rules Para.10.L Issue JUN 01/12 and Airbus clarification e-mail ref. 2286LG/200612 dated 21Jun 2013 (as attachment 1 and 2), it was confirmed that the due date of B-MAO two Main Landing Gear Retraction Actuators was 23 Jun 2013. The reason is that engineer previously wrongly input the date of maiden flight (24 Mar 2003) as initial calculation date of two retraction actuators in AMASIS, instead of aircraft delivery date (23 Jun 2003). Both actuators were replaced during the 7C Check in May 2013 by WO AM 138618, before the true due date.
2. For incorrect "hand written" deadline: In-charge engineer corrected the incorrect deadline of AD 2012-09-09 by revising AMASIS records and re-printed the engine ADCNSB list (as attachment 3).</t>
    <phoneticPr fontId="9" type="noConversion"/>
  </si>
  <si>
    <t>Quality Division requests all QCIs to study the requirement of MEM 2.17 (R19), MEPM 2.17.1 (R18), and ANRM Part III Para. 9(4) through "Read &amp; Sign" training record (as attachment 4). QCI shall strictly follow above regulation and manuals requirement when performing CMR. CMR certificate must not be issued before all the observed discrepancies are corrected or provided with a satisfactory explanation with supporting documents.
The completed "Read &amp; Sign" training record will be submitted to AACM by 31 Jul 2013.</t>
    <phoneticPr fontId="9" type="noConversion"/>
  </si>
  <si>
    <t>CAAC Spot Check</t>
    <phoneticPr fontId="9" type="noConversion"/>
  </si>
  <si>
    <t>AMD</t>
    <phoneticPr fontId="9" type="noConversion"/>
  </si>
  <si>
    <t>Out Station</t>
    <phoneticPr fontId="9" type="noConversion"/>
  </si>
  <si>
    <t>CSX</t>
    <phoneticPr fontId="9" type="noConversion"/>
  </si>
  <si>
    <t>B-MAX</t>
    <phoneticPr fontId="9" type="noConversion"/>
  </si>
  <si>
    <t>CAF-13-076</t>
    <phoneticPr fontId="9" type="noConversion"/>
  </si>
  <si>
    <t>Open</t>
    <phoneticPr fontId="9" type="noConversion"/>
  </si>
  <si>
    <t>QD/AAC/13-121</t>
    <phoneticPr fontId="9" type="noConversion"/>
  </si>
  <si>
    <t>Answered</t>
    <phoneticPr fontId="9" type="noConversion"/>
  </si>
  <si>
    <t>QD/AAC/13-121</t>
    <phoneticPr fontId="9" type="noConversion"/>
  </si>
  <si>
    <t>N/A</t>
    <phoneticPr fontId="9" type="noConversion"/>
  </si>
  <si>
    <t>During the sampling check of maintenance task card, the following discrepancies/unclear contents were identified:
1) Task card SEQ No. 401, 490, 502, 540, 638,1005 bore information and NOTE that are ambiguous and obscured the maintenance instructions given.
2) Task card SEQ No. 452 had instruction for cleaning of a number of aircraft interior area whereas the "Work Area" defined on the task card was Cockpit only.
(This is a re-occurring finding.)</t>
    <phoneticPr fontId="9" type="noConversion"/>
  </si>
  <si>
    <t>MAR-145.45(f)-Maintenance Data.
1) Task card SEQ No. 234, 338, 410, 494, 968, 969 was noted with "Designate Insp" on the  "Insp" column;
2) Task card SEQ No. 505 referred the functional check of ATC transponder to FAR Part 43 Appendix F;
3) Task card SEQ No. 696, 698, 697 stated "SPECIAL DETAILED INSPECTION (US AND HFEC) FWD HINGE (FOR TWIN WHEEL A/C), MID HINGE (FOR BOGLE A/C) AND ACTUATOR FITTINGS FOR MLG DOORS AT KEELBEAM";
4) Task card SEQ No. 1014, 1015, 1016, 1017 was noted with "credit can be taken from previous accomplishment of task 783200-01-3";
5) Task card SEQ No. 494 stated "CLEANING 1 OUT OF 3 PITOT PROBES 9DA1, 9DA2, 9DA3. CLEANING PITOT 9DA1, 9DA2, 9DA3". 
 (This is re-occurring finding) (3rd time)</t>
    <phoneticPr fontId="9" type="noConversion"/>
  </si>
  <si>
    <t xml:space="preserve"> A/21/13-1/1</t>
    <phoneticPr fontId="9" type="noConversion"/>
  </si>
  <si>
    <t>A/123/13-1/8</t>
  </si>
  <si>
    <t>MAR 145 Phase I</t>
  </si>
  <si>
    <t>MFM</t>
  </si>
  <si>
    <t>A/123/13-2/8</t>
  </si>
  <si>
    <t>A/123/13-3/8</t>
  </si>
  <si>
    <t>A/123/13-4/8</t>
  </si>
  <si>
    <t>A/123/13-5/8</t>
  </si>
  <si>
    <t>A/123/13-7/8</t>
  </si>
  <si>
    <t>A/123/13-8/8</t>
  </si>
  <si>
    <t>A/123/13-6/8</t>
  </si>
  <si>
    <t>MRD</t>
  </si>
  <si>
    <t>1555/DFSL/13</t>
    <phoneticPr fontId="9" type="noConversion"/>
  </si>
  <si>
    <t>MAR 145.25(d) states that secure storage facilities must be provided for aircraft components, equipment,
tools and material. Storage conditions must ensure segregation of serviceable aircraft components and
material from unserviceable aircraft components, material, equipment and tools. The conditions of storage
must be in accordance with the manufacturers instructions to prevent deterioration and damage of stored
items. Access to storage facilities must be restricted to authorised personnel.
During the audit, an lOG Fluid Dispenser Tool PIN: WF150-1 SIN: 3238 was found with no cover or protection. In addition, the tool was found lying over a bucket next to some unlabelled containers which claimed to be waste fluid drainage containers.</t>
    <phoneticPr fontId="9" type="noConversion"/>
  </si>
  <si>
    <t>MAR 145.40(b) states that where necessary, tools, equipment and particularly test equipment must be
controlled and calibrated to standards acceptable to the AACM at a frequency to ensure serviceability and
accuracy. Records of such calibrations and the standard used must be kept by the MAR-145 approved
maintenance organisation.
During the audit, a Nose Jack PIN: LMT-056 SIN: AMT-0051 was physically found in deteriorated and
corroded condition with an "equipment servicing" tab attached stating the tool had been last inspected on
15/06/13 and next inspection to be 15/07/13. Furthermore, no servicing record for this tool could be provided.</t>
    <phoneticPr fontId="9" type="noConversion"/>
  </si>
  <si>
    <t>MAR 145.25(d) states that secure storage facilities must be provided for aircraft components, equipment,
tools and material. Storage conditions must ensure segregation of serviceable aircraft components and
material from unserviceable aircraft components, material, equipment and tools. The conditions of storage
must be in accordance with the manufacturers instructions to prevent deterioration and damage of stored
items. Access to storage facilities must be restricted to authorised personnel.
During the audit, three bottles of fluid were found stored side by side. Two of the bottles bore labels stating
the content to be Acetic Acid, flammable and can cause severe burns, while the middle bottle bore a label
stating "PLS KEEP FOR WATER DRAIN". Furthermore, one of the "Acetic Acid" bottle was found to be
uncapped.</t>
    <phoneticPr fontId="9" type="noConversion"/>
  </si>
  <si>
    <t>MAR 145.40(b) states that where necessary, tools, equipment and particularly test equipment must be
controlled and calibrated to standards acceptable to the AACM at a frequency to ensure serviceability and
accuracy. Records of such calibrations and the standard used must be kept by the MAR-145 approved
maintenance organisation.
During the audit, a Nose Wheel Jack PIN: 12-0215 SIN: T0052 was found with a "equipment servicing" tab
attached stating the tool had been last inspected on 15/06/13 and next inspection to be 15/07/13. However, this tool cannot be found in AMASIS system.</t>
    <phoneticPr fontId="9" type="noConversion"/>
  </si>
  <si>
    <t>MAR 145.45(a) states that the MAR-145 approved maintenance organisation must hold and use
applicable current maintenance data in the performance of maintenance including modifications and
repairs. Applicable means relevant to any aircraft, aircraft component or process specified in the MAR-145
approved maintenance organisation's approval class rating schedule and any associated capability list.
During the audit, LM staff was sample checked to look for supplementary maintenance information for post
cabin reconfigured (modification) aircraft i.e. B-MAL. However, despite a TN A320-00310 had been issued,
the maintenance personnel could not locate the maintenance data requested by the auditor.</t>
    <phoneticPr fontId="9" type="noConversion"/>
  </si>
  <si>
    <t>MAR 145.40(b) states that where necessary, tools, equipment and particularly test equipment must be
controlled and calibrated to standards acceptable to the AACM at a frequency to ensure serviceability and
accuracy. Records of such calibrations and the standard used must be kept by the MAR-145 approved
maintenance organisation.
During the audit, an Electronic Weighing Scale was found within the Composite Shop on which a Serviceable label was found attached with "DATECAL" as 27/05/05 and "DATE DUE" as 27/05/07. Record of the Electronic Weighing Scale PIN: ADW-15 SIN: AM0079 was found in AMASIS stating the item was scrapped on 19 Nov 2006.</t>
    <phoneticPr fontId="9" type="noConversion"/>
  </si>
  <si>
    <t>MEPM 2.2.3 1.0 states that an incoming part and material discrepancy report and/or Occurrence Report
will be raised by the Receipt Inspector if the item being inspected fails to meet the goods inward receipt
criteria in accordance with Maintenance and Engineering Procedures Manual procedure 2.2.1 (Goods
Inwards Inspection) and/or meet requirement of AACM AC/AW/016.
MEPM 2.2.3 1.2 states that the item will be held in quarantine store along with a copy of the incoming part
and material defect report, under the control of the Receipt Inspector.
During the audit, numerous items within the Quarantine Store were checked with no incoming part and
material discrepancy report attached. The status of the items within the Quarantine Store rely on memories
of some store personnel as AMASIS holds no record/data for some sample checked items within the
Quarantine Store.</t>
    <phoneticPr fontId="9" type="noConversion"/>
  </si>
  <si>
    <t>OPSM.920 (b) states in part that an operator shall ensure that a system has been established to keep, in a
form acceptable to the Civil Aviation Authority, the following records for the periods specified: (1) All
detailed maintenance records in respect of the aircraft and any aircraft component fitted thereto.
During the audit, some engine mount bolts were sample checked. However, the traceability of those
installed on aircrafts cannot be established.</t>
    <phoneticPr fontId="9" type="noConversion"/>
  </si>
  <si>
    <t>Due to the required job in the task cards could be covered by Work Order (WO) AM142116, on-site C-Check team cancelled these three task cards SEQ No: 458-460 (250000-AM-2) from work package (as attachment 1).</t>
    <phoneticPr fontId="9" type="noConversion"/>
  </si>
  <si>
    <t>1) System engineer will issue CMP task other than WO for cabin inspection in every further C Check (as attachment 2).
2) For other purpose, before engineer issuing WO, he shall ensure no contradiction between WO and CMP routine task. Responsible PPC shall also review work package before issuing according to requirement of MEPM 2.13.3 Para. 1.3. Engineering Division requests all engineers including PPC to study the requirements and the completed "Read &amp; Sign" training record which will be submitted to AACM by 12 Aug 2013 (as attachment 3).</t>
    <phoneticPr fontId="9" type="noConversion"/>
  </si>
  <si>
    <t xml:space="preserve">Due to B-MAK 8C Check was completed on 08 Jul 2013, instead of revising every CMP tasks, a statement (as attachment 1) is issued and will be attached to work package after retrieving from CAMB. This statement announces the work package was issued base on CMP R08 and CMP R08 Issue 01. </t>
    <phoneticPr fontId="9" type="noConversion"/>
  </si>
  <si>
    <t>1) The last row of work pack reference in task card AMASIS print-out template has been revised as "Task card issued according to Customized Maintenance Program (CMP) R08 and R08 ISSUE 01 (AACM Approved on Jan 24, 2013)" (as attachment 2). 
2) Responsible PPC are briefed to change the CMP revision in AMASIS in time once new version of CMP is approved. The completed "Read &amp; Sign" training record which will be submitted to AACM by 12 Aug 2013 (as attachment 3).
3) QCI are briefed to check the CMP revision on tasks of work package. The completed "Read &amp; Sign" training record which will be submitted to AACM by 12 Aug 2013 (as attachment 4).</t>
    <phoneticPr fontId="9" type="noConversion"/>
  </si>
  <si>
    <t>MPD engineer corrected the following CMP tasks in AMASIS:
For task cards SEQ No: 388, 410, 494--Corrected the task code from "FC" to "FNC";
For task cards SEQ No: 236-240--Corrected the task code from "DI" to "DET";
For task cards SEQ No: 390, 414--Corrected the task code from "OP" to "OPC";
For task cards SEQ No: 258, 259, 266, 280--Corrected the task code from "RS" to "RST".
Above mentioned task cards were sent to CAMB to replace the previous cards (as attachment 1).</t>
    <phoneticPr fontId="9" type="noConversion"/>
  </si>
  <si>
    <t>1) Task code data base in AMASIS has been updated to three letters code. All valid CMP tasks were reviewed and confirmed the two letters task codes were corrected in AMASIS. 
2) MPD engineer is briefed to ensure the three letters task code before inputting further new task in AMASIS. The completed "Read &amp; Sign" training record which will be submitted to AACM by 12 Aug 2013 (as attachment 2);
3) QCI are briefed to check the task code on task cards of work package. The completed "Read &amp; Sign" training record which will be submitted to AACM by 12 Aug 2013 (as attachment 3).</t>
    <phoneticPr fontId="9" type="noConversion"/>
  </si>
  <si>
    <t>MPD engineer corrected the following CMP tasks in AMASIS:
For task card SEQ No: 958--Added skill code "AF";
For task cards SEQ No: 1474 &amp;1475--Added skill code "EN".
Above mentioned task cards were sent to CAMB to replace the previous cards (as attachment 1).</t>
    <phoneticPr fontId="9" type="noConversion"/>
  </si>
  <si>
    <t>1) All valid CMP tasks were reviewed and confirmed no more skill code missing in AMASIS. 
2) MPD engineer is briefed to ensure the skill code of further new task is inputted in AMASIS. The completed "Read &amp; Sign" training record which will be submitted to AACM by 12 Aug 2013 (as attachment 2);
3) QCI are briefed to check the skill code on task cards of work package. The completed "Read &amp; Sign" training record which will be submitted to AACM by 12 Aug 2013 (as attachment 3).</t>
    <phoneticPr fontId="9" type="noConversion"/>
  </si>
  <si>
    <t>A) Due to B-MAK 8C Check was completed on 08 Jul 2013 and tasks cards were signed, the affected task cards could not be revised in this C Check work package.
B) For task card SEQ No: 540 (274451-05-1)--The "NOTE" is useful information to remind mechanic to perform the work not prior to the other 2ea task cards SEQ No: 544 (274451-10-1) and SEQ No: 545 (274451-11-1) (as attachment 1)
C) Other affected tasks were corrected in CMP control data base-AMASIS (as attachment 2): 
    1) Task card SEQ No: 401 (216000-03-1)--Deleted the redundant information in "NOTE"; 
        Task card SEQ No: 490 (261500-03-1)--Deleted the redundant information in "NOTE"; 
        Task card SEQ No: 502 (262541-02-1)--Deleted the redundant information of "PN BA24320X-1 60MO, PN BA21758 60MO".
        Task card SEQ No: 638 (303100-01-1)--Deleted the redundant information of "APPLICABLE TO GOODRICH PITOT PROBE PN 0851 HL".  
        Task card SEQ No: 1005 (534135-01-4)--Deleted the  redundant information of "NOTE: EXCLUDED AREA COVERED BY TASKS 534143-01-1".
    2) Task card SEQ No: 452 (250000-AM-1)--Deleted redundant information of "INCLUDING: COCKPIT AREA, ...(INCLUDE WASTE BINS)".</t>
    <phoneticPr fontId="9" type="noConversion"/>
  </si>
  <si>
    <t xml:space="preserve">1) System engineers shall review and revise CMP tasks with "NOTE" in the issued work package, to ensure no ambiguous information and the "NOTE" shall not obscure the maintenance instructions given. The completed "Read &amp; Sign" training record which will be submitted to AACM by 12 Aug 2013 (as attachment 3);
2) QCI are briefed to ensure no ambiguous information in “NOTE” of task cards in work package and the "NOTE" shall not obscure the maintenance instructions given. The completed "Read &amp; Sign" training record which will be submitted to AACM by 12 Aug 2013 (as attachment 4). </t>
    <phoneticPr fontId="9" type="noConversion"/>
  </si>
  <si>
    <t>Wrong aircraft information in the mentioned documents is typing error.
1. Corrected Assessment check list for B-MAK 8C Check (as attachment 1).
2. Corrected B-MAK 8C Check meeting minutes (as attachment 2).</t>
    <phoneticPr fontId="9" type="noConversion"/>
  </si>
  <si>
    <t>1. When completing the assessment check list of engineer C Check qualification, the applicant and approval personnel shall double check to ensure the content is correct. The list shall be signed by the personnel of being assessed after double check.
In addition,the correctness of the content is also approval person's responsibility, who has to check to ensure of that.
2.The meeting minutes should be distributed to participants for review and approved by author's GM, any errors should be corrected by author. 
The completed "Read &amp; Sign" training record is attached as attachment 3.</t>
    <phoneticPr fontId="9" type="noConversion"/>
  </si>
  <si>
    <t>E-mail to CQD</t>
    <phoneticPr fontId="9" type="noConversion"/>
  </si>
  <si>
    <t>Submitted R&amp;S</t>
    <phoneticPr fontId="9" type="noConversion"/>
  </si>
  <si>
    <t>CEO/082/13</t>
    <phoneticPr fontId="9" type="noConversion"/>
  </si>
  <si>
    <t>CEO/082/13</t>
    <phoneticPr fontId="9" type="noConversion"/>
  </si>
  <si>
    <t>N/A</t>
    <phoneticPr fontId="9" type="noConversion"/>
  </si>
  <si>
    <t>1581/DFSL/13</t>
    <phoneticPr fontId="9" type="noConversion"/>
  </si>
  <si>
    <t>Accepted but Need R&amp;S</t>
    <phoneticPr fontId="9" type="noConversion"/>
  </si>
  <si>
    <t>Accepted</t>
    <phoneticPr fontId="9" type="noConversion"/>
  </si>
  <si>
    <t>1581/DFSL/13</t>
    <phoneticPr fontId="9" type="noConversion"/>
  </si>
  <si>
    <t>Closed</t>
    <phoneticPr fontId="9" type="noConversion"/>
  </si>
  <si>
    <t>Seat 9D could recline backwards, which impacts the usage of Emergency Exit in Row 10</t>
    <phoneticPr fontId="9" type="noConversion"/>
  </si>
  <si>
    <t>C Check Personal Requirement</t>
    <phoneticPr fontId="9" type="noConversion"/>
  </si>
  <si>
    <t>Maintenance Implementation</t>
    <phoneticPr fontId="9" type="noConversion"/>
  </si>
  <si>
    <t>Equipment</t>
    <phoneticPr fontId="9" type="noConversion"/>
  </si>
  <si>
    <t>Equipment</t>
    <phoneticPr fontId="9" type="noConversion"/>
  </si>
  <si>
    <t>Storage</t>
    <phoneticPr fontId="9" type="noConversion"/>
  </si>
  <si>
    <t>Storage</t>
    <phoneticPr fontId="9" type="noConversion"/>
  </si>
  <si>
    <t>Calibration</t>
    <phoneticPr fontId="9" type="noConversion"/>
  </si>
  <si>
    <t>Maintenance Implementation</t>
    <phoneticPr fontId="9" type="noConversion"/>
  </si>
  <si>
    <t>Calibration</t>
    <phoneticPr fontId="9" type="noConversion"/>
  </si>
  <si>
    <t>Maintenance Records</t>
    <phoneticPr fontId="9" type="noConversion"/>
  </si>
  <si>
    <t>Closed</t>
    <phoneticPr fontId="9" type="noConversion"/>
  </si>
  <si>
    <t>2125/DFSL/13</t>
    <phoneticPr fontId="9" type="noConversion"/>
  </si>
  <si>
    <t>To Expedite the MEPM Amendment as proposed and keep AACM Informed</t>
    <phoneticPr fontId="9" type="noConversion"/>
  </si>
  <si>
    <t>2178/DFSL/13</t>
    <phoneticPr fontId="9" type="noConversion"/>
  </si>
  <si>
    <t>N/A</t>
    <phoneticPr fontId="9" type="noConversion"/>
  </si>
  <si>
    <t>Closed</t>
    <phoneticPr fontId="9" type="noConversion"/>
  </si>
  <si>
    <t xml:space="preserve"> A/159/13-1/2</t>
    <phoneticPr fontId="9" type="noConversion"/>
  </si>
  <si>
    <t xml:space="preserve"> A/159/13-2/2</t>
    <phoneticPr fontId="9" type="noConversion"/>
  </si>
  <si>
    <t>PEK Station Audit</t>
    <phoneticPr fontId="9" type="noConversion"/>
  </si>
  <si>
    <t>AMD</t>
    <phoneticPr fontId="9" type="noConversion"/>
  </si>
  <si>
    <t>AMD</t>
    <phoneticPr fontId="9" type="noConversion"/>
  </si>
  <si>
    <t>Out Station</t>
    <phoneticPr fontId="9" type="noConversion"/>
  </si>
  <si>
    <t>Facility</t>
    <phoneticPr fontId="9" type="noConversion"/>
  </si>
  <si>
    <t>AMASIS Access at Out Station</t>
    <phoneticPr fontId="9" type="noConversion"/>
  </si>
  <si>
    <t>PEK</t>
    <phoneticPr fontId="9" type="noConversion"/>
  </si>
  <si>
    <t>2198/DFSL/13</t>
    <phoneticPr fontId="9" type="noConversion"/>
  </si>
  <si>
    <t>PEK LM Office has no Fire Fighting Equipment</t>
    <phoneticPr fontId="9" type="noConversion"/>
  </si>
  <si>
    <t>PEK LM has no access to AMASIS</t>
    <phoneticPr fontId="9" type="noConversion"/>
  </si>
  <si>
    <t xml:space="preserve"> A/167/13-1/1</t>
  </si>
  <si>
    <t>B-MAH ASL</t>
  </si>
  <si>
    <t>2335/DFSL/13</t>
  </si>
  <si>
    <t>N/A</t>
    <phoneticPr fontId="9" type="noConversion"/>
  </si>
  <si>
    <t>2324/DFSL/13</t>
    <phoneticPr fontId="9" type="noConversion"/>
  </si>
  <si>
    <t>N/A</t>
    <phoneticPr fontId="9" type="noConversion"/>
  </si>
  <si>
    <t>Closed</t>
    <phoneticPr fontId="9" type="noConversion"/>
  </si>
  <si>
    <t>Handed to Jane</t>
    <phoneticPr fontId="9" type="noConversion"/>
  </si>
  <si>
    <t>Answered</t>
    <phoneticPr fontId="9" type="noConversion"/>
  </si>
  <si>
    <t>e-mail to ENM</t>
    <phoneticPr fontId="9" type="noConversion"/>
  </si>
  <si>
    <t>e-mail to Jane</t>
    <phoneticPr fontId="9" type="noConversion"/>
  </si>
  <si>
    <t>N/A</t>
    <phoneticPr fontId="9" type="noConversion"/>
  </si>
</sst>
</file>

<file path=xl/styles.xml><?xml version="1.0" encoding="utf-8"?>
<styleSheet xmlns="http://schemas.openxmlformats.org/spreadsheetml/2006/main">
  <numFmts count="4">
    <numFmt numFmtId="176" formatCode="0_);[Red]\(0\)"/>
    <numFmt numFmtId="177" formatCode="[$-409]d/mmm/yyyy;@"/>
    <numFmt numFmtId="178" formatCode="0.0000_ "/>
    <numFmt numFmtId="179" formatCode="[$-409]d\-mmm\-yyyy;@"/>
  </numFmts>
  <fonts count="24">
    <font>
      <sz val="10"/>
      <name val="Arial"/>
      <family val="2"/>
    </font>
    <font>
      <sz val="8"/>
      <name val="Arial"/>
      <family val="2"/>
    </font>
    <font>
      <i/>
      <sz val="8"/>
      <name val="Georgia"/>
      <family val="1"/>
    </font>
    <font>
      <i/>
      <sz val="8"/>
      <color indexed="10"/>
      <name val="Georgia"/>
      <family val="1"/>
    </font>
    <font>
      <b/>
      <sz val="10"/>
      <name val="Arial"/>
      <family val="2"/>
    </font>
    <font>
      <b/>
      <sz val="10"/>
      <color indexed="81"/>
      <name val="Tahoma"/>
      <family val="2"/>
    </font>
    <font>
      <sz val="11"/>
      <color theme="1"/>
      <name val="Arial"/>
      <family val="2"/>
    </font>
    <font>
      <sz val="14"/>
      <color theme="1"/>
      <name val="Arial"/>
      <family val="2"/>
    </font>
    <font>
      <u/>
      <sz val="10"/>
      <color theme="10"/>
      <name val="Arial"/>
      <family val="2"/>
    </font>
    <font>
      <sz val="9"/>
      <name val="宋体"/>
      <family val="3"/>
      <charset val="134"/>
    </font>
    <font>
      <u/>
      <sz val="12"/>
      <color theme="10"/>
      <name val="Arial"/>
      <family val="2"/>
    </font>
    <font>
      <b/>
      <i/>
      <sz val="8"/>
      <name val="Georgia"/>
      <family val="1"/>
    </font>
    <font>
      <b/>
      <sz val="8"/>
      <name val="Arial"/>
      <family val="2"/>
    </font>
    <font>
      <sz val="9"/>
      <name val="Arial"/>
      <family val="2"/>
    </font>
    <font>
      <sz val="10"/>
      <color theme="1"/>
      <name val="Arial"/>
      <family val="2"/>
    </font>
    <font>
      <sz val="10"/>
      <color rgb="FFFF0000"/>
      <name val="Arial"/>
      <family val="2"/>
    </font>
    <font>
      <b/>
      <sz val="10"/>
      <color rgb="FFFF0000"/>
      <name val="Arial"/>
      <family val="2"/>
    </font>
    <font>
      <sz val="9"/>
      <name val="FZShuTi"/>
      <family val="3"/>
      <charset val="134"/>
    </font>
    <font>
      <b/>
      <u/>
      <sz val="10"/>
      <name val="Arial"/>
      <family val="2"/>
    </font>
    <font>
      <sz val="8"/>
      <name val="FZShuTi"/>
      <family val="3"/>
      <charset val="134"/>
    </font>
    <font>
      <sz val="8"/>
      <name val="宋体"/>
      <family val="2"/>
      <scheme val="minor"/>
    </font>
    <font>
      <b/>
      <sz val="10.5"/>
      <color rgb="FFFFFFFF"/>
      <name val="Times New Roman"/>
      <family val="1"/>
    </font>
    <font>
      <b/>
      <sz val="10.5"/>
      <color rgb="FF000000"/>
      <name val="Times New Roman"/>
      <family val="1"/>
    </font>
    <font>
      <sz val="10.5"/>
      <color rgb="FF000000"/>
      <name val="Times New Roman"/>
      <family val="1"/>
    </font>
  </fonts>
  <fills count="8">
    <fill>
      <patternFill patternType="none"/>
    </fill>
    <fill>
      <patternFill patternType="gray125"/>
    </fill>
    <fill>
      <patternFill patternType="solid">
        <fgColor rgb="FFCCFF99"/>
        <bgColor indexed="64"/>
      </patternFill>
    </fill>
    <fill>
      <patternFill patternType="solid">
        <fgColor rgb="FFFDDFC7"/>
        <bgColor indexed="64"/>
      </patternFill>
    </fill>
    <fill>
      <patternFill patternType="solid">
        <fgColor theme="6" tint="0.39994506668294322"/>
        <bgColor indexed="64"/>
      </patternFill>
    </fill>
    <fill>
      <patternFill patternType="solid">
        <fgColor rgb="FFFFFF00"/>
        <bgColor indexed="64"/>
      </patternFill>
    </fill>
    <fill>
      <patternFill patternType="solid">
        <fgColor rgb="FF000000"/>
        <bgColor indexed="64"/>
      </patternFill>
    </fill>
    <fill>
      <patternFill patternType="solid">
        <fgColor rgb="FFE7E7E7"/>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ck">
        <color indexed="64"/>
      </right>
      <top style="medium">
        <color indexed="64"/>
      </top>
      <bottom style="thin">
        <color indexed="64"/>
      </bottom>
      <diagonal/>
    </border>
    <border>
      <left style="thin">
        <color indexed="64"/>
      </left>
      <right style="thick">
        <color indexed="64"/>
      </right>
      <top style="thin">
        <color indexed="64"/>
      </top>
      <bottom style="thin">
        <color indexed="64"/>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0" fontId="8" fillId="0" borderId="0" applyNumberFormat="0" applyFill="0" applyBorder="0" applyAlignment="0" applyProtection="0">
      <alignment vertical="top"/>
      <protection locked="0"/>
    </xf>
  </cellStyleXfs>
  <cellXfs count="297">
    <xf numFmtId="0" fontId="0" fillId="0" borderId="0" xfId="0"/>
    <xf numFmtId="1" fontId="6" fillId="0" borderId="1" xfId="0" applyNumberFormat="1" applyFont="1" applyBorder="1" applyAlignment="1">
      <alignment horizontal="center" vertical="center" wrapText="1"/>
    </xf>
    <xf numFmtId="0" fontId="7" fillId="0" borderId="5" xfId="0" applyFont="1" applyBorder="1" applyAlignment="1">
      <alignment horizontal="center" vertical="center"/>
    </xf>
    <xf numFmtId="0" fontId="7" fillId="0" borderId="1" xfId="0" applyFont="1"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wrapText="1"/>
    </xf>
    <xf numFmtId="177" fontId="4" fillId="0" borderId="1" xfId="0" applyNumberFormat="1" applyFont="1" applyFill="1" applyBorder="1" applyAlignment="1">
      <alignment horizontal="center" vertical="center" wrapText="1"/>
    </xf>
    <xf numFmtId="0" fontId="0" fillId="0" borderId="2" xfId="0" applyBorder="1" applyAlignment="1">
      <alignment horizontal="center" vertical="center" wrapText="1"/>
    </xf>
    <xf numFmtId="177" fontId="0" fillId="0" borderId="2" xfId="0" applyNumberFormat="1" applyBorder="1" applyAlignment="1">
      <alignment horizontal="center" vertical="center" wrapText="1"/>
    </xf>
    <xf numFmtId="1" fontId="6" fillId="0" borderId="2" xfId="0" applyNumberFormat="1" applyFont="1" applyBorder="1" applyAlignment="1">
      <alignment horizontal="center" vertical="center" wrapText="1"/>
    </xf>
    <xf numFmtId="0" fontId="0" fillId="0" borderId="0" xfId="0" applyBorder="1" applyAlignment="1">
      <alignment horizontal="center" vertical="center" wrapText="1"/>
    </xf>
    <xf numFmtId="0" fontId="6" fillId="0" borderId="0" xfId="0" applyFont="1" applyBorder="1" applyAlignment="1">
      <alignment horizontal="center" vertical="center"/>
    </xf>
    <xf numFmtId="0" fontId="8" fillId="0" borderId="1" xfId="1" applyBorder="1" applyAlignment="1" applyProtection="1">
      <alignment horizontal="center" vertical="center" wrapText="1"/>
    </xf>
    <xf numFmtId="0" fontId="0" fillId="0" borderId="7" xfId="0" applyFill="1" applyBorder="1" applyAlignment="1">
      <alignment horizontal="center" vertical="center" wrapText="1"/>
    </xf>
    <xf numFmtId="0" fontId="0" fillId="0" borderId="8" xfId="0" applyBorder="1" applyAlignment="1">
      <alignment horizontal="center" vertical="center" wrapText="1"/>
    </xf>
    <xf numFmtId="177" fontId="0" fillId="0" borderId="8" xfId="0" applyNumberFormat="1" applyBorder="1" applyAlignment="1">
      <alignment horizontal="center" vertical="center" wrapText="1"/>
    </xf>
    <xf numFmtId="177" fontId="0" fillId="0" borderId="8" xfId="0" applyNumberFormat="1" applyFill="1" applyBorder="1" applyAlignment="1">
      <alignment horizontal="center" vertical="center" wrapText="1"/>
    </xf>
    <xf numFmtId="1" fontId="0" fillId="0" borderId="8" xfId="0" applyNumberFormat="1" applyBorder="1" applyAlignment="1">
      <alignment horizontal="center" vertical="center" wrapText="1"/>
    </xf>
    <xf numFmtId="0" fontId="0" fillId="0" borderId="0" xfId="0" applyAlignment="1">
      <alignment horizontal="left" vertical="top"/>
    </xf>
    <xf numFmtId="0" fontId="7" fillId="0" borderId="0" xfId="0" applyFont="1" applyFill="1" applyBorder="1" applyAlignment="1">
      <alignment horizontal="center" vertical="center"/>
    </xf>
    <xf numFmtId="0" fontId="0" fillId="0" borderId="0" xfId="0" applyAlignment="1">
      <alignment horizontal="center"/>
    </xf>
    <xf numFmtId="177" fontId="0" fillId="0" borderId="0" xfId="0" applyNumberFormat="1"/>
    <xf numFmtId="176" fontId="0" fillId="0" borderId="8" xfId="0" applyNumberFormat="1" applyFont="1" applyFill="1" applyBorder="1" applyAlignment="1">
      <alignment horizontal="center" vertical="center" wrapText="1"/>
    </xf>
    <xf numFmtId="0" fontId="8" fillId="0" borderId="2" xfId="1" applyBorder="1" applyAlignment="1" applyProtection="1">
      <alignment horizontal="center" vertical="center" wrapText="1"/>
    </xf>
    <xf numFmtId="177" fontId="4" fillId="0" borderId="2" xfId="0" applyNumberFormat="1" applyFont="1" applyFill="1" applyBorder="1" applyAlignment="1">
      <alignment horizontal="center" vertical="center" wrapText="1"/>
    </xf>
    <xf numFmtId="0" fontId="0" fillId="0" borderId="0" xfId="0" applyFill="1" applyBorder="1" applyAlignment="1">
      <alignment horizontal="center" vertical="center" wrapText="1"/>
    </xf>
    <xf numFmtId="0" fontId="1" fillId="0" borderId="1" xfId="0" applyFont="1" applyFill="1" applyBorder="1" applyAlignment="1">
      <alignment horizontal="left" vertical="top" wrapText="1"/>
    </xf>
    <xf numFmtId="0" fontId="1" fillId="0" borderId="0" xfId="0" applyFont="1" applyAlignment="1">
      <alignment horizontal="left" vertical="top"/>
    </xf>
    <xf numFmtId="0" fontId="2" fillId="0" borderId="2" xfId="0" applyFont="1" applyFill="1" applyBorder="1" applyAlignment="1">
      <alignment horizontal="left" vertical="top" wrapText="1"/>
    </xf>
    <xf numFmtId="0" fontId="1" fillId="0" borderId="2" xfId="0" applyFont="1" applyFill="1" applyBorder="1" applyAlignment="1">
      <alignment horizontal="left" vertical="top" wrapText="1"/>
    </xf>
    <xf numFmtId="0" fontId="11" fillId="0" borderId="6" xfId="0" applyFont="1" applyFill="1" applyBorder="1" applyAlignment="1">
      <alignment horizontal="left" vertical="top" wrapText="1"/>
    </xf>
    <xf numFmtId="0" fontId="2" fillId="0" borderId="1" xfId="0" applyFont="1" applyFill="1" applyBorder="1" applyAlignment="1">
      <alignment horizontal="left" vertical="top" wrapText="1"/>
    </xf>
    <xf numFmtId="0" fontId="11" fillId="0" borderId="4" xfId="0" applyFont="1" applyFill="1" applyBorder="1" applyAlignment="1">
      <alignment horizontal="left" vertical="top" wrapText="1"/>
    </xf>
    <xf numFmtId="0" fontId="1" fillId="0" borderId="8"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0" fillId="0" borderId="3" xfId="0" applyBorder="1" applyAlignment="1">
      <alignment horizontal="center"/>
    </xf>
    <xf numFmtId="176" fontId="10" fillId="0" borderId="2" xfId="1" applyNumberFormat="1" applyFont="1" applyBorder="1" applyAlignment="1" applyProtection="1">
      <alignment horizontal="left" vertical="center"/>
    </xf>
    <xf numFmtId="176" fontId="0" fillId="0" borderId="0" xfId="0" applyNumberFormat="1" applyAlignment="1">
      <alignment horizontal="left"/>
    </xf>
    <xf numFmtId="0" fontId="0" fillId="0" borderId="1" xfId="0" applyBorder="1" applyAlignment="1">
      <alignment horizontal="center" vertical="center"/>
    </xf>
    <xf numFmtId="0" fontId="8" fillId="0" borderId="0" xfId="1" applyAlignment="1" applyProtection="1"/>
    <xf numFmtId="14" fontId="0" fillId="0" borderId="1" xfId="0" applyNumberFormat="1" applyBorder="1" applyAlignment="1">
      <alignment horizontal="center" vertical="center"/>
    </xf>
    <xf numFmtId="0" fontId="8" fillId="0" borderId="0" xfId="1" applyBorder="1" applyAlignment="1" applyProtection="1"/>
    <xf numFmtId="0" fontId="0" fillId="0" borderId="2" xfId="0" applyBorder="1"/>
    <xf numFmtId="0" fontId="0" fillId="0" borderId="0" xfId="0" applyBorder="1"/>
    <xf numFmtId="0" fontId="12" fillId="0" borderId="1" xfId="0" applyFont="1" applyFill="1" applyBorder="1" applyAlignment="1">
      <alignment horizontal="left" vertical="top" wrapText="1"/>
    </xf>
    <xf numFmtId="0" fontId="3" fillId="0" borderId="4" xfId="0" applyFont="1" applyFill="1" applyBorder="1" applyAlignment="1">
      <alignment horizontal="left" vertical="top" wrapText="1"/>
    </xf>
    <xf numFmtId="177" fontId="0" fillId="0" borderId="1" xfId="0" applyNumberFormat="1" applyBorder="1" applyAlignment="1">
      <alignment horizontal="center" vertical="center" wrapText="1"/>
    </xf>
    <xf numFmtId="177" fontId="0" fillId="0" borderId="1" xfId="0" applyNumberFormat="1" applyBorder="1" applyAlignment="1">
      <alignment horizontal="center" vertical="center"/>
    </xf>
    <xf numFmtId="177"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0" borderId="1" xfId="0" applyFill="1" applyBorder="1" applyAlignment="1">
      <alignment horizontal="center" vertical="center" wrapText="1"/>
    </xf>
    <xf numFmtId="176" fontId="0" fillId="0" borderId="1" xfId="0" applyNumberFormat="1" applyFont="1" applyFill="1" applyBorder="1" applyAlignment="1">
      <alignment horizontal="center" vertical="center" wrapText="1"/>
    </xf>
    <xf numFmtId="0" fontId="13" fillId="0" borderId="1" xfId="0" applyFont="1" applyBorder="1" applyAlignment="1">
      <alignment horizontal="center" vertical="center" wrapText="1"/>
    </xf>
    <xf numFmtId="0" fontId="0" fillId="2" borderId="1" xfId="0" applyFill="1" applyBorder="1" applyAlignment="1">
      <alignment horizontal="center" vertical="center" wrapText="1"/>
    </xf>
    <xf numFmtId="177" fontId="0" fillId="2"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77" fontId="0" fillId="3" borderId="1" xfId="0" applyNumberFormat="1" applyFill="1" applyBorder="1" applyAlignment="1">
      <alignment horizontal="center" vertical="center" wrapText="1"/>
    </xf>
    <xf numFmtId="1" fontId="0" fillId="0" borderId="1" xfId="0" applyNumberFormat="1" applyBorder="1" applyAlignment="1">
      <alignment horizontal="center" vertical="center" wrapText="1"/>
    </xf>
    <xf numFmtId="0" fontId="1" fillId="0" borderId="1" xfId="0" applyFont="1" applyFill="1" applyBorder="1" applyAlignment="1">
      <alignment horizontal="center" vertical="center" wrapText="1"/>
    </xf>
    <xf numFmtId="177" fontId="8" fillId="3" borderId="1" xfId="1" applyNumberFormat="1" applyFill="1" applyBorder="1" applyAlignment="1" applyProtection="1">
      <alignment horizontal="center" vertical="center" wrapText="1"/>
    </xf>
    <xf numFmtId="0" fontId="0" fillId="0" borderId="0" xfId="0" applyAlignment="1">
      <alignment horizontal="center" vertical="center"/>
    </xf>
    <xf numFmtId="177" fontId="0" fillId="4" borderId="0" xfId="0" applyNumberFormat="1" applyFill="1" applyAlignment="1">
      <alignment horizontal="center" vertical="center"/>
    </xf>
    <xf numFmtId="177" fontId="0" fillId="0" borderId="0" xfId="0" applyNumberFormat="1" applyAlignment="1">
      <alignment horizontal="center" vertical="center"/>
    </xf>
    <xf numFmtId="176" fontId="8" fillId="0" borderId="1" xfId="1" applyNumberFormat="1" applyBorder="1" applyAlignment="1" applyProtection="1">
      <alignment horizontal="center" vertical="center"/>
    </xf>
    <xf numFmtId="176" fontId="13" fillId="0" borderId="1" xfId="0" applyNumberFormat="1" applyFont="1" applyBorder="1" applyAlignment="1">
      <alignment horizontal="center" vertical="center"/>
    </xf>
    <xf numFmtId="0" fontId="8" fillId="2" borderId="1" xfId="1" applyFill="1" applyBorder="1" applyAlignment="1" applyProtection="1">
      <alignment horizontal="center" vertical="center"/>
    </xf>
    <xf numFmtId="177" fontId="0" fillId="2" borderId="1" xfId="0" applyNumberFormat="1" applyFill="1" applyBorder="1" applyAlignment="1">
      <alignment horizontal="center" vertical="center"/>
    </xf>
    <xf numFmtId="0" fontId="8" fillId="4" borderId="1" xfId="1" applyFill="1" applyBorder="1" applyAlignment="1" applyProtection="1">
      <alignment horizontal="center" vertical="center"/>
    </xf>
    <xf numFmtId="177" fontId="0" fillId="4" borderId="1" xfId="0" applyNumberFormat="1" applyFill="1" applyBorder="1" applyAlignment="1">
      <alignment horizontal="center" vertical="center"/>
    </xf>
    <xf numFmtId="0" fontId="8" fillId="0" borderId="1" xfId="1" applyBorder="1" applyAlignment="1" applyProtection="1">
      <alignment horizontal="center" vertical="center"/>
    </xf>
    <xf numFmtId="0" fontId="0" fillId="3" borderId="1" xfId="0" applyFill="1" applyBorder="1" applyAlignment="1">
      <alignment horizontal="center" vertical="center"/>
    </xf>
    <xf numFmtId="177" fontId="0" fillId="3" borderId="1" xfId="0" applyNumberFormat="1" applyFill="1" applyBorder="1" applyAlignment="1">
      <alignment horizontal="center" vertical="center"/>
    </xf>
    <xf numFmtId="176" fontId="0" fillId="0" borderId="0" xfId="0" applyNumberFormat="1" applyAlignment="1">
      <alignment horizontal="center" vertical="center"/>
    </xf>
    <xf numFmtId="176" fontId="13" fillId="0" borderId="0" xfId="0" applyNumberFormat="1" applyFont="1" applyAlignment="1">
      <alignment horizontal="center" vertical="center"/>
    </xf>
    <xf numFmtId="0" fontId="0" fillId="2" borderId="0" xfId="0" applyFill="1" applyAlignment="1">
      <alignment horizontal="center" vertical="center"/>
    </xf>
    <xf numFmtId="177" fontId="0" fillId="2" borderId="0" xfId="0" applyNumberFormat="1" applyFill="1" applyAlignment="1">
      <alignment horizontal="center" vertical="center"/>
    </xf>
    <xf numFmtId="0" fontId="0" fillId="3" borderId="0" xfId="0" applyFill="1" applyAlignment="1">
      <alignment horizontal="center" vertical="center"/>
    </xf>
    <xf numFmtId="177" fontId="0" fillId="3" borderId="0" xfId="0" applyNumberFormat="1" applyFill="1" applyAlignment="1">
      <alignment horizontal="center" vertical="center"/>
    </xf>
    <xf numFmtId="0" fontId="1" fillId="0" borderId="0" xfId="0" applyFont="1" applyAlignment="1">
      <alignment horizontal="center" vertical="center"/>
    </xf>
    <xf numFmtId="0" fontId="0" fillId="4" borderId="0" xfId="0" applyFill="1" applyAlignment="1">
      <alignment horizontal="center" vertical="center"/>
    </xf>
    <xf numFmtId="176" fontId="13" fillId="0" borderId="13" xfId="0" applyNumberFormat="1" applyFont="1" applyBorder="1" applyAlignment="1">
      <alignment horizontal="center" vertical="center"/>
    </xf>
    <xf numFmtId="0" fontId="0" fillId="0" borderId="13" xfId="0" applyBorder="1" applyAlignment="1">
      <alignment horizontal="center" vertical="center" wrapText="1"/>
    </xf>
    <xf numFmtId="0" fontId="0" fillId="0" borderId="13" xfId="0" applyBorder="1" applyAlignment="1">
      <alignment horizontal="center" vertical="center"/>
    </xf>
    <xf numFmtId="177" fontId="0" fillId="2" borderId="13" xfId="0" applyNumberFormat="1" applyFill="1" applyBorder="1" applyAlignment="1">
      <alignment horizontal="center" vertical="center"/>
    </xf>
    <xf numFmtId="177" fontId="0" fillId="0" borderId="13" xfId="0" applyNumberFormat="1" applyBorder="1" applyAlignment="1">
      <alignment horizontal="center" vertical="center" wrapText="1"/>
    </xf>
    <xf numFmtId="0" fontId="8" fillId="4" borderId="13" xfId="1" applyFill="1" applyBorder="1" applyAlignment="1" applyProtection="1">
      <alignment horizontal="center" vertical="center"/>
    </xf>
    <xf numFmtId="177" fontId="0" fillId="4" borderId="13" xfId="0" applyNumberFormat="1" applyFill="1" applyBorder="1" applyAlignment="1">
      <alignment horizontal="center" vertical="center"/>
    </xf>
    <xf numFmtId="0" fontId="8" fillId="0" borderId="13" xfId="1" applyBorder="1" applyAlignment="1" applyProtection="1">
      <alignment horizontal="center" vertical="center"/>
    </xf>
    <xf numFmtId="177" fontId="0" fillId="0" borderId="13" xfId="0" applyNumberFormat="1" applyBorder="1" applyAlignment="1">
      <alignment horizontal="center" vertical="center"/>
    </xf>
    <xf numFmtId="177" fontId="0" fillId="4" borderId="13" xfId="0" applyNumberFormat="1" applyFill="1" applyBorder="1" applyAlignment="1">
      <alignment horizontal="center" vertical="center" wrapText="1"/>
    </xf>
    <xf numFmtId="0" fontId="0" fillId="3" borderId="13" xfId="0" applyFill="1" applyBorder="1" applyAlignment="1">
      <alignment horizontal="center" vertical="center"/>
    </xf>
    <xf numFmtId="177" fontId="0" fillId="3" borderId="13" xfId="0" applyNumberFormat="1" applyFill="1" applyBorder="1" applyAlignment="1">
      <alignment horizontal="center" vertical="center"/>
    </xf>
    <xf numFmtId="1" fontId="6" fillId="0" borderId="13" xfId="0" applyNumberFormat="1" applyFont="1" applyBorder="1" applyAlignment="1">
      <alignment horizontal="center" vertical="center" wrapText="1"/>
    </xf>
    <xf numFmtId="177" fontId="8" fillId="3" borderId="13" xfId="1" applyNumberFormat="1" applyFill="1" applyBorder="1" applyAlignment="1" applyProtection="1">
      <alignment horizontal="center" vertical="center" wrapText="1"/>
    </xf>
    <xf numFmtId="176" fontId="8" fillId="0" borderId="13" xfId="1" applyNumberFormat="1" applyBorder="1" applyAlignment="1" applyProtection="1">
      <alignment horizontal="center" vertical="center"/>
    </xf>
    <xf numFmtId="176" fontId="1" fillId="0" borderId="3" xfId="1" applyNumberFormat="1" applyFont="1" applyFill="1" applyBorder="1" applyAlignment="1" applyProtection="1">
      <alignment horizontal="center" vertical="center" wrapText="1"/>
    </xf>
    <xf numFmtId="0" fontId="0" fillId="0" borderId="0" xfId="0" applyFill="1" applyAlignment="1">
      <alignment horizontal="center" vertical="center"/>
    </xf>
    <xf numFmtId="0" fontId="0" fillId="0" borderId="0" xfId="0" applyFont="1" applyBorder="1" applyAlignment="1">
      <alignment horizontal="center" vertical="center" wrapText="1"/>
    </xf>
    <xf numFmtId="176" fontId="1" fillId="0" borderId="0" xfId="1" applyNumberFormat="1" applyFont="1" applyFill="1" applyBorder="1" applyAlignment="1" applyProtection="1">
      <alignment horizontal="center" vertical="center" wrapText="1"/>
    </xf>
    <xf numFmtId="0" fontId="4" fillId="0" borderId="0" xfId="0" applyFont="1" applyAlignment="1">
      <alignment horizontal="center" vertical="center" wrapText="1"/>
    </xf>
    <xf numFmtId="0" fontId="0" fillId="0" borderId="1" xfId="0" applyFont="1" applyBorder="1" applyAlignment="1">
      <alignment horizontal="center" vertical="center" wrapText="1"/>
    </xf>
    <xf numFmtId="0" fontId="0" fillId="0" borderId="10" xfId="0" applyBorder="1" applyAlignment="1">
      <alignment horizontal="center" vertical="center"/>
    </xf>
    <xf numFmtId="0" fontId="4" fillId="0" borderId="9" xfId="0" applyFont="1" applyBorder="1" applyAlignment="1">
      <alignment horizontal="center" vertical="center"/>
    </xf>
    <xf numFmtId="0" fontId="0" fillId="0" borderId="3" xfId="0" applyBorder="1" applyAlignment="1">
      <alignment horizontal="center" vertical="center" wrapText="1"/>
    </xf>
    <xf numFmtId="10" fontId="0" fillId="0" borderId="4" xfId="0" applyNumberFormat="1" applyBorder="1" applyAlignment="1">
      <alignment horizontal="center" vertical="center"/>
    </xf>
    <xf numFmtId="10" fontId="0" fillId="0" borderId="20" xfId="0" applyNumberFormat="1" applyBorder="1" applyAlignment="1">
      <alignment horizontal="center" vertical="center"/>
    </xf>
    <xf numFmtId="0" fontId="0" fillId="0" borderId="12" xfId="0" applyBorder="1" applyAlignment="1">
      <alignment horizontal="center" vertical="center" wrapText="1"/>
    </xf>
    <xf numFmtId="10" fontId="0" fillId="0" borderId="6" xfId="0" applyNumberFormat="1" applyBorder="1" applyAlignment="1">
      <alignment horizontal="center" vertical="center"/>
    </xf>
    <xf numFmtId="0" fontId="4" fillId="0" borderId="7" xfId="0" applyFont="1" applyFill="1" applyBorder="1" applyAlignment="1">
      <alignment horizontal="center" vertical="center"/>
    </xf>
    <xf numFmtId="0" fontId="0" fillId="0" borderId="19" xfId="0" applyBorder="1" applyAlignment="1">
      <alignment horizontal="center" vertical="center"/>
    </xf>
    <xf numFmtId="0" fontId="4" fillId="0" borderId="19" xfId="0" applyFont="1" applyBorder="1" applyAlignment="1">
      <alignment horizontal="center" vertical="center" wrapText="1"/>
    </xf>
    <xf numFmtId="0" fontId="0" fillId="0" borderId="10" xfId="0" applyBorder="1" applyAlignment="1">
      <alignment horizontal="center" vertical="center" wrapText="1"/>
    </xf>
    <xf numFmtId="10" fontId="0" fillId="0" borderId="4" xfId="0" applyNumberFormat="1" applyBorder="1" applyAlignment="1">
      <alignment horizontal="center" vertical="center" wrapText="1"/>
    </xf>
    <xf numFmtId="0" fontId="0" fillId="0" borderId="17" xfId="0" applyBorder="1" applyAlignment="1">
      <alignment horizontal="center" vertical="center" wrapText="1"/>
    </xf>
    <xf numFmtId="10" fontId="0" fillId="0" borderId="20" xfId="0" applyNumberFormat="1" applyBorder="1" applyAlignment="1">
      <alignment horizontal="center" vertical="center" wrapText="1"/>
    </xf>
    <xf numFmtId="9" fontId="0" fillId="0" borderId="18" xfId="0" applyNumberFormat="1" applyBorder="1" applyAlignment="1">
      <alignment horizontal="center" vertical="center" wrapText="1"/>
    </xf>
    <xf numFmtId="0" fontId="0" fillId="0" borderId="8" xfId="0" applyFont="1" applyBorder="1" applyAlignment="1">
      <alignment horizontal="center" vertical="center"/>
    </xf>
    <xf numFmtId="0" fontId="0" fillId="0" borderId="3" xfId="0" applyBorder="1" applyAlignment="1">
      <alignment horizontal="center" vertical="center"/>
    </xf>
    <xf numFmtId="176" fontId="1" fillId="0" borderId="12" xfId="1" applyNumberFormat="1" applyFont="1" applyBorder="1" applyAlignment="1" applyProtection="1">
      <alignment horizontal="center" vertical="center" wrapText="1"/>
    </xf>
    <xf numFmtId="176" fontId="1" fillId="0" borderId="3" xfId="1" applyNumberFormat="1" applyFont="1" applyBorder="1" applyAlignment="1" applyProtection="1">
      <alignment horizontal="center" vertical="center" wrapText="1"/>
    </xf>
    <xf numFmtId="10" fontId="0" fillId="0" borderId="4" xfId="0" applyNumberFormat="1" applyFont="1" applyBorder="1" applyAlignment="1">
      <alignment horizontal="center" vertical="center"/>
    </xf>
    <xf numFmtId="176" fontId="1" fillId="5" borderId="3" xfId="1" applyNumberFormat="1" applyFont="1" applyFill="1" applyBorder="1" applyAlignment="1" applyProtection="1">
      <alignment horizontal="center" vertical="center" wrapText="1"/>
    </xf>
    <xf numFmtId="10" fontId="0" fillId="5" borderId="4" xfId="0" applyNumberFormat="1" applyFont="1" applyFill="1" applyBorder="1" applyAlignment="1">
      <alignment horizontal="center" vertical="center"/>
    </xf>
    <xf numFmtId="176" fontId="1" fillId="0" borderId="22" xfId="1" applyNumberFormat="1" applyFont="1" applyBorder="1" applyAlignment="1" applyProtection="1">
      <alignment horizontal="center" vertical="center" wrapText="1"/>
    </xf>
    <xf numFmtId="10" fontId="0" fillId="0" borderId="23" xfId="0" applyNumberFormat="1" applyFont="1" applyBorder="1" applyAlignment="1">
      <alignment horizontal="center" vertical="center"/>
    </xf>
    <xf numFmtId="176" fontId="1" fillId="0" borderId="7" xfId="1" applyNumberFormat="1" applyFont="1" applyFill="1" applyBorder="1" applyAlignment="1" applyProtection="1">
      <alignment horizontal="center" vertical="center" wrapText="1"/>
    </xf>
    <xf numFmtId="10" fontId="0" fillId="0" borderId="9" xfId="0" applyNumberFormat="1" applyFont="1" applyBorder="1" applyAlignment="1">
      <alignment horizontal="center" vertical="center"/>
    </xf>
    <xf numFmtId="0" fontId="4" fillId="0" borderId="0" xfId="0" applyFont="1" applyBorder="1" applyAlignment="1">
      <alignment horizontal="center" vertical="center" wrapText="1"/>
    </xf>
    <xf numFmtId="0" fontId="0" fillId="0" borderId="3" xfId="0" applyFont="1" applyBorder="1" applyAlignment="1">
      <alignment horizontal="center" vertical="center" wrapText="1"/>
    </xf>
    <xf numFmtId="0" fontId="14" fillId="0" borderId="3" xfId="0" applyFont="1" applyFill="1" applyBorder="1" applyAlignment="1">
      <alignment horizontal="center" vertical="center"/>
    </xf>
    <xf numFmtId="0" fontId="0" fillId="0" borderId="19" xfId="0"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10" fontId="0" fillId="0" borderId="6" xfId="0" applyNumberFormat="1" applyBorder="1" applyAlignment="1">
      <alignment horizontal="center" vertical="center" wrapText="1"/>
    </xf>
    <xf numFmtId="10" fontId="0" fillId="0" borderId="4" xfId="0" applyNumberFormat="1" applyFont="1" applyFill="1" applyBorder="1" applyAlignment="1">
      <alignment horizontal="center" vertical="center"/>
    </xf>
    <xf numFmtId="0" fontId="0" fillId="0" borderId="1" xfId="0" applyFont="1" applyFill="1" applyBorder="1" applyAlignment="1">
      <alignment horizontal="center" vertical="center" wrapText="1"/>
    </xf>
    <xf numFmtId="0" fontId="0" fillId="0" borderId="2" xfId="0" applyFont="1" applyBorder="1" applyAlignment="1">
      <alignment horizontal="center" vertical="center" wrapText="1"/>
    </xf>
    <xf numFmtId="0" fontId="0" fillId="0" borderId="13" xfId="0" applyFont="1" applyBorder="1" applyAlignment="1">
      <alignment horizontal="center" vertical="center" wrapText="1"/>
    </xf>
    <xf numFmtId="0" fontId="0" fillId="0" borderId="16" xfId="0" applyBorder="1" applyAlignment="1">
      <alignment horizontal="center" vertical="center" wrapText="1"/>
    </xf>
    <xf numFmtId="0" fontId="0" fillId="5" borderId="1" xfId="0" applyFont="1" applyFill="1" applyBorder="1" applyAlignment="1">
      <alignment horizontal="center" vertical="center" wrapText="1"/>
    </xf>
    <xf numFmtId="10" fontId="0" fillId="5" borderId="6" xfId="0" applyNumberFormat="1" applyFont="1" applyFill="1" applyBorder="1" applyAlignment="1">
      <alignment horizontal="center" vertical="center"/>
    </xf>
    <xf numFmtId="176" fontId="1" fillId="5" borderId="12" xfId="1" applyNumberFormat="1" applyFont="1" applyFill="1" applyBorder="1" applyAlignment="1" applyProtection="1">
      <alignment horizontal="center" vertical="center" wrapText="1"/>
    </xf>
    <xf numFmtId="0" fontId="0" fillId="5" borderId="2" xfId="0" applyFill="1" applyBorder="1" applyAlignment="1">
      <alignment horizontal="center" vertical="center" wrapText="1"/>
    </xf>
    <xf numFmtId="10" fontId="0" fillId="5" borderId="6" xfId="0" applyNumberFormat="1" applyFill="1" applyBorder="1" applyAlignment="1">
      <alignment horizontal="center" vertical="center" wrapText="1"/>
    </xf>
    <xf numFmtId="0" fontId="0" fillId="5" borderId="1" xfId="0" applyFill="1" applyBorder="1" applyAlignment="1">
      <alignment horizontal="center" vertical="center" wrapText="1"/>
    </xf>
    <xf numFmtId="10" fontId="0" fillId="5" borderId="4" xfId="0" applyNumberFormat="1" applyFill="1" applyBorder="1" applyAlignment="1">
      <alignment horizontal="center" vertical="center" wrapText="1"/>
    </xf>
    <xf numFmtId="0" fontId="15" fillId="0" borderId="14" xfId="0" applyFont="1" applyBorder="1" applyAlignment="1">
      <alignment horizontal="center" vertical="center" wrapText="1"/>
    </xf>
    <xf numFmtId="178" fontId="0" fillId="0" borderId="0" xfId="0" applyNumberFormat="1" applyFont="1" applyAlignment="1">
      <alignment horizontal="center" vertical="center" wrapText="1"/>
    </xf>
    <xf numFmtId="0" fontId="16" fillId="0" borderId="0" xfId="0" applyFont="1" applyFill="1" applyAlignment="1">
      <alignment horizontal="center" vertical="center" wrapText="1"/>
    </xf>
    <xf numFmtId="178" fontId="0" fillId="0" borderId="4" xfId="0" applyNumberFormat="1" applyFont="1" applyBorder="1" applyAlignment="1">
      <alignment horizontal="center" vertical="center" wrapText="1"/>
    </xf>
    <xf numFmtId="178" fontId="0" fillId="0" borderId="20" xfId="0" applyNumberFormat="1" applyFont="1" applyBorder="1" applyAlignment="1">
      <alignment horizontal="center" vertical="center" wrapText="1"/>
    </xf>
    <xf numFmtId="0" fontId="16" fillId="5" borderId="6" xfId="0" applyFont="1" applyFill="1" applyBorder="1" applyAlignment="1">
      <alignment horizontal="center" vertical="center" wrapText="1"/>
    </xf>
    <xf numFmtId="178" fontId="16" fillId="0" borderId="9" xfId="0" applyNumberFormat="1" applyFont="1" applyBorder="1" applyAlignment="1">
      <alignment horizontal="center" vertical="center" wrapText="1"/>
    </xf>
    <xf numFmtId="0" fontId="4" fillId="0" borderId="9" xfId="0" applyFont="1" applyBorder="1" applyAlignment="1">
      <alignment horizontal="center" vertical="center" wrapText="1"/>
    </xf>
    <xf numFmtId="0" fontId="12" fillId="0" borderId="7" xfId="0" applyFont="1" applyBorder="1" applyAlignment="1">
      <alignment horizontal="center" vertical="center" wrapText="1"/>
    </xf>
    <xf numFmtId="0" fontId="4" fillId="0" borderId="7" xfId="0" applyFont="1" applyFill="1" applyBorder="1" applyAlignment="1">
      <alignment horizontal="center" vertical="center" wrapText="1"/>
    </xf>
    <xf numFmtId="0" fontId="4" fillId="0" borderId="15"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25" xfId="0" applyFont="1" applyBorder="1" applyAlignment="1">
      <alignment horizontal="center" vertical="center" wrapText="1"/>
    </xf>
    <xf numFmtId="0" fontId="4" fillId="0" borderId="0" xfId="0" applyFont="1" applyAlignment="1">
      <alignment horizontal="center" vertical="center" wrapText="1"/>
    </xf>
    <xf numFmtId="10" fontId="0" fillId="0" borderId="23" xfId="0" applyNumberFormat="1" applyBorder="1" applyAlignment="1">
      <alignment horizontal="center" vertical="center" wrapText="1"/>
    </xf>
    <xf numFmtId="176" fontId="13" fillId="0" borderId="1" xfId="1" applyNumberFormat="1" applyFont="1" applyBorder="1" applyAlignment="1" applyProtection="1">
      <alignment horizontal="center" vertical="center"/>
    </xf>
    <xf numFmtId="0" fontId="0" fillId="0" borderId="22" xfId="0" applyBorder="1"/>
    <xf numFmtId="0" fontId="0" fillId="0" borderId="13" xfId="0" applyBorder="1" applyAlignment="1">
      <alignment horizontal="center"/>
    </xf>
    <xf numFmtId="10" fontId="0" fillId="0" borderId="23" xfId="0" applyNumberFormat="1" applyBorder="1" applyAlignment="1">
      <alignment horizontal="center" vertical="center"/>
    </xf>
    <xf numFmtId="0" fontId="4" fillId="0" borderId="28" xfId="0" applyFont="1" applyFill="1" applyBorder="1" applyAlignment="1">
      <alignment horizontal="center" vertical="center"/>
    </xf>
    <xf numFmtId="0" fontId="4" fillId="0" borderId="29" xfId="0" applyFont="1" applyBorder="1" applyAlignment="1">
      <alignment horizontal="center" vertical="center" wrapText="1"/>
    </xf>
    <xf numFmtId="0" fontId="4" fillId="0" borderId="30" xfId="0" applyFont="1" applyBorder="1" applyAlignment="1">
      <alignment horizontal="center" vertical="center"/>
    </xf>
    <xf numFmtId="176" fontId="13" fillId="0" borderId="3" xfId="1" applyNumberFormat="1" applyFont="1" applyBorder="1" applyAlignment="1" applyProtection="1">
      <alignment horizontal="center" vertical="center"/>
    </xf>
    <xf numFmtId="176" fontId="13" fillId="0" borderId="3" xfId="0" applyNumberFormat="1" applyFont="1" applyBorder="1" applyAlignment="1">
      <alignment horizontal="center" vertical="center" wrapText="1"/>
    </xf>
    <xf numFmtId="176" fontId="13" fillId="0" borderId="3" xfId="0" applyNumberFormat="1" applyFont="1" applyBorder="1" applyAlignment="1">
      <alignment horizontal="center" vertical="center"/>
    </xf>
    <xf numFmtId="0" fontId="4" fillId="0" borderId="22" xfId="0" applyFont="1" applyBorder="1" applyAlignment="1">
      <alignment horizontal="center" vertical="center" wrapText="1"/>
    </xf>
    <xf numFmtId="0" fontId="4" fillId="0" borderId="28" xfId="0" applyFont="1" applyBorder="1" applyAlignment="1">
      <alignment horizontal="center" vertical="center" wrapText="1"/>
    </xf>
    <xf numFmtId="0" fontId="4" fillId="0" borderId="30" xfId="0" applyFont="1" applyBorder="1" applyAlignment="1">
      <alignment horizontal="center" vertical="center" wrapText="1"/>
    </xf>
    <xf numFmtId="0" fontId="0" fillId="0" borderId="5" xfId="0" applyFont="1" applyBorder="1" applyAlignment="1">
      <alignment horizontal="center" vertical="center" wrapText="1"/>
    </xf>
    <xf numFmtId="0" fontId="0" fillId="0" borderId="31" xfId="0" applyFont="1" applyBorder="1" applyAlignment="1">
      <alignment horizontal="center" vertical="center" wrapText="1"/>
    </xf>
    <xf numFmtId="0" fontId="0" fillId="0" borderId="27" xfId="0" applyFont="1" applyBorder="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horizontal="center" vertical="center" wrapText="1"/>
    </xf>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xf>
    <xf numFmtId="10" fontId="0" fillId="0" borderId="4" xfId="0" applyNumberFormat="1" applyFill="1" applyBorder="1" applyAlignment="1">
      <alignment horizontal="center" vertical="center" wrapText="1"/>
    </xf>
    <xf numFmtId="176" fontId="13" fillId="0" borderId="22" xfId="0" applyNumberFormat="1" applyFont="1" applyBorder="1" applyAlignment="1">
      <alignment horizontal="center" vertical="center"/>
    </xf>
    <xf numFmtId="0" fontId="4" fillId="0" borderId="15" xfId="0" applyFont="1" applyFill="1" applyBorder="1" applyAlignment="1">
      <alignment horizontal="center" vertical="center"/>
    </xf>
    <xf numFmtId="0" fontId="4" fillId="0" borderId="25" xfId="0" applyFont="1" applyBorder="1" applyAlignment="1">
      <alignment horizontal="center" vertical="center"/>
    </xf>
    <xf numFmtId="0" fontId="15" fillId="0" borderId="3" xfId="0" applyFont="1" applyBorder="1" applyAlignment="1">
      <alignment horizontal="center" vertical="center" wrapText="1"/>
    </xf>
    <xf numFmtId="9" fontId="0" fillId="0" borderId="4" xfId="0" applyNumberFormat="1" applyBorder="1" applyAlignment="1">
      <alignment horizontal="center" vertical="center" wrapText="1"/>
    </xf>
    <xf numFmtId="176" fontId="1" fillId="5" borderId="14" xfId="1" applyNumberFormat="1" applyFont="1" applyFill="1" applyBorder="1" applyAlignment="1" applyProtection="1">
      <alignment horizontal="center" vertical="center" wrapText="1"/>
    </xf>
    <xf numFmtId="0" fontId="0" fillId="5" borderId="17" xfId="0" applyFill="1" applyBorder="1" applyAlignment="1">
      <alignment horizontal="center" vertical="center" wrapText="1"/>
    </xf>
    <xf numFmtId="176" fontId="1" fillId="0" borderId="19" xfId="1" applyNumberFormat="1" applyFont="1" applyFill="1" applyBorder="1" applyAlignment="1" applyProtection="1">
      <alignment horizontal="center" vertical="center" wrapText="1"/>
    </xf>
    <xf numFmtId="10" fontId="0" fillId="0" borderId="20" xfId="0" applyNumberFormat="1" applyFill="1" applyBorder="1" applyAlignment="1">
      <alignment horizontal="center" vertical="center" wrapText="1"/>
    </xf>
    <xf numFmtId="176" fontId="13" fillId="0" borderId="19" xfId="0" applyNumberFormat="1" applyFont="1" applyBorder="1" applyAlignment="1">
      <alignment horizontal="center" vertical="center"/>
    </xf>
    <xf numFmtId="10" fontId="0" fillId="0" borderId="0" xfId="0" applyNumberFormat="1" applyBorder="1" applyAlignment="1">
      <alignment horizontal="center" vertical="center" wrapText="1"/>
    </xf>
    <xf numFmtId="0" fontId="0" fillId="0" borderId="19" xfId="0" applyFont="1" applyBorder="1" applyAlignment="1">
      <alignment horizontal="center" vertical="center" wrapText="1"/>
    </xf>
    <xf numFmtId="0" fontId="4" fillId="0" borderId="28" xfId="0" applyFont="1" applyBorder="1" applyAlignment="1">
      <alignment horizontal="center"/>
    </xf>
    <xf numFmtId="0" fontId="0" fillId="0" borderId="29" xfId="0" applyBorder="1" applyAlignment="1">
      <alignment horizontal="center"/>
    </xf>
    <xf numFmtId="10" fontId="0" fillId="0" borderId="30" xfId="0" applyNumberFormat="1" applyBorder="1" applyAlignment="1">
      <alignment horizontal="center" vertical="center"/>
    </xf>
    <xf numFmtId="0" fontId="0" fillId="0" borderId="14" xfId="0" applyBorder="1" applyAlignment="1">
      <alignment horizontal="center" vertical="center" wrapText="1"/>
    </xf>
    <xf numFmtId="10" fontId="0" fillId="0" borderId="18" xfId="0" applyNumberFormat="1" applyBorder="1" applyAlignment="1">
      <alignment horizontal="center" vertical="center"/>
    </xf>
    <xf numFmtId="0" fontId="0" fillId="0" borderId="0" xfId="0" applyAlignment="1">
      <alignment horizontal="left" vertical="center"/>
    </xf>
    <xf numFmtId="0" fontId="18" fillId="0" borderId="0" xfId="0" applyFont="1" applyAlignment="1">
      <alignment horizontal="right" vertical="center" wrapText="1"/>
    </xf>
    <xf numFmtId="0" fontId="4" fillId="0" borderId="0" xfId="0" applyFont="1" applyAlignment="1">
      <alignment horizontal="right" vertical="center" wrapText="1"/>
    </xf>
    <xf numFmtId="10" fontId="0" fillId="0" borderId="0" xfId="0" applyNumberFormat="1" applyAlignment="1">
      <alignment horizontal="left"/>
    </xf>
    <xf numFmtId="176" fontId="13" fillId="5" borderId="3" xfId="0" applyNumberFormat="1" applyFont="1" applyFill="1" applyBorder="1" applyAlignment="1">
      <alignment horizontal="center" vertical="center"/>
    </xf>
    <xf numFmtId="176" fontId="13" fillId="5" borderId="3" xfId="0" applyNumberFormat="1" applyFont="1" applyFill="1" applyBorder="1" applyAlignment="1">
      <alignment horizontal="center" vertical="center" wrapText="1"/>
    </xf>
    <xf numFmtId="0" fontId="0" fillId="5" borderId="3" xfId="0" applyFill="1" applyBorder="1" applyAlignment="1">
      <alignment horizontal="center" vertical="center" wrapText="1"/>
    </xf>
    <xf numFmtId="176" fontId="13" fillId="5" borderId="3" xfId="1" applyNumberFormat="1" applyFont="1" applyFill="1" applyBorder="1" applyAlignment="1" applyProtection="1">
      <alignment horizontal="center" vertical="center"/>
    </xf>
    <xf numFmtId="0" fontId="0" fillId="5" borderId="12" xfId="0" applyFill="1" applyBorder="1" applyAlignment="1">
      <alignment horizontal="center" vertical="center" wrapText="1"/>
    </xf>
    <xf numFmtId="0" fontId="0" fillId="5" borderId="22" xfId="0" applyFill="1" applyBorder="1" applyAlignment="1">
      <alignment horizontal="center" vertical="center" wrapText="1"/>
    </xf>
    <xf numFmtId="1" fontId="0" fillId="5" borderId="1" xfId="0" applyNumberFormat="1" applyFill="1" applyBorder="1" applyAlignment="1">
      <alignment horizontal="center" vertical="center" wrapText="1"/>
    </xf>
    <xf numFmtId="10" fontId="0" fillId="0" borderId="0" xfId="0" applyNumberFormat="1" applyAlignment="1">
      <alignment horizontal="center" vertical="center" wrapText="1"/>
    </xf>
    <xf numFmtId="0" fontId="0" fillId="0" borderId="10" xfId="0" applyFill="1" applyBorder="1" applyAlignment="1">
      <alignment horizontal="center" vertical="center" wrapText="1"/>
    </xf>
    <xf numFmtId="10" fontId="0" fillId="5" borderId="34" xfId="0" applyNumberFormat="1" applyFill="1" applyBorder="1" applyAlignment="1">
      <alignment horizontal="center" vertical="center"/>
    </xf>
    <xf numFmtId="10" fontId="0" fillId="5" borderId="35" xfId="0" applyNumberFormat="1" applyFill="1" applyBorder="1" applyAlignment="1">
      <alignment horizontal="center" vertical="center"/>
    </xf>
    <xf numFmtId="10" fontId="0" fillId="5" borderId="35" xfId="0" applyNumberFormat="1" applyFill="1" applyBorder="1" applyAlignment="1">
      <alignment horizontal="center" vertical="center" wrapText="1"/>
    </xf>
    <xf numFmtId="10" fontId="0" fillId="5" borderId="34" xfId="0" applyNumberFormat="1" applyFill="1" applyBorder="1" applyAlignment="1">
      <alignment horizontal="center" vertical="center" wrapText="1"/>
    </xf>
    <xf numFmtId="176" fontId="1" fillId="0" borderId="28" xfId="1" applyNumberFormat="1" applyFont="1" applyFill="1" applyBorder="1" applyAlignment="1" applyProtection="1">
      <alignment horizontal="center" vertical="center" wrapText="1"/>
    </xf>
    <xf numFmtId="0" fontId="1" fillId="0" borderId="0" xfId="0" applyFont="1" applyAlignment="1">
      <alignment horizontal="left" vertical="center" wrapText="1"/>
    </xf>
    <xf numFmtId="0" fontId="8" fillId="2" borderId="1" xfId="1" applyFill="1" applyBorder="1" applyAlignment="1" applyProtection="1">
      <alignment horizontal="center" vertical="center" wrapText="1"/>
    </xf>
    <xf numFmtId="179" fontId="0" fillId="4" borderId="1" xfId="0" applyNumberFormat="1" applyFill="1" applyBorder="1" applyAlignment="1">
      <alignment horizontal="center" vertical="center" wrapText="1"/>
    </xf>
    <xf numFmtId="179" fontId="0" fillId="4" borderId="1" xfId="0" applyNumberFormat="1" applyFill="1" applyBorder="1" applyAlignment="1">
      <alignment horizontal="center" vertical="center"/>
    </xf>
    <xf numFmtId="179" fontId="0" fillId="4" borderId="13" xfId="0" applyNumberFormat="1" applyFill="1" applyBorder="1" applyAlignment="1">
      <alignment horizontal="center" vertical="center"/>
    </xf>
    <xf numFmtId="179" fontId="0" fillId="4" borderId="0" xfId="0" applyNumberFormat="1" applyFill="1" applyAlignment="1">
      <alignment horizontal="center" vertical="center"/>
    </xf>
    <xf numFmtId="0" fontId="8" fillId="0" borderId="1" xfId="1" applyFill="1" applyBorder="1" applyAlignment="1" applyProtection="1">
      <alignment horizontal="center" vertical="center"/>
    </xf>
    <xf numFmtId="179" fontId="0" fillId="0" borderId="1" xfId="0" applyNumberFormat="1" applyFill="1" applyBorder="1" applyAlignment="1">
      <alignment horizontal="center" vertical="center"/>
    </xf>
    <xf numFmtId="177" fontId="0" fillId="0" borderId="1" xfId="0" applyNumberFormat="1" applyFill="1" applyBorder="1" applyAlignment="1">
      <alignment horizontal="center" vertical="center" wrapText="1"/>
    </xf>
    <xf numFmtId="0" fontId="21" fillId="6" borderId="36" xfId="0" applyFont="1" applyFill="1" applyBorder="1" applyAlignment="1">
      <alignment horizontal="center" vertical="center" wrapText="1" readingOrder="1"/>
    </xf>
    <xf numFmtId="0" fontId="21" fillId="6" borderId="37" xfId="0" applyFont="1" applyFill="1" applyBorder="1" applyAlignment="1">
      <alignment horizontal="center" vertical="center" wrapText="1" readingOrder="1"/>
    </xf>
    <xf numFmtId="0" fontId="23" fillId="7" borderId="37" xfId="0" applyFont="1" applyFill="1" applyBorder="1" applyAlignment="1">
      <alignment horizontal="center" vertical="center" wrapText="1" readingOrder="1"/>
    </xf>
    <xf numFmtId="0" fontId="23" fillId="7" borderId="37" xfId="0" applyFont="1" applyFill="1" applyBorder="1" applyAlignment="1">
      <alignment horizontal="center" vertical="center" wrapText="1"/>
    </xf>
    <xf numFmtId="0" fontId="21" fillId="6" borderId="38" xfId="0" applyFont="1" applyFill="1" applyBorder="1" applyAlignment="1">
      <alignment horizontal="center" vertical="center" wrapText="1" readingOrder="1"/>
    </xf>
    <xf numFmtId="0" fontId="23" fillId="7" borderId="38" xfId="0" applyFont="1" applyFill="1" applyBorder="1" applyAlignment="1">
      <alignment horizontal="center" vertical="center" wrapText="1" readingOrder="1"/>
    </xf>
    <xf numFmtId="0" fontId="23" fillId="7" borderId="38" xfId="0" applyFont="1" applyFill="1" applyBorder="1" applyAlignment="1">
      <alignment horizontal="center" vertical="center" wrapText="1"/>
    </xf>
    <xf numFmtId="0" fontId="23" fillId="7" borderId="39" xfId="0" applyFont="1" applyFill="1" applyBorder="1" applyAlignment="1">
      <alignment horizontal="center" vertical="center" wrapText="1" readingOrder="1"/>
    </xf>
    <xf numFmtId="0" fontId="23" fillId="7" borderId="39" xfId="0" applyFont="1" applyFill="1" applyBorder="1" applyAlignment="1">
      <alignment horizontal="center" vertical="center" wrapText="1"/>
    </xf>
    <xf numFmtId="0" fontId="21" fillId="6" borderId="0" xfId="0" applyFont="1" applyFill="1" applyBorder="1" applyAlignment="1">
      <alignment horizontal="center" vertical="center" wrapText="1" readingOrder="1"/>
    </xf>
    <xf numFmtId="0" fontId="23" fillId="7" borderId="0" xfId="0" applyFont="1" applyFill="1" applyBorder="1" applyAlignment="1">
      <alignment horizontal="center" vertical="center" wrapText="1" readingOrder="1"/>
    </xf>
    <xf numFmtId="0" fontId="0" fillId="0" borderId="1" xfId="0" applyBorder="1"/>
    <xf numFmtId="0" fontId="0" fillId="5" borderId="1" xfId="0" applyFill="1" applyBorder="1"/>
    <xf numFmtId="0" fontId="0" fillId="5" borderId="1" xfId="0" applyFill="1" applyBorder="1" applyAlignment="1">
      <alignment horizontal="center"/>
    </xf>
    <xf numFmtId="0" fontId="0" fillId="0" borderId="1" xfId="0" applyBorder="1" applyAlignment="1">
      <alignment horizontal="center"/>
    </xf>
    <xf numFmtId="14" fontId="0" fillId="3" borderId="1" xfId="0" applyNumberFormat="1" applyFill="1" applyBorder="1" applyAlignment="1">
      <alignment horizontal="center" vertical="center"/>
    </xf>
    <xf numFmtId="0" fontId="8" fillId="4" borderId="1" xfId="1" applyFill="1" applyBorder="1" applyAlignment="1" applyProtection="1">
      <alignment horizontal="center" vertical="center" wrapText="1"/>
    </xf>
    <xf numFmtId="0" fontId="0" fillId="0" borderId="1" xfId="0" applyBorder="1" applyAlignment="1">
      <alignment horizontal="center" vertical="center"/>
    </xf>
    <xf numFmtId="0" fontId="1" fillId="0" borderId="27" xfId="0" applyFont="1" applyFill="1" applyBorder="1" applyAlignment="1">
      <alignment horizontal="center" vertical="center" wrapText="1"/>
    </xf>
    <xf numFmtId="0" fontId="0" fillId="0" borderId="2" xfId="0" applyBorder="1" applyAlignment="1">
      <alignment horizontal="center" vertical="center"/>
    </xf>
    <xf numFmtId="176" fontId="8" fillId="0" borderId="2" xfId="1" applyNumberFormat="1" applyBorder="1" applyAlignment="1" applyProtection="1">
      <alignment horizontal="center" vertical="center"/>
    </xf>
    <xf numFmtId="0" fontId="0" fillId="0" borderId="40" xfId="0" applyBorder="1" applyAlignment="1">
      <alignment horizontal="center" vertical="center" wrapText="1"/>
    </xf>
    <xf numFmtId="0" fontId="8" fillId="4" borderId="2" xfId="1" applyFill="1" applyBorder="1" applyAlignment="1" applyProtection="1">
      <alignment horizontal="center" vertical="center"/>
    </xf>
    <xf numFmtId="179" fontId="0" fillId="4" borderId="2" xfId="0" applyNumberFormat="1" applyFill="1" applyBorder="1" applyAlignment="1">
      <alignment horizontal="center" vertical="center"/>
    </xf>
    <xf numFmtId="177" fontId="0" fillId="4" borderId="2" xfId="0" applyNumberFormat="1" applyFill="1" applyBorder="1" applyAlignment="1">
      <alignment horizontal="center" vertical="center" wrapText="1"/>
    </xf>
    <xf numFmtId="0" fontId="8" fillId="0" borderId="2" xfId="1" applyBorder="1" applyAlignment="1" applyProtection="1">
      <alignment horizontal="center" vertical="center"/>
    </xf>
    <xf numFmtId="177" fontId="0" fillId="0" borderId="2" xfId="0" applyNumberFormat="1" applyBorder="1" applyAlignment="1">
      <alignment horizontal="center" vertical="center"/>
    </xf>
    <xf numFmtId="177" fontId="0" fillId="4" borderId="2" xfId="0" applyNumberFormat="1" applyFill="1" applyBorder="1" applyAlignment="1">
      <alignment horizontal="center" vertical="center"/>
    </xf>
    <xf numFmtId="177" fontId="0" fillId="3" borderId="2" xfId="0" applyNumberFormat="1" applyFill="1" applyBorder="1" applyAlignment="1">
      <alignment horizontal="center" vertical="center"/>
    </xf>
    <xf numFmtId="0" fontId="1" fillId="0" borderId="1" xfId="0" applyFont="1" applyBorder="1" applyAlignment="1">
      <alignment horizontal="left" vertical="center" wrapText="1"/>
    </xf>
    <xf numFmtId="176" fontId="13" fillId="0" borderId="1" xfId="0" applyNumberFormat="1" applyFont="1" applyBorder="1" applyAlignment="1">
      <alignment horizontal="center" vertical="center" wrapText="1"/>
    </xf>
    <xf numFmtId="177" fontId="0" fillId="0" borderId="1" xfId="0" applyNumberForma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40" xfId="0" applyBorder="1" applyAlignment="1">
      <alignment horizontal="center" vertical="center"/>
    </xf>
    <xf numFmtId="177" fontId="8" fillId="3" borderId="2" xfId="1" applyNumberFormat="1" applyFill="1" applyBorder="1" applyAlignment="1" applyProtection="1">
      <alignment horizontal="center" vertical="center" wrapText="1"/>
    </xf>
    <xf numFmtId="0" fontId="0" fillId="0" borderId="1" xfId="0" applyBorder="1" applyAlignment="1">
      <alignment horizontal="center" vertical="center"/>
    </xf>
    <xf numFmtId="0" fontId="8" fillId="2" borderId="13" xfId="1" applyFill="1" applyBorder="1" applyAlignment="1" applyProtection="1">
      <alignment horizontal="center" vertical="center"/>
    </xf>
    <xf numFmtId="0" fontId="1" fillId="0" borderId="13" xfId="0" applyFont="1" applyBorder="1" applyAlignment="1">
      <alignment horizontal="left" vertical="center" wrapText="1"/>
    </xf>
    <xf numFmtId="176" fontId="13" fillId="0" borderId="40" xfId="0" applyNumberFormat="1" applyFont="1" applyBorder="1" applyAlignment="1">
      <alignment horizontal="center" vertical="center"/>
    </xf>
    <xf numFmtId="177" fontId="0" fillId="2" borderId="40" xfId="0" applyNumberFormat="1" applyFill="1" applyBorder="1" applyAlignment="1">
      <alignment horizontal="center" vertical="center"/>
    </xf>
    <xf numFmtId="177" fontId="0" fillId="2" borderId="2" xfId="0" applyNumberFormat="1" applyFill="1" applyBorder="1" applyAlignment="1">
      <alignment horizontal="center" vertical="center"/>
    </xf>
    <xf numFmtId="0" fontId="0" fillId="0" borderId="1" xfId="0" applyBorder="1" applyAlignment="1">
      <alignment horizontal="center" vertical="center"/>
    </xf>
    <xf numFmtId="14" fontId="0" fillId="3" borderId="2" xfId="0" applyNumberFormat="1" applyFill="1"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0" fontId="0" fillId="0" borderId="33" xfId="0" applyBorder="1" applyAlignment="1">
      <alignment horizontal="center" vertical="center"/>
    </xf>
    <xf numFmtId="0" fontId="0" fillId="0" borderId="1" xfId="0" applyBorder="1" applyAlignment="1">
      <alignment horizontal="center" vertical="center"/>
    </xf>
    <xf numFmtId="0" fontId="0" fillId="0" borderId="13" xfId="0" applyBorder="1" applyAlignment="1">
      <alignment horizontal="center" vertical="center"/>
    </xf>
    <xf numFmtId="0" fontId="4" fillId="0" borderId="0" xfId="0" applyFont="1" applyAlignment="1">
      <alignment horizontal="center" vertical="center"/>
    </xf>
    <xf numFmtId="0" fontId="4" fillId="0" borderId="26" xfId="0" applyFont="1" applyBorder="1" applyAlignment="1">
      <alignment horizontal="center" vertical="center" wrapText="1"/>
    </xf>
    <xf numFmtId="0" fontId="4" fillId="0" borderId="0" xfId="0" applyFont="1" applyBorder="1" applyAlignment="1">
      <alignment horizontal="center" vertical="center"/>
    </xf>
    <xf numFmtId="0" fontId="4" fillId="0" borderId="0" xfId="0" applyFont="1" applyAlignment="1">
      <alignment horizontal="center" vertical="center" wrapText="1"/>
    </xf>
    <xf numFmtId="0" fontId="0" fillId="0" borderId="0" xfId="0" applyAlignment="1">
      <alignment horizontal="left" vertical="center" wrapText="1"/>
    </xf>
    <xf numFmtId="0" fontId="4" fillId="0" borderId="11" xfId="0" applyFont="1" applyBorder="1" applyAlignment="1">
      <alignment horizontal="center" vertical="center"/>
    </xf>
    <xf numFmtId="0" fontId="4" fillId="0" borderId="32" xfId="0" applyFont="1" applyBorder="1" applyAlignment="1">
      <alignment horizontal="center" vertical="center"/>
    </xf>
    <xf numFmtId="0" fontId="4" fillId="0" borderId="33" xfId="0" applyFont="1" applyBorder="1" applyAlignment="1">
      <alignment horizontal="center" vertical="center"/>
    </xf>
    <xf numFmtId="0" fontId="4" fillId="0" borderId="21" xfId="0" applyFont="1" applyBorder="1" applyAlignment="1">
      <alignment horizontal="center" vertical="center" wrapText="1"/>
    </xf>
    <xf numFmtId="0" fontId="4" fillId="0" borderId="5" xfId="0" applyFont="1" applyBorder="1" applyAlignment="1">
      <alignment horizontal="center" vertical="center" wrapText="1"/>
    </xf>
    <xf numFmtId="0" fontId="4" fillId="0" borderId="31" xfId="0" applyFont="1" applyBorder="1" applyAlignment="1">
      <alignment horizontal="center" vertical="center" wrapText="1"/>
    </xf>
    <xf numFmtId="0" fontId="4" fillId="0" borderId="27"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32" xfId="0" applyFont="1" applyBorder="1" applyAlignment="1">
      <alignment horizontal="center" vertical="center" wrapText="1"/>
    </xf>
    <xf numFmtId="0" fontId="4" fillId="0" borderId="33" xfId="0" applyFont="1" applyBorder="1" applyAlignment="1">
      <alignment horizontal="center" vertical="center" wrapText="1"/>
    </xf>
    <xf numFmtId="177" fontId="0" fillId="0" borderId="40" xfId="0" applyNumberFormat="1" applyFill="1" applyBorder="1" applyAlignment="1">
      <alignment horizontal="center" vertical="center"/>
    </xf>
    <xf numFmtId="58" fontId="8" fillId="2" borderId="2" xfId="1" applyNumberFormat="1" applyFill="1" applyBorder="1" applyAlignment="1" applyProtection="1">
      <alignment horizontal="center" vertical="center"/>
    </xf>
  </cellXfs>
  <cellStyles count="2">
    <cellStyle name="Hyperlink" xfId="1" builtinId="8"/>
    <cellStyle name="Normal" xfId="0" builtinId="0"/>
  </cellStyles>
  <dxfs count="25">
    <dxf>
      <fill>
        <patternFill>
          <bgColor rgb="FFFF0000"/>
        </patternFill>
      </fill>
    </dxf>
    <dxf>
      <fill>
        <patternFill>
          <bgColor rgb="FF00CC00"/>
        </patternFill>
      </fill>
    </dxf>
    <dxf>
      <fill>
        <patternFill>
          <bgColor rgb="FFFFFF00"/>
        </patternFill>
      </fill>
    </dxf>
    <dxf>
      <fill>
        <patternFill>
          <bgColor theme="8" tint="0.39994506668294322"/>
        </patternFill>
      </fill>
    </dxf>
    <dxf>
      <fill>
        <patternFill>
          <bgColor rgb="FF92D050"/>
        </patternFill>
      </fill>
    </dxf>
    <dxf>
      <fill>
        <patternFill>
          <bgColor theme="9" tint="0.59996337778862885"/>
        </patternFill>
      </fill>
    </dxf>
    <dxf>
      <font>
        <condense val="0"/>
        <extend val="0"/>
        <color rgb="FF9C0006"/>
      </font>
      <fill>
        <patternFill>
          <bgColor rgb="FFFFC7CE"/>
        </patternFill>
      </fill>
    </dxf>
    <dxf>
      <font>
        <b/>
        <i/>
      </font>
      <fill>
        <patternFill>
          <bgColor rgb="FFFFFF66"/>
        </patternFill>
      </fill>
      <border>
        <left style="thin">
          <color rgb="FFFF0000"/>
        </left>
        <right style="thin">
          <color rgb="FFFF0000"/>
        </right>
        <top style="thin">
          <color rgb="FFFF0000"/>
        </top>
        <bottom style="thin">
          <color rgb="FFFF0000"/>
        </bottom>
        <vertical/>
        <horizontal/>
      </border>
    </dxf>
    <dxf>
      <font>
        <condense val="0"/>
        <extend val="0"/>
        <color rgb="FF9C0006"/>
      </font>
      <fill>
        <patternFill>
          <bgColor rgb="FFFFC7CE"/>
        </patternFill>
      </fill>
    </dxf>
    <dxf>
      <font>
        <b/>
        <i/>
      </font>
      <fill>
        <patternFill>
          <bgColor rgb="FFFFFF66"/>
        </patternFill>
      </fill>
      <border>
        <left style="thin">
          <color rgb="FFFF0000"/>
        </left>
        <right style="thin">
          <color rgb="FFFF0000"/>
        </right>
        <top style="thin">
          <color rgb="FFFF0000"/>
        </top>
        <bottom style="thin">
          <color rgb="FFFF0000"/>
        </bottom>
        <vertical/>
        <horizontal/>
      </border>
    </dxf>
    <dxf>
      <font>
        <color auto="1"/>
      </font>
      <fill>
        <patternFill>
          <bgColor rgb="FF92D050"/>
        </patternFill>
      </fill>
    </dxf>
    <dxf>
      <fill>
        <patternFill>
          <bgColor rgb="FF00B0F0"/>
        </patternFill>
      </fill>
    </dxf>
    <dxf>
      <font>
        <condense val="0"/>
        <extend val="0"/>
        <color rgb="FF9C0006"/>
      </font>
      <fill>
        <patternFill>
          <bgColor rgb="FFFFC7CE"/>
        </patternFill>
      </fill>
    </dxf>
    <dxf>
      <font>
        <b/>
        <i/>
      </font>
      <fill>
        <patternFill>
          <bgColor rgb="FFFFFF66"/>
        </patternFill>
      </fill>
      <border>
        <left style="thin">
          <color rgb="FFFF0000"/>
        </left>
        <right style="thin">
          <color rgb="FFFF0000"/>
        </right>
        <top style="thin">
          <color rgb="FFFF0000"/>
        </top>
        <bottom style="thin">
          <color rgb="FFFF0000"/>
        </bottom>
        <vertical/>
        <horizontal/>
      </border>
    </dxf>
    <dxf>
      <fill>
        <patternFill>
          <bgColor rgb="FF00FF00"/>
        </patternFill>
      </fill>
    </dxf>
    <dxf>
      <fill>
        <patternFill>
          <bgColor rgb="FFFFFF00"/>
        </patternFill>
      </fill>
    </dxf>
    <dxf>
      <fill>
        <patternFill>
          <bgColor rgb="FFFF0000"/>
        </patternFill>
      </fill>
    </dxf>
    <dxf>
      <fill>
        <patternFill>
          <bgColor rgb="FFFF0000"/>
        </patternFill>
      </fill>
    </dxf>
    <dxf>
      <fill>
        <patternFill>
          <bgColor rgb="FF00CC00"/>
        </patternFill>
      </fill>
    </dxf>
    <dxf>
      <fill>
        <patternFill>
          <bgColor rgb="FFFFFF00"/>
        </patternFill>
      </fill>
    </dxf>
    <dxf>
      <fill>
        <patternFill>
          <bgColor theme="8" tint="0.39994506668294322"/>
        </patternFill>
      </fill>
    </dxf>
    <dxf>
      <fill>
        <patternFill>
          <bgColor rgb="FF92D050"/>
        </patternFill>
      </fill>
    </dxf>
    <dxf>
      <fill>
        <patternFill>
          <bgColor theme="9" tint="0.59996337778862885"/>
        </patternFill>
      </fill>
    </dxf>
    <dxf>
      <font>
        <condense val="0"/>
        <extend val="0"/>
        <color rgb="FF9C0006"/>
      </font>
      <fill>
        <patternFill>
          <bgColor rgb="FFFFC7CE"/>
        </patternFill>
      </fill>
    </dxf>
    <dxf>
      <font>
        <b/>
        <i/>
      </font>
      <fill>
        <patternFill>
          <bgColor rgb="FFFFFF66"/>
        </patternFill>
      </fill>
      <border>
        <left style="thin">
          <color rgb="FFFF0000"/>
        </left>
        <right style="thin">
          <color rgb="FFFF0000"/>
        </right>
        <top style="thin">
          <color rgb="FFFF0000"/>
        </top>
        <bottom style="thin">
          <color rgb="FFFF0000"/>
        </bottom>
        <vertical/>
        <horizontal/>
      </border>
    </dxf>
  </dxfs>
  <tableStyles count="0" defaultTableStyle="TableStyleMedium9" defaultPivotStyle="PivotStyleLight16"/>
  <colors>
    <mruColors>
      <color rgb="FFA7D971"/>
      <color rgb="FF31EF43"/>
      <color rgb="FF00CC00"/>
      <color rgb="FFFDDFC7"/>
      <color rgb="FFCCFF99"/>
      <color rgb="FF00FF00"/>
      <color rgb="FF0066FF"/>
      <color rgb="FFFFFF66"/>
      <color rgb="FF6DB947"/>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lang="zh-CN"/>
            </a:pPr>
            <a:r>
              <a:rPr lang="en-US" altLang="en-US"/>
              <a:t>Number of CARs Year 2011</a:t>
            </a:r>
          </a:p>
          <a:p>
            <a:pPr>
              <a:defRPr lang="zh-CN"/>
            </a:pPr>
            <a:r>
              <a:rPr lang="en-US" altLang="en-US"/>
              <a:t>Jan~Dec (12 months)</a:t>
            </a:r>
          </a:p>
        </c:rich>
      </c:tx>
      <c:layout>
        <c:manualLayout>
          <c:xMode val="edge"/>
          <c:yMode val="edge"/>
          <c:x val="0.15898061298114641"/>
          <c:y val="4.9019607843139579E-3"/>
        </c:manualLayout>
      </c:layout>
    </c:title>
    <c:plotArea>
      <c:layout>
        <c:manualLayout>
          <c:layoutTarget val="inner"/>
          <c:xMode val="edge"/>
          <c:yMode val="edge"/>
          <c:x val="9.9020453618596765E-2"/>
          <c:y val="0.26662034892697239"/>
          <c:w val="0.80195909276280763"/>
          <c:h val="0.5400436158715457"/>
        </c:manualLayout>
      </c:layout>
      <c:barChart>
        <c:barDir val="bar"/>
        <c:grouping val="clustered"/>
        <c:ser>
          <c:idx val="0"/>
          <c:order val="0"/>
          <c:tx>
            <c:strRef>
              <c:f>'2012~2011 Analysis'!$F$9</c:f>
              <c:strCache>
                <c:ptCount val="1"/>
                <c:pt idx="0">
                  <c:v>Number of CARs</c:v>
                </c:pt>
              </c:strCache>
            </c:strRef>
          </c:tx>
          <c:dLbls>
            <c:dLbl>
              <c:idx val="2"/>
              <c:layout>
                <c:manualLayout>
                  <c:x val="-3.7746651190513542E-3"/>
                  <c:y val="9.5075931095880747E-3"/>
                </c:manualLayout>
              </c:layout>
              <c:tx>
                <c:rich>
                  <a:bodyPr/>
                  <a:lstStyle/>
                  <a:p>
                    <a:r>
                      <a:rPr lang="en-US" altLang="en-US" sz="900"/>
                      <a:t>Base Maintenance, 9</a:t>
                    </a:r>
                  </a:p>
                </c:rich>
              </c:tx>
              <c:showVal val="1"/>
              <c:showCatName val="1"/>
            </c:dLbl>
            <c:txPr>
              <a:bodyPr/>
              <a:lstStyle/>
              <a:p>
                <a:pPr>
                  <a:defRPr lang="zh-CN" sz="900"/>
                </a:pPr>
                <a:endParaRPr lang="zh-CN"/>
              </a:p>
            </c:txPr>
            <c:showVal val="1"/>
            <c:showCatName val="1"/>
          </c:dLbls>
          <c:cat>
            <c:strRef>
              <c:f>'2012~2011 Analysis'!$E$10:$E$12</c:f>
              <c:strCache>
                <c:ptCount val="3"/>
                <c:pt idx="0">
                  <c:v>Home Base</c:v>
                </c:pt>
                <c:pt idx="1">
                  <c:v>Out Station</c:v>
                </c:pt>
                <c:pt idx="2">
                  <c:v>Base Maintenance</c:v>
                </c:pt>
              </c:strCache>
            </c:strRef>
          </c:cat>
          <c:val>
            <c:numRef>
              <c:f>'2012~2011 Analysis'!$F$10:$F$12</c:f>
              <c:numCache>
                <c:formatCode>General</c:formatCode>
                <c:ptCount val="3"/>
                <c:pt idx="0">
                  <c:v>0</c:v>
                </c:pt>
                <c:pt idx="1">
                  <c:v>0</c:v>
                </c:pt>
                <c:pt idx="2">
                  <c:v>0</c:v>
                </c:pt>
              </c:numCache>
            </c:numRef>
          </c:val>
        </c:ser>
        <c:gapWidth val="100"/>
        <c:axId val="61253888"/>
        <c:axId val="61252352"/>
      </c:barChart>
      <c:valAx>
        <c:axId val="61252352"/>
        <c:scaling>
          <c:orientation val="minMax"/>
        </c:scaling>
        <c:axPos val="b"/>
        <c:majorGridlines/>
        <c:numFmt formatCode="General" sourceLinked="1"/>
        <c:tickLblPos val="nextTo"/>
        <c:txPr>
          <a:bodyPr/>
          <a:lstStyle/>
          <a:p>
            <a:pPr>
              <a:defRPr lang="zh-CN"/>
            </a:pPr>
            <a:endParaRPr lang="zh-CN"/>
          </a:p>
        </c:txPr>
        <c:crossAx val="61253888"/>
        <c:crosses val="autoZero"/>
        <c:crossBetween val="between"/>
      </c:valAx>
      <c:catAx>
        <c:axId val="61253888"/>
        <c:scaling>
          <c:orientation val="minMax"/>
        </c:scaling>
        <c:delete val="1"/>
        <c:axPos val="l"/>
        <c:tickLblPos val="none"/>
        <c:crossAx val="61252352"/>
        <c:crosses val="autoZero"/>
        <c:auto val="1"/>
        <c:lblAlgn val="ctr"/>
        <c:lblOffset val="100"/>
      </c:catAx>
    </c:plotArea>
    <c:plotVisOnly val="1"/>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lang="zh-CN"/>
            </a:pPr>
            <a:r>
              <a:rPr lang="en-US" altLang="en-US"/>
              <a:t>Number of CARs Year 2010</a:t>
            </a:r>
          </a:p>
          <a:p>
            <a:pPr>
              <a:defRPr lang="zh-CN"/>
            </a:pPr>
            <a:r>
              <a:rPr lang="en-US" altLang="en-US"/>
              <a:t>Jan~Dec (12 months)</a:t>
            </a:r>
          </a:p>
        </c:rich>
      </c:tx>
    </c:title>
    <c:view3D>
      <c:rotX val="30"/>
      <c:perspective val="30"/>
    </c:view3D>
    <c:plotArea>
      <c:layout/>
      <c:pie3DChart>
        <c:varyColors val="1"/>
        <c:ser>
          <c:idx val="0"/>
          <c:order val="0"/>
          <c:tx>
            <c:strRef>
              <c:f>'2011~2010 Analysis'!$F$9</c:f>
              <c:strCache>
                <c:ptCount val="1"/>
                <c:pt idx="0">
                  <c:v>Number of CARs</c:v>
                </c:pt>
              </c:strCache>
            </c:strRef>
          </c:tx>
          <c:explosion val="25"/>
          <c:dLbls>
            <c:dLbl>
              <c:idx val="1"/>
              <c:tx>
                <c:rich>
                  <a:bodyPr/>
                  <a:lstStyle/>
                  <a:p>
                    <a:r>
                      <a:rPr lang="en-US" altLang="en-US" sz="950" baseline="0"/>
                      <a:t>Base Maintenance+outstation
23%</a:t>
                    </a:r>
                  </a:p>
                </c:rich>
              </c:tx>
              <c:showCatName val="1"/>
              <c:showPercent val="1"/>
            </c:dLbl>
            <c:txPr>
              <a:bodyPr/>
              <a:lstStyle/>
              <a:p>
                <a:pPr>
                  <a:defRPr lang="zh-CN"/>
                </a:pPr>
                <a:endParaRPr lang="zh-CN"/>
              </a:p>
            </c:txPr>
            <c:showCatName val="1"/>
            <c:showPercent val="1"/>
          </c:dLbls>
          <c:cat>
            <c:strRef>
              <c:f>'2011~2010 Analysis'!$E$10:$E$11</c:f>
              <c:strCache>
                <c:ptCount val="2"/>
                <c:pt idx="0">
                  <c:v>Homebase</c:v>
                </c:pt>
                <c:pt idx="1">
                  <c:v>Base Maintenance+outstation</c:v>
                </c:pt>
              </c:strCache>
            </c:strRef>
          </c:cat>
          <c:val>
            <c:numRef>
              <c:f>'2011~2010 Analysis'!$F$10:$F$11</c:f>
              <c:numCache>
                <c:formatCode>General</c:formatCode>
                <c:ptCount val="2"/>
                <c:pt idx="0">
                  <c:v>50</c:v>
                </c:pt>
                <c:pt idx="1">
                  <c:v>15</c:v>
                </c:pt>
              </c:numCache>
            </c:numRef>
          </c:val>
        </c:ser>
        <c:ser>
          <c:idx val="1"/>
          <c:order val="1"/>
          <c:tx>
            <c:strRef>
              <c:f>'2011~2010 Analysis'!$G$9</c:f>
              <c:strCache>
                <c:ptCount val="1"/>
                <c:pt idx="0">
                  <c:v>Percent</c:v>
                </c:pt>
              </c:strCache>
            </c:strRef>
          </c:tx>
          <c:explosion val="25"/>
          <c:cat>
            <c:strRef>
              <c:f>'2011~2010 Analysis'!$E$10:$E$11</c:f>
              <c:strCache>
                <c:ptCount val="2"/>
                <c:pt idx="0">
                  <c:v>Homebase</c:v>
                </c:pt>
                <c:pt idx="1">
                  <c:v>Base Maintenance+outstation</c:v>
                </c:pt>
              </c:strCache>
            </c:strRef>
          </c:cat>
          <c:val>
            <c:numRef>
              <c:f>'2011~2010 Analysis'!$G$10:$G$11</c:f>
              <c:numCache>
                <c:formatCode>0.00%</c:formatCode>
                <c:ptCount val="2"/>
                <c:pt idx="0">
                  <c:v>0.76923076923076927</c:v>
                </c:pt>
                <c:pt idx="1">
                  <c:v>0.23076923076923078</c:v>
                </c:pt>
              </c:numCache>
            </c:numRef>
          </c:val>
        </c:ser>
        <c:dLbls>
          <c:showCatName val="1"/>
          <c:showPercent val="1"/>
        </c:dLbls>
      </c:pie3DChart>
    </c:plotArea>
    <c:plotVisOnly val="1"/>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lang="zh-CN"/>
            </a:pPr>
            <a:r>
              <a:rPr lang="en-US" altLang="en-US" sz="1200"/>
              <a:t>AACM Audit Titles</a:t>
            </a:r>
          </a:p>
          <a:p>
            <a:pPr>
              <a:defRPr lang="zh-CN"/>
            </a:pPr>
            <a:r>
              <a:rPr lang="en-US" altLang="en-US" sz="1200"/>
              <a:t>Number of CARs Year 2011 (Jan~Dec)</a:t>
            </a:r>
          </a:p>
        </c:rich>
      </c:tx>
    </c:title>
    <c:view3D>
      <c:rotX val="30"/>
      <c:perspective val="30"/>
    </c:view3D>
    <c:plotArea>
      <c:layout/>
      <c:pie3DChart>
        <c:varyColors val="1"/>
        <c:ser>
          <c:idx val="0"/>
          <c:order val="0"/>
          <c:tx>
            <c:strRef>
              <c:f>'2011~2010 Analysis'!$B$15</c:f>
              <c:strCache>
                <c:ptCount val="1"/>
                <c:pt idx="0">
                  <c:v>Number of CARs</c:v>
                </c:pt>
              </c:strCache>
            </c:strRef>
          </c:tx>
          <c:explosion val="25"/>
          <c:cat>
            <c:strRef>
              <c:f>'2011~2010 Analysis'!$A$16:$A$33</c:f>
              <c:strCache>
                <c:ptCount val="18"/>
                <c:pt idx="0">
                  <c:v>145 Phase I</c:v>
                </c:pt>
                <c:pt idx="1">
                  <c:v>Taipei Station Audit</c:v>
                </c:pt>
                <c:pt idx="2">
                  <c:v>145 Phase II</c:v>
                </c:pt>
                <c:pt idx="3">
                  <c:v>6C follow up audit</c:v>
                </c:pt>
                <c:pt idx="4">
                  <c:v>Beijing Station Audit</c:v>
                </c:pt>
                <c:pt idx="5">
                  <c:v>KWL Station Audit</c:v>
                </c:pt>
                <c:pt idx="6">
                  <c:v>B-MAR 12C Audit</c:v>
                </c:pt>
                <c:pt idx="7">
                  <c:v>C Check in STARCO</c:v>
                </c:pt>
                <c:pt idx="8">
                  <c:v>AOC &amp; 145 Phase III</c:v>
                </c:pt>
                <c:pt idx="9">
                  <c:v>C of A renew</c:v>
                </c:pt>
                <c:pt idx="10">
                  <c:v>BKK Station Audit</c:v>
                </c:pt>
                <c:pt idx="11">
                  <c:v>He Fei Station Audit</c:v>
                </c:pt>
                <c:pt idx="12">
                  <c:v>NGB Station Audit</c:v>
                </c:pt>
                <c:pt idx="13">
                  <c:v>QA Manpower</c:v>
                </c:pt>
                <c:pt idx="14">
                  <c:v>SHA Intl' Airport Audit</c:v>
                </c:pt>
                <c:pt idx="15">
                  <c:v>B-MAS CoA Renewal</c:v>
                </c:pt>
                <c:pt idx="16">
                  <c:v>B-MAF CoA Renewal</c:v>
                </c:pt>
                <c:pt idx="17">
                  <c:v>MR Unannounced Audit</c:v>
                </c:pt>
              </c:strCache>
            </c:strRef>
          </c:cat>
          <c:val>
            <c:numRef>
              <c:f>'2011~2010 Analysis'!$B$16:$B$33</c:f>
              <c:numCache>
                <c:formatCode>General</c:formatCode>
                <c:ptCount val="18"/>
                <c:pt idx="0">
                  <c:v>0</c:v>
                </c:pt>
                <c:pt idx="1">
                  <c:v>0</c:v>
                </c:pt>
                <c:pt idx="2">
                  <c:v>0</c:v>
                </c:pt>
                <c:pt idx="3">
                  <c:v>0</c:v>
                </c:pt>
                <c:pt idx="4">
                  <c:v>0</c:v>
                </c:pt>
                <c:pt idx="5">
                  <c:v>0</c:v>
                </c:pt>
                <c:pt idx="6">
                  <c:v>0</c:v>
                </c:pt>
                <c:pt idx="7">
                  <c:v>0</c:v>
                </c:pt>
                <c:pt idx="8">
                  <c:v>0</c:v>
                </c:pt>
                <c:pt idx="9">
                  <c:v>0</c:v>
                </c:pt>
                <c:pt idx="10" formatCode="0">
                  <c:v>0</c:v>
                </c:pt>
                <c:pt idx="11">
                  <c:v>0</c:v>
                </c:pt>
                <c:pt idx="12">
                  <c:v>0</c:v>
                </c:pt>
                <c:pt idx="13">
                  <c:v>0</c:v>
                </c:pt>
                <c:pt idx="14">
                  <c:v>0</c:v>
                </c:pt>
                <c:pt idx="15">
                  <c:v>0</c:v>
                </c:pt>
                <c:pt idx="16">
                  <c:v>0</c:v>
                </c:pt>
                <c:pt idx="17">
                  <c:v>0</c:v>
                </c:pt>
              </c:numCache>
            </c:numRef>
          </c:val>
        </c:ser>
        <c:ser>
          <c:idx val="1"/>
          <c:order val="1"/>
          <c:tx>
            <c:strRef>
              <c:f>'2011~2010 Analysis'!$C$15</c:f>
              <c:strCache>
                <c:ptCount val="1"/>
                <c:pt idx="0">
                  <c:v>Percent</c:v>
                </c:pt>
              </c:strCache>
            </c:strRef>
          </c:tx>
          <c:explosion val="25"/>
          <c:cat>
            <c:strRef>
              <c:f>'2011~2010 Analysis'!$A$16:$A$24</c:f>
              <c:strCache>
                <c:ptCount val="9"/>
                <c:pt idx="0">
                  <c:v>145 Phase I</c:v>
                </c:pt>
                <c:pt idx="1">
                  <c:v>Taipei Station Audit</c:v>
                </c:pt>
                <c:pt idx="2">
                  <c:v>145 Phase II</c:v>
                </c:pt>
                <c:pt idx="3">
                  <c:v>6C follow up audit</c:v>
                </c:pt>
                <c:pt idx="4">
                  <c:v>Beijing Station Audit</c:v>
                </c:pt>
                <c:pt idx="5">
                  <c:v>KWL Station Audit</c:v>
                </c:pt>
                <c:pt idx="6">
                  <c:v>B-MAR 12C Audit</c:v>
                </c:pt>
                <c:pt idx="7">
                  <c:v>C Check in STARCO</c:v>
                </c:pt>
                <c:pt idx="8">
                  <c:v>AOC &amp; 145 Phase III</c:v>
                </c:pt>
              </c:strCache>
            </c:strRef>
          </c:cat>
          <c:val>
            <c:numRef>
              <c:f>'2011~2010 Analysis'!$C$16:$C$24</c:f>
              <c:numCache>
                <c:formatCode>0.00%</c:formatCode>
                <c:ptCount val="9"/>
                <c:pt idx="0">
                  <c:v>0</c:v>
                </c:pt>
                <c:pt idx="1">
                  <c:v>0</c:v>
                </c:pt>
                <c:pt idx="2">
                  <c:v>0</c:v>
                </c:pt>
                <c:pt idx="3">
                  <c:v>0</c:v>
                </c:pt>
                <c:pt idx="4">
                  <c:v>0</c:v>
                </c:pt>
                <c:pt idx="5">
                  <c:v>0</c:v>
                </c:pt>
                <c:pt idx="6">
                  <c:v>0</c:v>
                </c:pt>
                <c:pt idx="7">
                  <c:v>0</c:v>
                </c:pt>
                <c:pt idx="8">
                  <c:v>0</c:v>
                </c:pt>
              </c:numCache>
            </c:numRef>
          </c:val>
        </c:ser>
        <c:dLbls>
          <c:showCatName val="1"/>
          <c:showPercent val="1"/>
        </c:dLbls>
      </c:pie3DChart>
    </c:plotArea>
    <c:plotVisOnly val="1"/>
  </c:chart>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lang="zh-CN"/>
            </a:pPr>
            <a:r>
              <a:rPr lang="en-US" altLang="en-US" sz="1200"/>
              <a:t>AACM Audit Titles</a:t>
            </a:r>
          </a:p>
          <a:p>
            <a:pPr>
              <a:defRPr lang="zh-CN"/>
            </a:pPr>
            <a:r>
              <a:rPr lang="en-US" altLang="en-US" sz="1200"/>
              <a:t>Number of CARs Year 2010 (Jan~Dec)</a:t>
            </a:r>
          </a:p>
        </c:rich>
      </c:tx>
    </c:title>
    <c:view3D>
      <c:rotX val="30"/>
      <c:perspective val="30"/>
    </c:view3D>
    <c:plotArea>
      <c:layout/>
      <c:pie3DChart>
        <c:varyColors val="1"/>
        <c:ser>
          <c:idx val="0"/>
          <c:order val="0"/>
          <c:tx>
            <c:strRef>
              <c:f>'2011~2010 Analysis'!$F$15</c:f>
              <c:strCache>
                <c:ptCount val="1"/>
                <c:pt idx="0">
                  <c:v>Number of CARs</c:v>
                </c:pt>
              </c:strCache>
            </c:strRef>
          </c:tx>
          <c:explosion val="25"/>
          <c:cat>
            <c:strRef>
              <c:f>'2011~2010 Analysis'!$E$16:$E$23</c:f>
              <c:strCache>
                <c:ptCount val="8"/>
                <c:pt idx="0">
                  <c:v>C check</c:v>
                </c:pt>
                <c:pt idx="1">
                  <c:v>C of A Renewal</c:v>
                </c:pt>
                <c:pt idx="2">
                  <c:v>CMP Annual Revision</c:v>
                </c:pt>
                <c:pt idx="3">
                  <c:v>AOC&amp;MAR</c:v>
                </c:pt>
                <c:pt idx="4">
                  <c:v>ASL Renewal</c:v>
                </c:pt>
                <c:pt idx="5">
                  <c:v>Ramp inspection</c:v>
                </c:pt>
                <c:pt idx="6">
                  <c:v>Station</c:v>
                </c:pt>
                <c:pt idx="7">
                  <c:v>Unannounced Audit</c:v>
                </c:pt>
              </c:strCache>
            </c:strRef>
          </c:cat>
          <c:val>
            <c:numRef>
              <c:f>'2011~2010 Analysis'!$F$16:$F$23</c:f>
              <c:numCache>
                <c:formatCode>General</c:formatCode>
                <c:ptCount val="8"/>
                <c:pt idx="0">
                  <c:v>27</c:v>
                </c:pt>
                <c:pt idx="1">
                  <c:v>10</c:v>
                </c:pt>
                <c:pt idx="2">
                  <c:v>1</c:v>
                </c:pt>
                <c:pt idx="3">
                  <c:v>11</c:v>
                </c:pt>
                <c:pt idx="4">
                  <c:v>2</c:v>
                </c:pt>
                <c:pt idx="5">
                  <c:v>1</c:v>
                </c:pt>
                <c:pt idx="6">
                  <c:v>9</c:v>
                </c:pt>
                <c:pt idx="7">
                  <c:v>4</c:v>
                </c:pt>
              </c:numCache>
            </c:numRef>
          </c:val>
        </c:ser>
        <c:ser>
          <c:idx val="1"/>
          <c:order val="1"/>
          <c:tx>
            <c:strRef>
              <c:f>'2011~2010 Analysis'!$G$15</c:f>
              <c:strCache>
                <c:ptCount val="1"/>
                <c:pt idx="0">
                  <c:v>Percent</c:v>
                </c:pt>
              </c:strCache>
            </c:strRef>
          </c:tx>
          <c:explosion val="25"/>
          <c:cat>
            <c:strRef>
              <c:f>'2011~2010 Analysis'!$E$16:$E$23</c:f>
              <c:strCache>
                <c:ptCount val="8"/>
                <c:pt idx="0">
                  <c:v>C check</c:v>
                </c:pt>
                <c:pt idx="1">
                  <c:v>C of A Renewal</c:v>
                </c:pt>
                <c:pt idx="2">
                  <c:v>CMP Annual Revision</c:v>
                </c:pt>
                <c:pt idx="3">
                  <c:v>AOC&amp;MAR</c:v>
                </c:pt>
                <c:pt idx="4">
                  <c:v>ASL Renewal</c:v>
                </c:pt>
                <c:pt idx="5">
                  <c:v>Ramp inspection</c:v>
                </c:pt>
                <c:pt idx="6">
                  <c:v>Station</c:v>
                </c:pt>
                <c:pt idx="7">
                  <c:v>Unannounced Audit</c:v>
                </c:pt>
              </c:strCache>
            </c:strRef>
          </c:cat>
          <c:val>
            <c:numRef>
              <c:f>'2011~2010 Analysis'!$G$16:$G$23</c:f>
              <c:numCache>
                <c:formatCode>0.00%</c:formatCode>
                <c:ptCount val="8"/>
                <c:pt idx="0">
                  <c:v>0.41538461538461541</c:v>
                </c:pt>
                <c:pt idx="1">
                  <c:v>0.15384615384615385</c:v>
                </c:pt>
                <c:pt idx="2">
                  <c:v>1.5384615384615385E-2</c:v>
                </c:pt>
                <c:pt idx="3">
                  <c:v>0.16923076923076924</c:v>
                </c:pt>
                <c:pt idx="4">
                  <c:v>3.0769230769230771E-2</c:v>
                </c:pt>
                <c:pt idx="5">
                  <c:v>1.5384615384615385E-2</c:v>
                </c:pt>
                <c:pt idx="6">
                  <c:v>0.13846153846153847</c:v>
                </c:pt>
                <c:pt idx="7">
                  <c:v>6.1538461538461542E-2</c:v>
                </c:pt>
              </c:numCache>
            </c:numRef>
          </c:val>
        </c:ser>
        <c:dLbls>
          <c:showCatName val="1"/>
          <c:showPercent val="1"/>
        </c:dLbls>
      </c:pie3DChart>
    </c:plotArea>
    <c:plotVisOnly val="1"/>
  </c:chart>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lang="zh-CN"/>
            </a:pPr>
            <a:r>
              <a:rPr lang="en-US" altLang="zh-CN" sz="1200" b="1" i="0" baseline="0"/>
              <a:t>Division/station affected</a:t>
            </a:r>
            <a:endParaRPr lang="zh-CN" altLang="zh-CN" sz="1200"/>
          </a:p>
          <a:p>
            <a:pPr>
              <a:defRPr lang="zh-CN"/>
            </a:pPr>
            <a:r>
              <a:rPr lang="en-US" altLang="zh-CN" sz="1200" b="1" i="0" baseline="0"/>
              <a:t>Number of CARs </a:t>
            </a:r>
            <a:r>
              <a:rPr lang="en-US" altLang="zh-CN" sz="1200" b="1" i="0" u="none" strike="noStrike" baseline="0"/>
              <a:t>Year 2011 (Jan~Dec)</a:t>
            </a:r>
            <a:endParaRPr lang="zh-CN" altLang="zh-CN" sz="1200"/>
          </a:p>
        </c:rich>
      </c:tx>
      <c:layout>
        <c:manualLayout>
          <c:xMode val="edge"/>
          <c:yMode val="edge"/>
          <c:x val="0.27306707795547658"/>
          <c:y val="2.8469750889679856E-2"/>
        </c:manualLayout>
      </c:layout>
    </c:title>
    <c:view3D>
      <c:rotX val="30"/>
      <c:perspective val="30"/>
    </c:view3D>
    <c:plotArea>
      <c:layout/>
      <c:pie3DChart>
        <c:varyColors val="1"/>
        <c:ser>
          <c:idx val="0"/>
          <c:order val="0"/>
          <c:tx>
            <c:strRef>
              <c:f>'2011~2010 Analysis'!$B$43</c:f>
              <c:strCache>
                <c:ptCount val="1"/>
                <c:pt idx="0">
                  <c:v>Number of CARs</c:v>
                </c:pt>
              </c:strCache>
            </c:strRef>
          </c:tx>
          <c:explosion val="25"/>
          <c:dLbls>
            <c:dLbl>
              <c:idx val="3"/>
              <c:layout>
                <c:manualLayout>
                  <c:x val="1.2971832129231281E-3"/>
                  <c:y val="-9.4382454862181359E-2"/>
                </c:manualLayout>
              </c:layout>
              <c:showCatName val="1"/>
              <c:showPercent val="1"/>
            </c:dLbl>
            <c:dLbl>
              <c:idx val="4"/>
              <c:layout>
                <c:manualLayout>
                  <c:x val="-8.8722840057365748E-2"/>
                  <c:y val="-0.20847815731218691"/>
                </c:manualLayout>
              </c:layout>
              <c:showCatName val="1"/>
              <c:showPercent val="1"/>
            </c:dLbl>
            <c:dLbl>
              <c:idx val="5"/>
              <c:layout>
                <c:manualLayout>
                  <c:x val="-5.9217468950404709E-2"/>
                  <c:y val="-4.0233885355077895E-2"/>
                </c:manualLayout>
              </c:layout>
              <c:showCatName val="1"/>
              <c:showPercent val="1"/>
            </c:dLbl>
            <c:dLbl>
              <c:idx val="6"/>
              <c:layout>
                <c:manualLayout>
                  <c:x val="-5.9312985361367122E-2"/>
                  <c:y val="1.3644184156695721E-2"/>
                </c:manualLayout>
              </c:layout>
              <c:showCatName val="1"/>
              <c:showPercent val="1"/>
            </c:dLbl>
            <c:dLbl>
              <c:idx val="7"/>
              <c:layout>
                <c:manualLayout>
                  <c:x val="-0.17481045539410744"/>
                  <c:y val="-0.12049317678706579"/>
                </c:manualLayout>
              </c:layout>
              <c:showCatName val="1"/>
              <c:showPercent val="1"/>
            </c:dLbl>
            <c:dLbl>
              <c:idx val="8"/>
              <c:layout>
                <c:manualLayout>
                  <c:x val="9.4894607246259768E-2"/>
                  <c:y val="3.1578259123303852E-3"/>
                </c:manualLayout>
              </c:layout>
              <c:showCatName val="1"/>
              <c:showPercent val="1"/>
            </c:dLbl>
            <c:txPr>
              <a:bodyPr/>
              <a:lstStyle/>
              <a:p>
                <a:pPr>
                  <a:defRPr lang="zh-CN"/>
                </a:pPr>
                <a:endParaRPr lang="zh-CN"/>
              </a:p>
            </c:txPr>
            <c:showCatName val="1"/>
            <c:showPercent val="1"/>
          </c:dLbls>
          <c:cat>
            <c:strRef>
              <c:f>'2011~2010 Analysis'!$A$44:$A$52</c:f>
              <c:strCache>
                <c:ptCount val="9"/>
                <c:pt idx="0">
                  <c:v>Out Station</c:v>
                </c:pt>
                <c:pt idx="1">
                  <c:v>QD</c:v>
                </c:pt>
                <c:pt idx="2">
                  <c:v>ED</c:v>
                </c:pt>
                <c:pt idx="3">
                  <c:v>Base Maintenance</c:v>
                </c:pt>
                <c:pt idx="4">
                  <c:v>AMD</c:v>
                </c:pt>
                <c:pt idx="5">
                  <c:v>MR</c:v>
                </c:pt>
                <c:pt idx="6">
                  <c:v>PPC</c:v>
                </c:pt>
                <c:pt idx="7">
                  <c:v>MCC</c:v>
                </c:pt>
                <c:pt idx="8">
                  <c:v>FO</c:v>
                </c:pt>
              </c:strCache>
            </c:strRef>
          </c:cat>
          <c:val>
            <c:numRef>
              <c:f>'2011~2010 Analysis'!$B$44:$B$52</c:f>
              <c:numCache>
                <c:formatCode>General</c:formatCode>
                <c:ptCount val="9"/>
                <c:pt idx="0">
                  <c:v>0</c:v>
                </c:pt>
                <c:pt idx="1">
                  <c:v>0</c:v>
                </c:pt>
                <c:pt idx="2">
                  <c:v>0</c:v>
                </c:pt>
                <c:pt idx="3">
                  <c:v>0</c:v>
                </c:pt>
                <c:pt idx="4">
                  <c:v>0</c:v>
                </c:pt>
                <c:pt idx="5">
                  <c:v>0</c:v>
                </c:pt>
                <c:pt idx="6">
                  <c:v>0</c:v>
                </c:pt>
                <c:pt idx="7">
                  <c:v>0</c:v>
                </c:pt>
                <c:pt idx="8">
                  <c:v>0</c:v>
                </c:pt>
              </c:numCache>
            </c:numRef>
          </c:val>
        </c:ser>
        <c:ser>
          <c:idx val="1"/>
          <c:order val="1"/>
          <c:tx>
            <c:strRef>
              <c:f>'2011~2010 Analysis'!$C$43</c:f>
              <c:strCache>
                <c:ptCount val="1"/>
                <c:pt idx="0">
                  <c:v>Percent</c:v>
                </c:pt>
              </c:strCache>
            </c:strRef>
          </c:tx>
          <c:explosion val="25"/>
          <c:cat>
            <c:strRef>
              <c:f>'2011~2010 Analysis'!$A$44:$A$52</c:f>
              <c:strCache>
                <c:ptCount val="9"/>
                <c:pt idx="0">
                  <c:v>Out Station</c:v>
                </c:pt>
                <c:pt idx="1">
                  <c:v>QD</c:v>
                </c:pt>
                <c:pt idx="2">
                  <c:v>ED</c:v>
                </c:pt>
                <c:pt idx="3">
                  <c:v>Base Maintenance</c:v>
                </c:pt>
                <c:pt idx="4">
                  <c:v>AMD</c:v>
                </c:pt>
                <c:pt idx="5">
                  <c:v>MR</c:v>
                </c:pt>
                <c:pt idx="6">
                  <c:v>PPC</c:v>
                </c:pt>
                <c:pt idx="7">
                  <c:v>MCC</c:v>
                </c:pt>
                <c:pt idx="8">
                  <c:v>FO</c:v>
                </c:pt>
              </c:strCache>
            </c:strRef>
          </c:cat>
          <c:val>
            <c:numRef>
              <c:f>'2011~2010 Analysis'!$C$44:$C$52</c:f>
              <c:numCache>
                <c:formatCode>0.00%</c:formatCode>
                <c:ptCount val="9"/>
                <c:pt idx="0">
                  <c:v>0</c:v>
                </c:pt>
                <c:pt idx="1">
                  <c:v>0</c:v>
                </c:pt>
                <c:pt idx="2">
                  <c:v>0</c:v>
                </c:pt>
                <c:pt idx="3">
                  <c:v>0</c:v>
                </c:pt>
                <c:pt idx="4">
                  <c:v>0</c:v>
                </c:pt>
                <c:pt idx="5">
                  <c:v>0</c:v>
                </c:pt>
                <c:pt idx="6">
                  <c:v>0</c:v>
                </c:pt>
                <c:pt idx="7">
                  <c:v>0</c:v>
                </c:pt>
                <c:pt idx="8">
                  <c:v>0</c:v>
                </c:pt>
              </c:numCache>
            </c:numRef>
          </c:val>
        </c:ser>
        <c:dLbls>
          <c:showCatName val="1"/>
          <c:showPercent val="1"/>
        </c:dLbls>
      </c:pie3DChart>
    </c:plotArea>
    <c:plotVisOnly val="1"/>
  </c:chart>
  <c:printSettings>
    <c:headerFooter/>
    <c:pageMargins b="0.75000000000001465" l="0.70000000000000062" r="0.70000000000000062" t="0.7500000000000146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lang="zh-CN" sz="1200"/>
            </a:pPr>
            <a:r>
              <a:rPr lang="en-US" sz="1200"/>
              <a:t>Division/station affected</a:t>
            </a:r>
            <a:endParaRPr lang="zh-CN" sz="1200"/>
          </a:p>
          <a:p>
            <a:pPr>
              <a:defRPr lang="zh-CN" sz="1200"/>
            </a:pPr>
            <a:r>
              <a:rPr lang="en-US" sz="1200"/>
              <a:t>Number of CARs Year 2010 (Jan~Dec)</a:t>
            </a:r>
            <a:endParaRPr lang="zh-CN" sz="1200"/>
          </a:p>
        </c:rich>
      </c:tx>
    </c:title>
    <c:view3D>
      <c:rotX val="30"/>
      <c:perspective val="30"/>
    </c:view3D>
    <c:plotArea>
      <c:layout/>
      <c:pie3DChart>
        <c:varyColors val="1"/>
        <c:ser>
          <c:idx val="4"/>
          <c:order val="4"/>
          <c:tx>
            <c:strRef>
              <c:f>'2011~2010 Analysis'!$F$33</c:f>
              <c:strCache>
                <c:ptCount val="1"/>
                <c:pt idx="0">
                  <c:v>Number of CARs</c:v>
                </c:pt>
              </c:strCache>
            </c:strRef>
          </c:tx>
          <c:explosion val="25"/>
          <c:cat>
            <c:strRef>
              <c:f>'2011~2010 Analysis'!$E$34:$E$41</c:f>
              <c:strCache>
                <c:ptCount val="8"/>
                <c:pt idx="0">
                  <c:v>ED(+PPC)</c:v>
                </c:pt>
                <c:pt idx="1">
                  <c:v>QD</c:v>
                </c:pt>
                <c:pt idx="2">
                  <c:v>ED</c:v>
                </c:pt>
                <c:pt idx="3">
                  <c:v>AMD</c:v>
                </c:pt>
                <c:pt idx="4">
                  <c:v>PPC</c:v>
                </c:pt>
                <c:pt idx="5">
                  <c:v>Base Maintenance</c:v>
                </c:pt>
                <c:pt idx="6">
                  <c:v>Outstation</c:v>
                </c:pt>
                <c:pt idx="7">
                  <c:v>MR</c:v>
                </c:pt>
              </c:strCache>
            </c:strRef>
          </c:cat>
          <c:val>
            <c:numRef>
              <c:f>'2011~2010 Analysis'!$F$34:$F$41</c:f>
              <c:numCache>
                <c:formatCode>General</c:formatCode>
                <c:ptCount val="8"/>
                <c:pt idx="0">
                  <c:v>22</c:v>
                </c:pt>
                <c:pt idx="1">
                  <c:v>17</c:v>
                </c:pt>
                <c:pt idx="2">
                  <c:v>14</c:v>
                </c:pt>
                <c:pt idx="3">
                  <c:v>9</c:v>
                </c:pt>
                <c:pt idx="4">
                  <c:v>8</c:v>
                </c:pt>
                <c:pt idx="5">
                  <c:v>8</c:v>
                </c:pt>
                <c:pt idx="6">
                  <c:v>7</c:v>
                </c:pt>
                <c:pt idx="7">
                  <c:v>2</c:v>
                </c:pt>
              </c:numCache>
            </c:numRef>
          </c:val>
        </c:ser>
        <c:ser>
          <c:idx val="5"/>
          <c:order val="5"/>
          <c:tx>
            <c:strRef>
              <c:f>'2011~2010 Analysis'!$G$33</c:f>
              <c:strCache>
                <c:ptCount val="1"/>
                <c:pt idx="0">
                  <c:v>Percent</c:v>
                </c:pt>
              </c:strCache>
            </c:strRef>
          </c:tx>
          <c:explosion val="25"/>
          <c:cat>
            <c:strRef>
              <c:f>'2011~2010 Analysis'!$E$34:$E$41</c:f>
              <c:strCache>
                <c:ptCount val="8"/>
                <c:pt idx="0">
                  <c:v>ED(+PPC)</c:v>
                </c:pt>
                <c:pt idx="1">
                  <c:v>QD</c:v>
                </c:pt>
                <c:pt idx="2">
                  <c:v>ED</c:v>
                </c:pt>
                <c:pt idx="3">
                  <c:v>AMD</c:v>
                </c:pt>
                <c:pt idx="4">
                  <c:v>PPC</c:v>
                </c:pt>
                <c:pt idx="5">
                  <c:v>Base Maintenance</c:v>
                </c:pt>
                <c:pt idx="6">
                  <c:v>Outstation</c:v>
                </c:pt>
                <c:pt idx="7">
                  <c:v>MR</c:v>
                </c:pt>
              </c:strCache>
            </c:strRef>
          </c:cat>
          <c:val>
            <c:numRef>
              <c:f>'2011~2010 Analysis'!$G$34:$G$41</c:f>
              <c:numCache>
                <c:formatCode>0.00%</c:formatCode>
                <c:ptCount val="8"/>
                <c:pt idx="0">
                  <c:v>0.33846153846153848</c:v>
                </c:pt>
                <c:pt idx="1">
                  <c:v>0.26153846153846155</c:v>
                </c:pt>
                <c:pt idx="2">
                  <c:v>0.2153846153846154</c:v>
                </c:pt>
                <c:pt idx="3">
                  <c:v>0.13846153846153847</c:v>
                </c:pt>
                <c:pt idx="4">
                  <c:v>0.12307692307692308</c:v>
                </c:pt>
                <c:pt idx="5">
                  <c:v>0.12307692307692308</c:v>
                </c:pt>
                <c:pt idx="6">
                  <c:v>0.1076923076923077</c:v>
                </c:pt>
                <c:pt idx="7">
                  <c:v>3.0769230769230771E-2</c:v>
                </c:pt>
              </c:numCache>
            </c:numRef>
          </c:val>
        </c:ser>
        <c:ser>
          <c:idx val="2"/>
          <c:order val="2"/>
          <c:tx>
            <c:strRef>
              <c:f>'2011~2010 Analysis'!$B$43</c:f>
              <c:strCache>
                <c:ptCount val="1"/>
                <c:pt idx="0">
                  <c:v>Number of CARs</c:v>
                </c:pt>
              </c:strCache>
            </c:strRef>
          </c:tx>
          <c:explosion val="25"/>
          <c:cat>
            <c:strRef>
              <c:f>'2011~2010 Analysis'!$A$44:$A$52</c:f>
              <c:strCache>
                <c:ptCount val="9"/>
                <c:pt idx="0">
                  <c:v>Out Station</c:v>
                </c:pt>
                <c:pt idx="1">
                  <c:v>QD</c:v>
                </c:pt>
                <c:pt idx="2">
                  <c:v>ED</c:v>
                </c:pt>
                <c:pt idx="3">
                  <c:v>Base Maintenance</c:v>
                </c:pt>
                <c:pt idx="4">
                  <c:v>AMD</c:v>
                </c:pt>
                <c:pt idx="5">
                  <c:v>MR</c:v>
                </c:pt>
                <c:pt idx="6">
                  <c:v>PPC</c:v>
                </c:pt>
                <c:pt idx="7">
                  <c:v>MCC</c:v>
                </c:pt>
                <c:pt idx="8">
                  <c:v>FO</c:v>
                </c:pt>
              </c:strCache>
            </c:strRef>
          </c:cat>
          <c:val>
            <c:numRef>
              <c:f>'2011~2010 Analysis'!$B$44:$B$52</c:f>
              <c:numCache>
                <c:formatCode>General</c:formatCode>
                <c:ptCount val="9"/>
                <c:pt idx="0">
                  <c:v>0</c:v>
                </c:pt>
                <c:pt idx="1">
                  <c:v>0</c:v>
                </c:pt>
                <c:pt idx="2">
                  <c:v>0</c:v>
                </c:pt>
                <c:pt idx="3">
                  <c:v>0</c:v>
                </c:pt>
                <c:pt idx="4">
                  <c:v>0</c:v>
                </c:pt>
                <c:pt idx="5">
                  <c:v>0</c:v>
                </c:pt>
                <c:pt idx="6">
                  <c:v>0</c:v>
                </c:pt>
                <c:pt idx="7">
                  <c:v>0</c:v>
                </c:pt>
                <c:pt idx="8">
                  <c:v>0</c:v>
                </c:pt>
              </c:numCache>
            </c:numRef>
          </c:val>
        </c:ser>
        <c:ser>
          <c:idx val="3"/>
          <c:order val="3"/>
          <c:tx>
            <c:strRef>
              <c:f>'2011~2010 Analysis'!$C$43</c:f>
              <c:strCache>
                <c:ptCount val="1"/>
                <c:pt idx="0">
                  <c:v>Percent</c:v>
                </c:pt>
              </c:strCache>
            </c:strRef>
          </c:tx>
          <c:explosion val="25"/>
          <c:cat>
            <c:strRef>
              <c:f>'2011~2010 Analysis'!$A$44:$A$52</c:f>
              <c:strCache>
                <c:ptCount val="9"/>
                <c:pt idx="0">
                  <c:v>Out Station</c:v>
                </c:pt>
                <c:pt idx="1">
                  <c:v>QD</c:v>
                </c:pt>
                <c:pt idx="2">
                  <c:v>ED</c:v>
                </c:pt>
                <c:pt idx="3">
                  <c:v>Base Maintenance</c:v>
                </c:pt>
                <c:pt idx="4">
                  <c:v>AMD</c:v>
                </c:pt>
                <c:pt idx="5">
                  <c:v>MR</c:v>
                </c:pt>
                <c:pt idx="6">
                  <c:v>PPC</c:v>
                </c:pt>
                <c:pt idx="7">
                  <c:v>MCC</c:v>
                </c:pt>
                <c:pt idx="8">
                  <c:v>FO</c:v>
                </c:pt>
              </c:strCache>
            </c:strRef>
          </c:cat>
          <c:val>
            <c:numRef>
              <c:f>'2011~2010 Analysis'!$C$44:$C$52</c:f>
              <c:numCache>
                <c:formatCode>0.00%</c:formatCode>
                <c:ptCount val="9"/>
                <c:pt idx="0">
                  <c:v>0</c:v>
                </c:pt>
                <c:pt idx="1">
                  <c:v>0</c:v>
                </c:pt>
                <c:pt idx="2">
                  <c:v>0</c:v>
                </c:pt>
                <c:pt idx="3">
                  <c:v>0</c:v>
                </c:pt>
                <c:pt idx="4">
                  <c:v>0</c:v>
                </c:pt>
                <c:pt idx="5">
                  <c:v>0</c:v>
                </c:pt>
                <c:pt idx="6">
                  <c:v>0</c:v>
                </c:pt>
                <c:pt idx="7">
                  <c:v>0</c:v>
                </c:pt>
                <c:pt idx="8">
                  <c:v>0</c:v>
                </c:pt>
              </c:numCache>
            </c:numRef>
          </c:val>
        </c:ser>
        <c:ser>
          <c:idx val="0"/>
          <c:order val="0"/>
          <c:tx>
            <c:strRef>
              <c:f>'2011~2010 Analysis'!$F$33</c:f>
              <c:strCache>
                <c:ptCount val="1"/>
                <c:pt idx="0">
                  <c:v>Number of CARs</c:v>
                </c:pt>
              </c:strCache>
            </c:strRef>
          </c:tx>
          <c:explosion val="25"/>
          <c:cat>
            <c:strRef>
              <c:f>'2011~2010 Analysis'!$E$34:$E$41</c:f>
              <c:strCache>
                <c:ptCount val="8"/>
                <c:pt idx="0">
                  <c:v>ED(+PPC)</c:v>
                </c:pt>
                <c:pt idx="1">
                  <c:v>QD</c:v>
                </c:pt>
                <c:pt idx="2">
                  <c:v>ED</c:v>
                </c:pt>
                <c:pt idx="3">
                  <c:v>AMD</c:v>
                </c:pt>
                <c:pt idx="4">
                  <c:v>PPC</c:v>
                </c:pt>
                <c:pt idx="5">
                  <c:v>Base Maintenance</c:v>
                </c:pt>
                <c:pt idx="6">
                  <c:v>Outstation</c:v>
                </c:pt>
                <c:pt idx="7">
                  <c:v>MR</c:v>
                </c:pt>
              </c:strCache>
            </c:strRef>
          </c:cat>
          <c:val>
            <c:numRef>
              <c:f>'2011~2010 Analysis'!$F$34:$F$41</c:f>
              <c:numCache>
                <c:formatCode>General</c:formatCode>
                <c:ptCount val="8"/>
                <c:pt idx="0">
                  <c:v>22</c:v>
                </c:pt>
                <c:pt idx="1">
                  <c:v>17</c:v>
                </c:pt>
                <c:pt idx="2">
                  <c:v>14</c:v>
                </c:pt>
                <c:pt idx="3">
                  <c:v>9</c:v>
                </c:pt>
                <c:pt idx="4">
                  <c:v>8</c:v>
                </c:pt>
                <c:pt idx="5">
                  <c:v>8</c:v>
                </c:pt>
                <c:pt idx="6">
                  <c:v>7</c:v>
                </c:pt>
                <c:pt idx="7">
                  <c:v>2</c:v>
                </c:pt>
              </c:numCache>
            </c:numRef>
          </c:val>
        </c:ser>
        <c:ser>
          <c:idx val="1"/>
          <c:order val="1"/>
          <c:tx>
            <c:strRef>
              <c:f>'2011~2010 Analysis'!$G$33</c:f>
              <c:strCache>
                <c:ptCount val="1"/>
                <c:pt idx="0">
                  <c:v>Percent</c:v>
                </c:pt>
              </c:strCache>
            </c:strRef>
          </c:tx>
          <c:explosion val="25"/>
          <c:cat>
            <c:strRef>
              <c:f>'2011~2010 Analysis'!$E$34:$E$41</c:f>
              <c:strCache>
                <c:ptCount val="8"/>
                <c:pt idx="0">
                  <c:v>ED(+PPC)</c:v>
                </c:pt>
                <c:pt idx="1">
                  <c:v>QD</c:v>
                </c:pt>
                <c:pt idx="2">
                  <c:v>ED</c:v>
                </c:pt>
                <c:pt idx="3">
                  <c:v>AMD</c:v>
                </c:pt>
                <c:pt idx="4">
                  <c:v>PPC</c:v>
                </c:pt>
                <c:pt idx="5">
                  <c:v>Base Maintenance</c:v>
                </c:pt>
                <c:pt idx="6">
                  <c:v>Outstation</c:v>
                </c:pt>
                <c:pt idx="7">
                  <c:v>MR</c:v>
                </c:pt>
              </c:strCache>
            </c:strRef>
          </c:cat>
          <c:val>
            <c:numRef>
              <c:f>'2011~2010 Analysis'!$G$34:$G$41</c:f>
              <c:numCache>
                <c:formatCode>0.00%</c:formatCode>
                <c:ptCount val="8"/>
                <c:pt idx="0">
                  <c:v>0.33846153846153848</c:v>
                </c:pt>
                <c:pt idx="1">
                  <c:v>0.26153846153846155</c:v>
                </c:pt>
                <c:pt idx="2">
                  <c:v>0.2153846153846154</c:v>
                </c:pt>
                <c:pt idx="3">
                  <c:v>0.13846153846153847</c:v>
                </c:pt>
                <c:pt idx="4">
                  <c:v>0.12307692307692308</c:v>
                </c:pt>
                <c:pt idx="5">
                  <c:v>0.12307692307692308</c:v>
                </c:pt>
                <c:pt idx="6">
                  <c:v>0.1076923076923077</c:v>
                </c:pt>
                <c:pt idx="7">
                  <c:v>3.0769230769230771E-2</c:v>
                </c:pt>
              </c:numCache>
            </c:numRef>
          </c:val>
        </c:ser>
        <c:dLbls>
          <c:showCatName val="1"/>
          <c:showPercent val="1"/>
        </c:dLbls>
      </c:pie3DChart>
    </c:plotArea>
    <c:plotVisOnly val="1"/>
  </c:chart>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lang="zh-CN"/>
            </a:pPr>
            <a:r>
              <a:rPr lang="en-US" altLang="en-US" sz="1800"/>
              <a:t>Area Concerned</a:t>
            </a:r>
          </a:p>
          <a:p>
            <a:pPr>
              <a:defRPr lang="zh-CN"/>
            </a:pPr>
            <a:r>
              <a:rPr lang="en-US" altLang="en-US" sz="1800"/>
              <a:t>Number of CARs Year</a:t>
            </a:r>
            <a:r>
              <a:rPr lang="en-US" altLang="en-US" sz="1800" baseline="0"/>
              <a:t> 2011 (Jan~Dec)</a:t>
            </a:r>
            <a:endParaRPr lang="en-US" altLang="en-US" sz="1800"/>
          </a:p>
        </c:rich>
      </c:tx>
    </c:title>
    <c:view3D>
      <c:perspective val="30"/>
    </c:view3D>
    <c:plotArea>
      <c:layout/>
      <c:bar3DChart>
        <c:barDir val="bar"/>
        <c:grouping val="clustered"/>
        <c:ser>
          <c:idx val="0"/>
          <c:order val="0"/>
          <c:tx>
            <c:strRef>
              <c:f>'2011~2010 Analysis'!$B$55</c:f>
              <c:strCache>
                <c:ptCount val="1"/>
                <c:pt idx="0">
                  <c:v>Number of CARs</c:v>
                </c:pt>
              </c:strCache>
            </c:strRef>
          </c:tx>
          <c:dLbls>
            <c:txPr>
              <a:bodyPr/>
              <a:lstStyle/>
              <a:p>
                <a:pPr>
                  <a:defRPr lang="zh-CN"/>
                </a:pPr>
                <a:endParaRPr lang="zh-CN"/>
              </a:p>
            </c:txPr>
            <c:showVal val="1"/>
          </c:dLbls>
          <c:cat>
            <c:strRef>
              <c:f>'2011~2010 Analysis'!$A$56:$A$79</c:f>
              <c:strCache>
                <c:ptCount val="24"/>
                <c:pt idx="0">
                  <c:v>Maintenance Data</c:v>
                </c:pt>
                <c:pt idx="1">
                  <c:v>CRS</c:v>
                </c:pt>
                <c:pt idx="2">
                  <c:v>Maintenance Records</c:v>
                </c:pt>
                <c:pt idx="3">
                  <c:v>Orgnization mornitor</c:v>
                </c:pt>
                <c:pt idx="4">
                  <c:v>Work package</c:v>
                </c:pt>
                <c:pt idx="5">
                  <c:v>Goods Inspection-Labelling &amp; Tagging</c:v>
                </c:pt>
                <c:pt idx="6">
                  <c:v>Quality system</c:v>
                </c:pt>
                <c:pt idx="7">
                  <c:v>Qualification of Staff</c:v>
                </c:pt>
                <c:pt idx="8">
                  <c:v>Store</c:v>
                </c:pt>
                <c:pt idx="9">
                  <c:v>AD Control</c:v>
                </c:pt>
                <c:pt idx="10">
                  <c:v>Certification of maintenance</c:v>
                </c:pt>
                <c:pt idx="11">
                  <c:v>Duties and responsibilities</c:v>
                </c:pt>
                <c:pt idx="12">
                  <c:v>Interface procedure</c:v>
                </c:pt>
                <c:pt idx="13">
                  <c:v>Implemention of AC</c:v>
                </c:pt>
                <c:pt idx="14">
                  <c:v>Parts segregation</c:v>
                </c:pt>
                <c:pt idx="15">
                  <c:v>Personnel Quantity</c:v>
                </c:pt>
                <c:pt idx="16">
                  <c:v>Tool and equipment</c:v>
                </c:pt>
                <c:pt idx="17">
                  <c:v>Training</c:v>
                </c:pt>
                <c:pt idx="18">
                  <c:v>Flight Test Programme</c:v>
                </c:pt>
                <c:pt idx="19">
                  <c:v>Regulation Compliance</c:v>
                </c:pt>
                <c:pt idx="20">
                  <c:v>Procedure Manual for Base Maintenance</c:v>
                </c:pt>
                <c:pt idx="21">
                  <c:v>Ground Handling equipment</c:v>
                </c:pt>
                <c:pt idx="22">
                  <c:v>Certification of registration</c:v>
                </c:pt>
                <c:pt idx="23">
                  <c:v>Approved parts &amp;Materials</c:v>
                </c:pt>
              </c:strCache>
            </c:strRef>
          </c:cat>
          <c:val>
            <c:numRef>
              <c:f>'2011~2010 Analysis'!$B$56:$B$79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er>
        <c:shape val="cylinder"/>
        <c:axId val="138231808"/>
        <c:axId val="138233344"/>
        <c:axId val="0"/>
      </c:bar3DChart>
      <c:catAx>
        <c:axId val="138231808"/>
        <c:scaling>
          <c:orientation val="minMax"/>
        </c:scaling>
        <c:axPos val="l"/>
        <c:majorTickMark val="none"/>
        <c:tickLblPos val="nextTo"/>
        <c:txPr>
          <a:bodyPr/>
          <a:lstStyle/>
          <a:p>
            <a:pPr>
              <a:defRPr lang="zh-CN"/>
            </a:pPr>
            <a:endParaRPr lang="zh-CN"/>
          </a:p>
        </c:txPr>
        <c:crossAx val="138233344"/>
        <c:crosses val="autoZero"/>
        <c:auto val="1"/>
        <c:lblAlgn val="ctr"/>
        <c:lblOffset val="100"/>
      </c:catAx>
      <c:valAx>
        <c:axId val="138233344"/>
        <c:scaling>
          <c:orientation val="minMax"/>
        </c:scaling>
        <c:axPos val="b"/>
        <c:majorGridlines/>
        <c:numFmt formatCode="General" sourceLinked="1"/>
        <c:majorTickMark val="none"/>
        <c:tickLblPos val="none"/>
        <c:txPr>
          <a:bodyPr/>
          <a:lstStyle/>
          <a:p>
            <a:pPr>
              <a:defRPr lang="zh-CN"/>
            </a:pPr>
            <a:endParaRPr lang="zh-CN"/>
          </a:p>
        </c:txPr>
        <c:crossAx val="138231808"/>
        <c:crosses val="autoZero"/>
        <c:crossBetween val="between"/>
      </c:valAx>
    </c:plotArea>
    <c:legend>
      <c:legendPos val="r"/>
      <c:txPr>
        <a:bodyPr/>
        <a:lstStyle/>
        <a:p>
          <a:pPr>
            <a:defRPr lang="zh-CN"/>
          </a:pPr>
          <a:endParaRPr lang="zh-CN"/>
        </a:p>
      </c:txPr>
    </c:legend>
    <c:plotVisOnly val="1"/>
  </c:chart>
  <c:printSettings>
    <c:headerFooter/>
    <c:pageMargins b="0.75000000000001465" l="0.70000000000000062" r="0.70000000000000062" t="0.7500000000000146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lang="zh-CN"/>
            </a:pPr>
            <a:r>
              <a:rPr lang="en-US" altLang="en-US"/>
              <a:t>Number of CARs Year 2010 (Jan~Dec)</a:t>
            </a:r>
          </a:p>
        </c:rich>
      </c:tx>
    </c:title>
    <c:plotArea>
      <c:layout/>
      <c:barChart>
        <c:barDir val="col"/>
        <c:grouping val="clustered"/>
        <c:ser>
          <c:idx val="0"/>
          <c:order val="0"/>
          <c:tx>
            <c:strRef>
              <c:f>'2011~2010 Analysis'!$F$45</c:f>
              <c:strCache>
                <c:ptCount val="1"/>
                <c:pt idx="0">
                  <c:v>Number of CARs</c:v>
                </c:pt>
              </c:strCache>
            </c:strRef>
          </c:tx>
          <c:cat>
            <c:strRef>
              <c:f>'2011~2010 Analysis'!$E$46:$E$78</c:f>
              <c:strCache>
                <c:ptCount val="33"/>
                <c:pt idx="0">
                  <c:v>Maintenance Data</c:v>
                </c:pt>
                <c:pt idx="1">
                  <c:v>Document completion</c:v>
                </c:pt>
                <c:pt idx="2">
                  <c:v>Maintenance program</c:v>
                </c:pt>
                <c:pt idx="3">
                  <c:v>Maintenance Records</c:v>
                </c:pt>
                <c:pt idx="4">
                  <c:v>Interface procedure</c:v>
                </c:pt>
                <c:pt idx="5">
                  <c:v>Structural repair</c:v>
                </c:pt>
                <c:pt idx="6">
                  <c:v>Training</c:v>
                </c:pt>
                <c:pt idx="7">
                  <c:v>Check process control</c:v>
                </c:pt>
                <c:pt idx="8">
                  <c:v>CRS</c:v>
                </c:pt>
                <c:pt idx="9">
                  <c:v>Duties and responsibilities</c:v>
                </c:pt>
                <c:pt idx="10">
                  <c:v>Notification of changes to procedure</c:v>
                </c:pt>
                <c:pt idx="11">
                  <c:v>Occurrence report</c:v>
                </c:pt>
                <c:pt idx="12">
                  <c:v>AD Control</c:v>
                </c:pt>
                <c:pt idx="13">
                  <c:v>Aircraft equipment</c:v>
                </c:pt>
                <c:pt idx="14">
                  <c:v>Approved documenttation</c:v>
                </c:pt>
                <c:pt idx="15">
                  <c:v>Approved parts &amp;Materials</c:v>
                </c:pt>
                <c:pt idx="16">
                  <c:v>C-check document</c:v>
                </c:pt>
                <c:pt idx="17">
                  <c:v>Certification of maintenance</c:v>
                </c:pt>
                <c:pt idx="18">
                  <c:v>Defect control procedure</c:v>
                </c:pt>
                <c:pt idx="19">
                  <c:v>Emergency equipment</c:v>
                </c:pt>
                <c:pt idx="20">
                  <c:v>Feedback system</c:v>
                </c:pt>
                <c:pt idx="21">
                  <c:v>List of Approved Facility</c:v>
                </c:pt>
                <c:pt idx="22">
                  <c:v>Marking</c:v>
                </c:pt>
                <c:pt idx="23">
                  <c:v>NDT</c:v>
                </c:pt>
                <c:pt idx="24">
                  <c:v>Orgnization mornitor</c:v>
                </c:pt>
                <c:pt idx="25">
                  <c:v>Parts segregation</c:v>
                </c:pt>
                <c:pt idx="26">
                  <c:v>Personnel Competency</c:v>
                </c:pt>
                <c:pt idx="27">
                  <c:v>Procedure Manual for Base Maintenance</c:v>
                </c:pt>
                <c:pt idx="28">
                  <c:v>Qualification of Staff</c:v>
                </c:pt>
                <c:pt idx="29">
                  <c:v>Radio equipment</c:v>
                </c:pt>
                <c:pt idx="30">
                  <c:v>Remedial action</c:v>
                </c:pt>
                <c:pt idx="31">
                  <c:v>Tool and equipment</c:v>
                </c:pt>
                <c:pt idx="32">
                  <c:v>Work package</c:v>
                </c:pt>
              </c:strCache>
            </c:strRef>
          </c:cat>
          <c:val>
            <c:numRef>
              <c:f>'2011~2010 Analysis'!$F$46:$F$78</c:f>
              <c:numCache>
                <c:formatCode>General</c:formatCode>
                <c:ptCount val="33"/>
                <c:pt idx="0">
                  <c:v>11</c:v>
                </c:pt>
                <c:pt idx="1">
                  <c:v>6</c:v>
                </c:pt>
                <c:pt idx="2">
                  <c:v>4</c:v>
                </c:pt>
                <c:pt idx="3">
                  <c:v>4</c:v>
                </c:pt>
                <c:pt idx="4">
                  <c:v>3</c:v>
                </c:pt>
                <c:pt idx="5">
                  <c:v>3</c:v>
                </c:pt>
                <c:pt idx="6">
                  <c:v>3</c:v>
                </c:pt>
                <c:pt idx="7">
                  <c:v>2</c:v>
                </c:pt>
                <c:pt idx="8">
                  <c:v>2</c:v>
                </c:pt>
                <c:pt idx="9">
                  <c:v>2</c:v>
                </c:pt>
                <c:pt idx="10">
                  <c:v>2</c:v>
                </c:pt>
                <c:pt idx="11">
                  <c:v>2</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numCache>
            </c:numRef>
          </c:val>
        </c:ser>
        <c:dLbls>
          <c:showVal val="1"/>
        </c:dLbls>
        <c:overlap val="-25"/>
        <c:axId val="138253440"/>
        <c:axId val="138254976"/>
      </c:barChart>
      <c:catAx>
        <c:axId val="138253440"/>
        <c:scaling>
          <c:orientation val="minMax"/>
        </c:scaling>
        <c:axPos val="b"/>
        <c:majorTickMark val="none"/>
        <c:tickLblPos val="nextTo"/>
        <c:txPr>
          <a:bodyPr/>
          <a:lstStyle/>
          <a:p>
            <a:pPr>
              <a:defRPr lang="zh-CN"/>
            </a:pPr>
            <a:endParaRPr lang="zh-CN"/>
          </a:p>
        </c:txPr>
        <c:crossAx val="138254976"/>
        <c:crosses val="autoZero"/>
        <c:auto val="1"/>
        <c:lblAlgn val="ctr"/>
        <c:lblOffset val="100"/>
      </c:catAx>
      <c:valAx>
        <c:axId val="138254976"/>
        <c:scaling>
          <c:orientation val="minMax"/>
        </c:scaling>
        <c:delete val="1"/>
        <c:axPos val="l"/>
        <c:numFmt formatCode="General" sourceLinked="1"/>
        <c:tickLblPos val="none"/>
        <c:crossAx val="138253440"/>
        <c:crosses val="autoZero"/>
        <c:crossBetween val="between"/>
      </c:valAx>
    </c:plotArea>
    <c:legend>
      <c:legendPos val="t"/>
      <c:txPr>
        <a:bodyPr/>
        <a:lstStyle/>
        <a:p>
          <a:pPr>
            <a:defRPr lang="zh-CN"/>
          </a:pPr>
          <a:endParaRPr lang="zh-CN"/>
        </a:p>
      </c:txPr>
    </c:legend>
    <c:plotVisOnly val="1"/>
  </c:chart>
  <c:printSettings>
    <c:headerFooter/>
    <c:pageMargins b="0.75000000000001465" l="0.70000000000000062" r="0.70000000000000062" t="0.75000000000001465" header="0.30000000000000032" footer="0.30000000000000032"/>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c:lang val="zh-CN"/>
  <c:chart>
    <c:view3D>
      <c:rAngAx val="1"/>
    </c:view3D>
    <c:plotArea>
      <c:layout/>
      <c:bar3DChart>
        <c:barDir val="col"/>
        <c:grouping val="clustered"/>
        <c:ser>
          <c:idx val="0"/>
          <c:order val="0"/>
          <c:tx>
            <c:strRef>
              <c:f>'2013 Analysis'!$D$1</c:f>
              <c:strCache>
                <c:ptCount val="1"/>
                <c:pt idx="0">
                  <c:v>Level 1 </c:v>
                </c:pt>
              </c:strCache>
            </c:strRef>
          </c:tx>
          <c:cat>
            <c:strRef>
              <c:f>'2013 Analysis'!$A$2:$A$13</c:f>
              <c:strCache>
                <c:ptCount val="12"/>
                <c:pt idx="0">
                  <c:v>JAN </c:v>
                </c:pt>
                <c:pt idx="1">
                  <c:v>FEB </c:v>
                </c:pt>
                <c:pt idx="2">
                  <c:v>MAR </c:v>
                </c:pt>
                <c:pt idx="3">
                  <c:v>APR </c:v>
                </c:pt>
                <c:pt idx="4">
                  <c:v>MAY</c:v>
                </c:pt>
                <c:pt idx="5">
                  <c:v>JUN</c:v>
                </c:pt>
                <c:pt idx="6">
                  <c:v>JUL</c:v>
                </c:pt>
                <c:pt idx="7">
                  <c:v>AUG</c:v>
                </c:pt>
                <c:pt idx="8">
                  <c:v>SEP</c:v>
                </c:pt>
                <c:pt idx="9">
                  <c:v>OCT</c:v>
                </c:pt>
                <c:pt idx="10">
                  <c:v>NOV</c:v>
                </c:pt>
                <c:pt idx="11">
                  <c:v>DEC</c:v>
                </c:pt>
              </c:strCache>
            </c:strRef>
          </c:cat>
          <c:val>
            <c:numRef>
              <c:f>'2013 Analysis'!$D$2:$D$13</c:f>
              <c:numCache>
                <c:formatCode>General</c:formatCode>
                <c:ptCount val="12"/>
                <c:pt idx="0">
                  <c:v>0</c:v>
                </c:pt>
                <c:pt idx="1">
                  <c:v>0</c:v>
                </c:pt>
                <c:pt idx="2">
                  <c:v>0</c:v>
                </c:pt>
                <c:pt idx="3">
                  <c:v>0</c:v>
                </c:pt>
                <c:pt idx="4">
                  <c:v>0</c:v>
                </c:pt>
                <c:pt idx="5">
                  <c:v>0</c:v>
                </c:pt>
                <c:pt idx="6">
                  <c:v>0</c:v>
                </c:pt>
              </c:numCache>
            </c:numRef>
          </c:val>
        </c:ser>
        <c:ser>
          <c:idx val="1"/>
          <c:order val="1"/>
          <c:tx>
            <c:strRef>
              <c:f>'2013 Analysis'!$E$1</c:f>
              <c:strCache>
                <c:ptCount val="1"/>
                <c:pt idx="0">
                  <c:v>Level 2 </c:v>
                </c:pt>
              </c:strCache>
            </c:strRef>
          </c:tx>
          <c:cat>
            <c:strRef>
              <c:f>'2013 Analysis'!$A$2:$A$13</c:f>
              <c:strCache>
                <c:ptCount val="12"/>
                <c:pt idx="0">
                  <c:v>JAN </c:v>
                </c:pt>
                <c:pt idx="1">
                  <c:v>FEB </c:v>
                </c:pt>
                <c:pt idx="2">
                  <c:v>MAR </c:v>
                </c:pt>
                <c:pt idx="3">
                  <c:v>APR </c:v>
                </c:pt>
                <c:pt idx="4">
                  <c:v>MAY</c:v>
                </c:pt>
                <c:pt idx="5">
                  <c:v>JUN</c:v>
                </c:pt>
                <c:pt idx="6">
                  <c:v>JUL</c:v>
                </c:pt>
                <c:pt idx="7">
                  <c:v>AUG</c:v>
                </c:pt>
                <c:pt idx="8">
                  <c:v>SEP</c:v>
                </c:pt>
                <c:pt idx="9">
                  <c:v>OCT</c:v>
                </c:pt>
                <c:pt idx="10">
                  <c:v>NOV</c:v>
                </c:pt>
                <c:pt idx="11">
                  <c:v>DEC</c:v>
                </c:pt>
              </c:strCache>
            </c:strRef>
          </c:cat>
          <c:val>
            <c:numRef>
              <c:f>'2013 Analysis'!$E$2:$E$13</c:f>
              <c:numCache>
                <c:formatCode>General</c:formatCode>
                <c:ptCount val="12"/>
                <c:pt idx="0">
                  <c:v>1</c:v>
                </c:pt>
                <c:pt idx="1">
                  <c:v>1</c:v>
                </c:pt>
                <c:pt idx="2">
                  <c:v>3</c:v>
                </c:pt>
                <c:pt idx="3">
                  <c:v>2</c:v>
                </c:pt>
                <c:pt idx="4">
                  <c:v>4</c:v>
                </c:pt>
                <c:pt idx="5">
                  <c:v>9</c:v>
                </c:pt>
                <c:pt idx="6">
                  <c:v>1</c:v>
                </c:pt>
              </c:numCache>
            </c:numRef>
          </c:val>
        </c:ser>
        <c:ser>
          <c:idx val="4"/>
          <c:order val="2"/>
          <c:tx>
            <c:strRef>
              <c:f>'2013 Analysis'!$F$1</c:f>
              <c:strCache>
                <c:ptCount val="1"/>
                <c:pt idx="0">
                  <c:v>Level 3 </c:v>
                </c:pt>
              </c:strCache>
            </c:strRef>
          </c:tx>
          <c:cat>
            <c:strRef>
              <c:f>'2013 Analysis'!$A$2:$A$13</c:f>
              <c:strCache>
                <c:ptCount val="12"/>
                <c:pt idx="0">
                  <c:v>JAN </c:v>
                </c:pt>
                <c:pt idx="1">
                  <c:v>FEB </c:v>
                </c:pt>
                <c:pt idx="2">
                  <c:v>MAR </c:v>
                </c:pt>
                <c:pt idx="3">
                  <c:v>APR </c:v>
                </c:pt>
                <c:pt idx="4">
                  <c:v>MAY</c:v>
                </c:pt>
                <c:pt idx="5">
                  <c:v>JUN</c:v>
                </c:pt>
                <c:pt idx="6">
                  <c:v>JUL</c:v>
                </c:pt>
                <c:pt idx="7">
                  <c:v>AUG</c:v>
                </c:pt>
                <c:pt idx="8">
                  <c:v>SEP</c:v>
                </c:pt>
                <c:pt idx="9">
                  <c:v>OCT</c:v>
                </c:pt>
                <c:pt idx="10">
                  <c:v>NOV</c:v>
                </c:pt>
                <c:pt idx="11">
                  <c:v>DEC</c:v>
                </c:pt>
              </c:strCache>
            </c:strRef>
          </c:cat>
          <c:val>
            <c:numRef>
              <c:f>'2013 Analysis'!$F$2:$F$13</c:f>
              <c:numCache>
                <c:formatCode>General</c:formatCode>
                <c:ptCount val="12"/>
                <c:pt idx="0">
                  <c:v>0</c:v>
                </c:pt>
                <c:pt idx="1">
                  <c:v>0</c:v>
                </c:pt>
                <c:pt idx="2">
                  <c:v>4</c:v>
                </c:pt>
                <c:pt idx="3">
                  <c:v>0</c:v>
                </c:pt>
                <c:pt idx="4">
                  <c:v>0</c:v>
                </c:pt>
                <c:pt idx="5">
                  <c:v>0</c:v>
                </c:pt>
                <c:pt idx="6">
                  <c:v>0</c:v>
                </c:pt>
              </c:numCache>
            </c:numRef>
          </c:val>
        </c:ser>
        <c:shape val="box"/>
        <c:axId val="138670848"/>
        <c:axId val="138672384"/>
        <c:axId val="0"/>
      </c:bar3DChart>
      <c:catAx>
        <c:axId val="138670848"/>
        <c:scaling>
          <c:orientation val="minMax"/>
        </c:scaling>
        <c:axPos val="b"/>
        <c:tickLblPos val="nextTo"/>
        <c:txPr>
          <a:bodyPr/>
          <a:lstStyle/>
          <a:p>
            <a:pPr>
              <a:defRPr lang="zh-CN"/>
            </a:pPr>
            <a:endParaRPr lang="zh-CN"/>
          </a:p>
        </c:txPr>
        <c:crossAx val="138672384"/>
        <c:crosses val="autoZero"/>
        <c:auto val="1"/>
        <c:lblAlgn val="ctr"/>
        <c:lblOffset val="100"/>
      </c:catAx>
      <c:valAx>
        <c:axId val="138672384"/>
        <c:scaling>
          <c:orientation val="minMax"/>
        </c:scaling>
        <c:axPos val="l"/>
        <c:majorGridlines/>
        <c:numFmt formatCode="General" sourceLinked="1"/>
        <c:tickLblPos val="nextTo"/>
        <c:txPr>
          <a:bodyPr/>
          <a:lstStyle/>
          <a:p>
            <a:pPr>
              <a:defRPr lang="zh-CN"/>
            </a:pPr>
            <a:endParaRPr lang="zh-CN"/>
          </a:p>
        </c:txPr>
        <c:crossAx val="138670848"/>
        <c:crosses val="autoZero"/>
        <c:crossBetween val="between"/>
      </c:valAx>
    </c:plotArea>
    <c:legend>
      <c:legendPos val="r"/>
      <c:txPr>
        <a:bodyPr/>
        <a:lstStyle/>
        <a:p>
          <a:pPr>
            <a:defRPr lang="zh-CN"/>
          </a:pPr>
          <a:endParaRPr lang="zh-CN"/>
        </a:p>
      </c:txPr>
    </c:legend>
    <c:plotVisOnly val="1"/>
  </c:chart>
  <c:printSettings>
    <c:headerFooter/>
    <c:pageMargins b="0.75000000000000555" l="0.70000000000000062" r="0.70000000000000062" t="0.7500000000000055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zh-CN"/>
  <c:style val="18"/>
  <c:chart>
    <c:plotArea>
      <c:layout/>
      <c:pieChart>
        <c:varyColors val="1"/>
        <c:ser>
          <c:idx val="0"/>
          <c:order val="0"/>
          <c:cat>
            <c:strRef>
              <c:f>'2013 Analysis'!$A$33:$A$45</c:f>
              <c:strCache>
                <c:ptCount val="13"/>
                <c:pt idx="0">
                  <c:v>Maintenance Data</c:v>
                </c:pt>
                <c:pt idx="1">
                  <c:v>Implementation of AC</c:v>
                </c:pt>
                <c:pt idx="2">
                  <c:v>Training</c:v>
                </c:pt>
                <c:pt idx="3">
                  <c:v>Technical Log</c:v>
                </c:pt>
                <c:pt idx="4">
                  <c:v>Work Package</c:v>
                </c:pt>
                <c:pt idx="5">
                  <c:v>Maintenance Records</c:v>
                </c:pt>
                <c:pt idx="6">
                  <c:v>One Off Authorization</c:v>
                </c:pt>
                <c:pt idx="7">
                  <c:v>AD control</c:v>
                </c:pt>
                <c:pt idx="8">
                  <c:v>Storage</c:v>
                </c:pt>
                <c:pt idx="9">
                  <c:v>Material Handling</c:v>
                </c:pt>
                <c:pt idx="10">
                  <c:v>CMR Issuance</c:v>
                </c:pt>
                <c:pt idx="11">
                  <c:v>C Check Personal Requirement</c:v>
                </c:pt>
                <c:pt idx="12">
                  <c:v>SMS</c:v>
                </c:pt>
              </c:strCache>
            </c:strRef>
          </c:cat>
          <c:val>
            <c:numRef>
              <c:f>'2013 Analysis'!$B$33:$B$45</c:f>
              <c:numCache>
                <c:formatCode>General</c:formatCode>
                <c:ptCount val="13"/>
                <c:pt idx="0">
                  <c:v>12</c:v>
                </c:pt>
                <c:pt idx="1">
                  <c:v>1</c:v>
                </c:pt>
                <c:pt idx="2">
                  <c:v>1</c:v>
                </c:pt>
                <c:pt idx="3">
                  <c:v>1</c:v>
                </c:pt>
                <c:pt idx="4">
                  <c:v>1</c:v>
                </c:pt>
                <c:pt idx="5">
                  <c:v>4</c:v>
                </c:pt>
                <c:pt idx="6">
                  <c:v>1</c:v>
                </c:pt>
                <c:pt idx="7">
                  <c:v>2</c:v>
                </c:pt>
                <c:pt idx="8">
                  <c:v>3</c:v>
                </c:pt>
                <c:pt idx="9">
                  <c:v>1</c:v>
                </c:pt>
                <c:pt idx="10">
                  <c:v>1</c:v>
                </c:pt>
                <c:pt idx="11">
                  <c:v>1</c:v>
                </c:pt>
                <c:pt idx="12">
                  <c:v>1</c:v>
                </c:pt>
              </c:numCache>
            </c:numRef>
          </c:val>
        </c:ser>
        <c:dLbls>
          <c:showCatName val="1"/>
          <c:showPercent val="1"/>
        </c:dLbls>
        <c:firstSliceAng val="0"/>
      </c:pieChart>
    </c:plotArea>
    <c:plotVisOnly val="1"/>
  </c:chart>
  <c:printSettings>
    <c:headerFooter/>
    <c:pageMargins b="0.75000000000000544" l="0.70000000000000062" r="0.70000000000000062" t="0.750000000000005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lang="zh-CN"/>
            </a:pPr>
            <a:r>
              <a:rPr lang="en-US" altLang="en-US"/>
              <a:t>Number of CARs Year 2012</a:t>
            </a:r>
          </a:p>
          <a:p>
            <a:pPr>
              <a:defRPr lang="zh-CN"/>
            </a:pPr>
            <a:r>
              <a:rPr lang="en-US" altLang="en-US"/>
              <a:t>Jan~Dec (12 months)</a:t>
            </a:r>
          </a:p>
        </c:rich>
      </c:tx>
    </c:title>
    <c:plotArea>
      <c:layout>
        <c:manualLayout>
          <c:layoutTarget val="inner"/>
          <c:xMode val="edge"/>
          <c:yMode val="edge"/>
          <c:x val="9.9313790595452728E-2"/>
          <c:y val="0.25681642735835192"/>
          <c:w val="0.8013724188090946"/>
          <c:h val="0.5400436158715457"/>
        </c:manualLayout>
      </c:layout>
      <c:barChart>
        <c:barDir val="bar"/>
        <c:grouping val="clustered"/>
        <c:ser>
          <c:idx val="0"/>
          <c:order val="0"/>
          <c:tx>
            <c:strRef>
              <c:f>'2012~2011 Analysis'!$B$9</c:f>
              <c:strCache>
                <c:ptCount val="1"/>
                <c:pt idx="0">
                  <c:v>Number of CARs</c:v>
                </c:pt>
              </c:strCache>
            </c:strRef>
          </c:tx>
          <c:dLbls>
            <c:dLbl>
              <c:idx val="1"/>
              <c:layout>
                <c:manualLayout>
                  <c:x val="1.3256701346066947E-2"/>
                  <c:y val="7.1020198562136323E-3"/>
                </c:manualLayout>
              </c:layout>
              <c:tx>
                <c:rich>
                  <a:bodyPr/>
                  <a:lstStyle/>
                  <a:p>
                    <a:r>
                      <a:rPr lang="en-US" altLang="en-US" sz="900" baseline="0"/>
                      <a:t>O</a:t>
                    </a:r>
                    <a:r>
                      <a:rPr lang="en-US" altLang="en-US" sz="950" baseline="0"/>
                      <a:t>ut Station,
15</a:t>
                    </a:r>
                  </a:p>
                </c:rich>
              </c:tx>
              <c:showVal val="1"/>
              <c:showCatName val="1"/>
            </c:dLbl>
            <c:dLbl>
              <c:idx val="2"/>
              <c:layout>
                <c:manualLayout>
                  <c:x val="-4.5588917349187012E-2"/>
                  <c:y val="3.5974837384457406E-2"/>
                </c:manualLayout>
              </c:layout>
              <c:tx>
                <c:rich>
                  <a:bodyPr/>
                  <a:lstStyle/>
                  <a:p>
                    <a:r>
                      <a:rPr altLang="en-US" sz="900"/>
                      <a:t>B</a:t>
                    </a:r>
                    <a:r>
                      <a:rPr altLang="en-US"/>
                      <a:t>ase Maintenanc</a:t>
                    </a:r>
                    <a:r>
                      <a:rPr lang="en-US" altLang="en-US"/>
                      <a:t>e, </a:t>
                    </a:r>
                    <a:r>
                      <a:rPr altLang="en-US"/>
                      <a:t>12</a:t>
                    </a:r>
                  </a:p>
                </c:rich>
              </c:tx>
              <c:showVal val="1"/>
              <c:showCatName val="1"/>
            </c:dLbl>
            <c:txPr>
              <a:bodyPr/>
              <a:lstStyle/>
              <a:p>
                <a:pPr>
                  <a:defRPr lang="zh-CN" sz="900"/>
                </a:pPr>
                <a:endParaRPr lang="zh-CN"/>
              </a:p>
            </c:txPr>
            <c:showVal val="1"/>
            <c:showCatName val="1"/>
          </c:dLbls>
          <c:cat>
            <c:strRef>
              <c:f>'2012~2011 Analysis'!$A$10:$A$12</c:f>
              <c:strCache>
                <c:ptCount val="3"/>
                <c:pt idx="0">
                  <c:v>Home Base</c:v>
                </c:pt>
                <c:pt idx="1">
                  <c:v>Out Station</c:v>
                </c:pt>
                <c:pt idx="2">
                  <c:v>Base Maintenance</c:v>
                </c:pt>
              </c:strCache>
            </c:strRef>
          </c:cat>
          <c:val>
            <c:numRef>
              <c:f>'2012~2011 Analysis'!$B$10:$B$12</c:f>
              <c:numCache>
                <c:formatCode>General</c:formatCode>
                <c:ptCount val="3"/>
                <c:pt idx="0">
                  <c:v>0</c:v>
                </c:pt>
                <c:pt idx="1">
                  <c:v>0</c:v>
                </c:pt>
                <c:pt idx="2">
                  <c:v>0</c:v>
                </c:pt>
              </c:numCache>
            </c:numRef>
          </c:val>
        </c:ser>
        <c:gapWidth val="100"/>
        <c:axId val="60902784"/>
        <c:axId val="60901248"/>
      </c:barChart>
      <c:valAx>
        <c:axId val="60901248"/>
        <c:scaling>
          <c:orientation val="minMax"/>
        </c:scaling>
        <c:axPos val="b"/>
        <c:majorGridlines/>
        <c:numFmt formatCode="General" sourceLinked="1"/>
        <c:tickLblPos val="nextTo"/>
        <c:txPr>
          <a:bodyPr/>
          <a:lstStyle/>
          <a:p>
            <a:pPr>
              <a:defRPr lang="zh-CN"/>
            </a:pPr>
            <a:endParaRPr lang="zh-CN"/>
          </a:p>
        </c:txPr>
        <c:crossAx val="60902784"/>
        <c:crosses val="autoZero"/>
        <c:crossBetween val="between"/>
      </c:valAx>
      <c:catAx>
        <c:axId val="60902784"/>
        <c:scaling>
          <c:orientation val="minMax"/>
        </c:scaling>
        <c:delete val="1"/>
        <c:axPos val="l"/>
        <c:tickLblPos val="none"/>
        <c:crossAx val="60901248"/>
        <c:crosses val="autoZero"/>
        <c:auto val="1"/>
        <c:lblAlgn val="ctr"/>
        <c:lblOffset val="100"/>
      </c:catAx>
    </c:plotArea>
    <c:plotVisOnly val="1"/>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lang="zh-CN"/>
            </a:pPr>
            <a:r>
              <a:rPr lang="en-US" altLang="en-US" sz="1200"/>
              <a:t>AACM Audit Titles</a:t>
            </a:r>
          </a:p>
          <a:p>
            <a:pPr>
              <a:defRPr lang="zh-CN"/>
            </a:pPr>
            <a:r>
              <a:rPr lang="en-US" altLang="en-US" sz="1200"/>
              <a:t>Number of CARs Year 2011 (Jan~Dec)</a:t>
            </a:r>
          </a:p>
        </c:rich>
      </c:tx>
    </c:title>
    <c:plotArea>
      <c:layout/>
      <c:barChart>
        <c:barDir val="bar"/>
        <c:grouping val="clustered"/>
        <c:ser>
          <c:idx val="0"/>
          <c:order val="0"/>
          <c:tx>
            <c:strRef>
              <c:f>'2012~2011 Analysis'!$F$15</c:f>
              <c:strCache>
                <c:ptCount val="1"/>
                <c:pt idx="0">
                  <c:v>Number of CARs</c:v>
                </c:pt>
              </c:strCache>
            </c:strRef>
          </c:tx>
          <c:cat>
            <c:strRef>
              <c:f>'2012~2011 Analysis'!$E$16:$E$33</c:f>
              <c:strCache>
                <c:ptCount val="18"/>
                <c:pt idx="0">
                  <c:v>145 Phase I</c:v>
                </c:pt>
                <c:pt idx="1">
                  <c:v>Taipei Station Audit</c:v>
                </c:pt>
                <c:pt idx="2">
                  <c:v>145 Phase II</c:v>
                </c:pt>
                <c:pt idx="3">
                  <c:v>6C follow up audit</c:v>
                </c:pt>
                <c:pt idx="4">
                  <c:v>Beijing Station Audit</c:v>
                </c:pt>
                <c:pt idx="5">
                  <c:v>KWL Station Audit</c:v>
                </c:pt>
                <c:pt idx="6">
                  <c:v>B-MAR 12C Audit</c:v>
                </c:pt>
                <c:pt idx="7">
                  <c:v>C Check in STARCO</c:v>
                </c:pt>
                <c:pt idx="8">
                  <c:v>AOC &amp; 145 Phase III</c:v>
                </c:pt>
                <c:pt idx="9">
                  <c:v>C of A renew</c:v>
                </c:pt>
                <c:pt idx="10">
                  <c:v>BKK Station Audit</c:v>
                </c:pt>
                <c:pt idx="11">
                  <c:v>B-MAS CoA Renewal</c:v>
                </c:pt>
                <c:pt idx="12">
                  <c:v>He Fei Station Audit</c:v>
                </c:pt>
                <c:pt idx="13">
                  <c:v>NGB Station Audit</c:v>
                </c:pt>
                <c:pt idx="14">
                  <c:v>QA Manpower</c:v>
                </c:pt>
                <c:pt idx="15">
                  <c:v>SHA Intl' Airport Audit</c:v>
                </c:pt>
                <c:pt idx="16">
                  <c:v>B-MAF CoA Renewal</c:v>
                </c:pt>
                <c:pt idx="17">
                  <c:v>MR Unannounced Audit</c:v>
                </c:pt>
              </c:strCache>
            </c:strRef>
          </c:cat>
          <c:val>
            <c:numRef>
              <c:f>'2012~2011 Analysis'!$F$16:$F$33</c:f>
              <c:numCache>
                <c:formatCode>General</c:formatCode>
                <c:ptCount val="18"/>
                <c:pt idx="0">
                  <c:v>0</c:v>
                </c:pt>
                <c:pt idx="1">
                  <c:v>0</c:v>
                </c:pt>
                <c:pt idx="2">
                  <c:v>0</c:v>
                </c:pt>
                <c:pt idx="3">
                  <c:v>0</c:v>
                </c:pt>
                <c:pt idx="4">
                  <c:v>0</c:v>
                </c:pt>
                <c:pt idx="5">
                  <c:v>0</c:v>
                </c:pt>
                <c:pt idx="6">
                  <c:v>0</c:v>
                </c:pt>
                <c:pt idx="7">
                  <c:v>0</c:v>
                </c:pt>
                <c:pt idx="8">
                  <c:v>0</c:v>
                </c:pt>
                <c:pt idx="9">
                  <c:v>0</c:v>
                </c:pt>
                <c:pt idx="10" formatCode="0">
                  <c:v>0</c:v>
                </c:pt>
                <c:pt idx="11">
                  <c:v>0</c:v>
                </c:pt>
                <c:pt idx="12">
                  <c:v>0</c:v>
                </c:pt>
                <c:pt idx="13">
                  <c:v>0</c:v>
                </c:pt>
                <c:pt idx="14">
                  <c:v>0</c:v>
                </c:pt>
                <c:pt idx="15">
                  <c:v>0</c:v>
                </c:pt>
                <c:pt idx="16">
                  <c:v>0</c:v>
                </c:pt>
                <c:pt idx="17">
                  <c:v>0</c:v>
                </c:pt>
              </c:numCache>
            </c:numRef>
          </c:val>
        </c:ser>
        <c:gapWidth val="100"/>
        <c:axId val="60942976"/>
        <c:axId val="61866368"/>
      </c:barChart>
      <c:catAx>
        <c:axId val="60942976"/>
        <c:scaling>
          <c:orientation val="minMax"/>
        </c:scaling>
        <c:axPos val="l"/>
        <c:numFmt formatCode="General" sourceLinked="1"/>
        <c:tickLblPos val="nextTo"/>
        <c:txPr>
          <a:bodyPr/>
          <a:lstStyle/>
          <a:p>
            <a:pPr>
              <a:defRPr lang="zh-CN"/>
            </a:pPr>
            <a:endParaRPr lang="zh-CN"/>
          </a:p>
        </c:txPr>
        <c:crossAx val="61866368"/>
        <c:crosses val="autoZero"/>
        <c:auto val="1"/>
        <c:lblAlgn val="ctr"/>
        <c:lblOffset val="100"/>
      </c:catAx>
      <c:valAx>
        <c:axId val="61866368"/>
        <c:scaling>
          <c:orientation val="minMax"/>
        </c:scaling>
        <c:axPos val="b"/>
        <c:majorGridlines/>
        <c:numFmt formatCode="General" sourceLinked="1"/>
        <c:tickLblPos val="nextTo"/>
        <c:txPr>
          <a:bodyPr/>
          <a:lstStyle/>
          <a:p>
            <a:pPr>
              <a:defRPr lang="zh-CN"/>
            </a:pPr>
            <a:endParaRPr lang="zh-CN"/>
          </a:p>
        </c:txPr>
        <c:crossAx val="60942976"/>
        <c:crosses val="autoZero"/>
        <c:crossBetween val="between"/>
      </c:valAx>
      <c:spPr>
        <a:noFill/>
      </c:spPr>
    </c:plotArea>
    <c:plotVisOnly val="1"/>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lang="zh-CN"/>
            </a:pPr>
            <a:r>
              <a:rPr lang="en-US" altLang="en-US" sz="1200"/>
              <a:t>AACM Audit Titles</a:t>
            </a:r>
          </a:p>
          <a:p>
            <a:pPr>
              <a:defRPr lang="zh-CN"/>
            </a:pPr>
            <a:r>
              <a:rPr lang="en-US" altLang="en-US" sz="1200"/>
              <a:t>Number of CARs Year 2012 (Jan~Dec)</a:t>
            </a:r>
          </a:p>
        </c:rich>
      </c:tx>
    </c:title>
    <c:plotArea>
      <c:layout/>
      <c:barChart>
        <c:barDir val="bar"/>
        <c:grouping val="clustered"/>
        <c:ser>
          <c:idx val="0"/>
          <c:order val="0"/>
          <c:tx>
            <c:strRef>
              <c:f>'2012~2011 Analysis'!$B$15</c:f>
              <c:strCache>
                <c:ptCount val="1"/>
                <c:pt idx="0">
                  <c:v>Number of CARs</c:v>
                </c:pt>
              </c:strCache>
            </c:strRef>
          </c:tx>
          <c:cat>
            <c:strRef>
              <c:f>'2012~2011 Analysis'!$A$16:$A$35</c:f>
              <c:strCache>
                <c:ptCount val="20"/>
                <c:pt idx="0">
                  <c:v>KHH Station Audit</c:v>
                </c:pt>
                <c:pt idx="1">
                  <c:v>B-MAO CoA Renewal Audit</c:v>
                </c:pt>
                <c:pt idx="2">
                  <c:v>SHA STARCO Audit</c:v>
                </c:pt>
                <c:pt idx="3">
                  <c:v>B-MAB CoA Renewl Audit</c:v>
                </c:pt>
                <c:pt idx="4">
                  <c:v>B-MAL Loosen &amp; Empty O2 Cylinder</c:v>
                </c:pt>
                <c:pt idx="5">
                  <c:v>B-MAB C-CHK Audit</c:v>
                </c:pt>
                <c:pt idx="6">
                  <c:v>145 Phase II</c:v>
                </c:pt>
                <c:pt idx="7">
                  <c:v>B-MAN 7C-CHK</c:v>
                </c:pt>
                <c:pt idx="8">
                  <c:v>CAMB station Aduit</c:v>
                </c:pt>
                <c:pt idx="9">
                  <c:v>MAR145 follow up</c:v>
                </c:pt>
                <c:pt idx="10">
                  <c:v>B-MAK CoA Renewal Audit</c:v>
                </c:pt>
                <c:pt idx="11">
                  <c:v>Unannounced Audit</c:v>
                </c:pt>
                <c:pt idx="12">
                  <c:v>B-MAM 7C-CHK</c:v>
                </c:pt>
                <c:pt idx="13">
                  <c:v>B-MAL Cabin Mod</c:v>
                </c:pt>
                <c:pt idx="14">
                  <c:v>TYN station Audit</c:v>
                </c:pt>
                <c:pt idx="15">
                  <c:v>NRT Tire</c:v>
                </c:pt>
                <c:pt idx="16">
                  <c:v>Maintenance Task Revision Approval</c:v>
                </c:pt>
                <c:pt idx="17">
                  <c:v>MEL</c:v>
                </c:pt>
                <c:pt idx="18">
                  <c:v>145 Phase I</c:v>
                </c:pt>
                <c:pt idx="19">
                  <c:v>AOC Audit</c:v>
                </c:pt>
              </c:strCache>
            </c:strRef>
          </c:cat>
          <c:val>
            <c:numRef>
              <c:f>'2012~2011 Analysis'!$B$16:$B$35</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gapWidth val="100"/>
        <c:axId val="61883520"/>
        <c:axId val="61873536"/>
      </c:barChart>
      <c:valAx>
        <c:axId val="61873536"/>
        <c:scaling>
          <c:orientation val="minMax"/>
        </c:scaling>
        <c:axPos val="b"/>
        <c:majorGridlines/>
        <c:numFmt formatCode="General" sourceLinked="1"/>
        <c:tickLblPos val="nextTo"/>
        <c:txPr>
          <a:bodyPr/>
          <a:lstStyle/>
          <a:p>
            <a:pPr>
              <a:defRPr lang="zh-CN"/>
            </a:pPr>
            <a:endParaRPr lang="zh-CN"/>
          </a:p>
        </c:txPr>
        <c:crossAx val="61883520"/>
        <c:crosses val="autoZero"/>
        <c:crossBetween val="between"/>
      </c:valAx>
      <c:catAx>
        <c:axId val="61883520"/>
        <c:scaling>
          <c:orientation val="minMax"/>
        </c:scaling>
        <c:axPos val="l"/>
        <c:tickLblPos val="nextTo"/>
        <c:txPr>
          <a:bodyPr/>
          <a:lstStyle/>
          <a:p>
            <a:pPr>
              <a:defRPr lang="zh-CN" sz="900"/>
            </a:pPr>
            <a:endParaRPr lang="zh-CN"/>
          </a:p>
        </c:txPr>
        <c:crossAx val="61873536"/>
        <c:crosses val="autoZero"/>
        <c:auto val="1"/>
        <c:lblAlgn val="ctr"/>
        <c:lblOffset val="100"/>
      </c:catAx>
    </c:plotArea>
    <c:plotVisOnly val="1"/>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lang="zh-CN"/>
            </a:pPr>
            <a:r>
              <a:rPr lang="en-US" altLang="zh-CN" sz="1200" b="1" i="0" baseline="0"/>
              <a:t>Division/station affected</a:t>
            </a:r>
            <a:endParaRPr lang="zh-CN" altLang="zh-CN" sz="1200"/>
          </a:p>
          <a:p>
            <a:pPr>
              <a:defRPr lang="zh-CN"/>
            </a:pPr>
            <a:r>
              <a:rPr lang="en-US" altLang="zh-CN" sz="1200" b="1" i="0" baseline="0"/>
              <a:t>Number of CARs </a:t>
            </a:r>
            <a:r>
              <a:rPr lang="en-US" altLang="zh-CN" sz="1200" b="1" i="0" u="none" strike="noStrike" baseline="0"/>
              <a:t>Year 2011 (Jan~Dec)</a:t>
            </a:r>
            <a:endParaRPr lang="zh-CN" altLang="zh-CN" sz="1200"/>
          </a:p>
        </c:rich>
      </c:tx>
      <c:layout>
        <c:manualLayout>
          <c:xMode val="edge"/>
          <c:yMode val="edge"/>
          <c:x val="0.27306707795547674"/>
          <c:y val="2.8469750889679856E-2"/>
        </c:manualLayout>
      </c:layout>
    </c:title>
    <c:plotArea>
      <c:layout/>
      <c:barChart>
        <c:barDir val="bar"/>
        <c:grouping val="clustered"/>
        <c:ser>
          <c:idx val="0"/>
          <c:order val="0"/>
          <c:tx>
            <c:strRef>
              <c:f>'2012~2011 Analysis'!$F$42</c:f>
              <c:strCache>
                <c:ptCount val="1"/>
                <c:pt idx="0">
                  <c:v>Number of CARs</c:v>
                </c:pt>
              </c:strCache>
            </c:strRef>
          </c:tx>
          <c:cat>
            <c:strRef>
              <c:f>'2012~2011 Analysis'!$E$43:$E$49</c:f>
              <c:strCache>
                <c:ptCount val="7"/>
                <c:pt idx="0">
                  <c:v>Out Station</c:v>
                </c:pt>
                <c:pt idx="1">
                  <c:v>QD</c:v>
                </c:pt>
                <c:pt idx="2">
                  <c:v>ED</c:v>
                </c:pt>
                <c:pt idx="3">
                  <c:v>Base Maintenance</c:v>
                </c:pt>
                <c:pt idx="4">
                  <c:v>AMD</c:v>
                </c:pt>
                <c:pt idx="5">
                  <c:v>MR</c:v>
                </c:pt>
                <c:pt idx="6">
                  <c:v>FO</c:v>
                </c:pt>
              </c:strCache>
            </c:strRef>
          </c:cat>
          <c:val>
            <c:numRef>
              <c:f>'2012~2011 Analysis'!$F$43:$F$49</c:f>
              <c:numCache>
                <c:formatCode>General</c:formatCode>
                <c:ptCount val="7"/>
                <c:pt idx="0">
                  <c:v>0</c:v>
                </c:pt>
                <c:pt idx="1">
                  <c:v>0</c:v>
                </c:pt>
                <c:pt idx="2">
                  <c:v>0</c:v>
                </c:pt>
                <c:pt idx="3">
                  <c:v>0</c:v>
                </c:pt>
                <c:pt idx="4">
                  <c:v>0</c:v>
                </c:pt>
                <c:pt idx="5">
                  <c:v>0</c:v>
                </c:pt>
                <c:pt idx="6">
                  <c:v>0</c:v>
                </c:pt>
              </c:numCache>
            </c:numRef>
          </c:val>
        </c:ser>
        <c:gapWidth val="100"/>
        <c:axId val="61917056"/>
        <c:axId val="61915520"/>
      </c:barChart>
      <c:valAx>
        <c:axId val="61915520"/>
        <c:scaling>
          <c:orientation val="minMax"/>
        </c:scaling>
        <c:axPos val="b"/>
        <c:majorGridlines/>
        <c:numFmt formatCode="General" sourceLinked="1"/>
        <c:tickLblPos val="nextTo"/>
        <c:txPr>
          <a:bodyPr/>
          <a:lstStyle/>
          <a:p>
            <a:pPr>
              <a:defRPr lang="zh-CN"/>
            </a:pPr>
            <a:endParaRPr lang="zh-CN"/>
          </a:p>
        </c:txPr>
        <c:crossAx val="61917056"/>
        <c:crosses val="autoZero"/>
        <c:crossBetween val="between"/>
      </c:valAx>
      <c:catAx>
        <c:axId val="61917056"/>
        <c:scaling>
          <c:orientation val="minMax"/>
        </c:scaling>
        <c:axPos val="l"/>
        <c:tickLblPos val="nextTo"/>
        <c:txPr>
          <a:bodyPr/>
          <a:lstStyle/>
          <a:p>
            <a:pPr>
              <a:defRPr lang="zh-CN"/>
            </a:pPr>
            <a:endParaRPr lang="zh-CN"/>
          </a:p>
        </c:txPr>
        <c:crossAx val="61915520"/>
        <c:crosses val="autoZero"/>
        <c:auto val="1"/>
        <c:lblAlgn val="ctr"/>
        <c:lblOffset val="100"/>
      </c:catAx>
    </c:plotArea>
    <c:plotVisOnly val="1"/>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lang="zh-CN" sz="1200"/>
            </a:pPr>
            <a:r>
              <a:rPr lang="en-US" sz="1200"/>
              <a:t>Division/station affected</a:t>
            </a:r>
            <a:endParaRPr lang="zh-CN" sz="1200"/>
          </a:p>
          <a:p>
            <a:pPr>
              <a:defRPr lang="zh-CN" sz="1200"/>
            </a:pPr>
            <a:r>
              <a:rPr lang="en-US" sz="1200"/>
              <a:t>Number of CARs Year 2012 (Jan~Dec)</a:t>
            </a:r>
            <a:endParaRPr lang="zh-CN" sz="1200"/>
          </a:p>
        </c:rich>
      </c:tx>
    </c:title>
    <c:plotArea>
      <c:layout/>
      <c:barChart>
        <c:barDir val="bar"/>
        <c:grouping val="clustered"/>
        <c:ser>
          <c:idx val="0"/>
          <c:order val="0"/>
          <c:tx>
            <c:strRef>
              <c:f>'2012~2011 Analysis'!$B$42</c:f>
              <c:strCache>
                <c:ptCount val="1"/>
                <c:pt idx="0">
                  <c:v>Number of CARs</c:v>
                </c:pt>
              </c:strCache>
            </c:strRef>
          </c:tx>
          <c:cat>
            <c:strRef>
              <c:f>'2012~2011 Analysis'!$A$43:$A$49</c:f>
              <c:strCache>
                <c:ptCount val="7"/>
                <c:pt idx="0">
                  <c:v>ED</c:v>
                </c:pt>
                <c:pt idx="1">
                  <c:v>AMD</c:v>
                </c:pt>
                <c:pt idx="2">
                  <c:v>QD</c:v>
                </c:pt>
                <c:pt idx="3">
                  <c:v>MR</c:v>
                </c:pt>
                <c:pt idx="4">
                  <c:v>Out Station</c:v>
                </c:pt>
                <c:pt idx="5">
                  <c:v>Base Maintenance</c:v>
                </c:pt>
                <c:pt idx="6">
                  <c:v>FO</c:v>
                </c:pt>
              </c:strCache>
            </c:strRef>
          </c:cat>
          <c:val>
            <c:numRef>
              <c:f>'2012~2011 Analysis'!$B$43:$B$49</c:f>
              <c:numCache>
                <c:formatCode>General</c:formatCode>
                <c:ptCount val="7"/>
                <c:pt idx="0">
                  <c:v>0</c:v>
                </c:pt>
                <c:pt idx="1">
                  <c:v>0</c:v>
                </c:pt>
                <c:pt idx="2">
                  <c:v>0</c:v>
                </c:pt>
                <c:pt idx="3">
                  <c:v>0</c:v>
                </c:pt>
                <c:pt idx="4">
                  <c:v>0</c:v>
                </c:pt>
                <c:pt idx="5">
                  <c:v>0</c:v>
                </c:pt>
                <c:pt idx="6">
                  <c:v>0</c:v>
                </c:pt>
              </c:numCache>
            </c:numRef>
          </c:val>
        </c:ser>
        <c:gapWidth val="100"/>
        <c:axId val="63314560"/>
        <c:axId val="63313024"/>
      </c:barChart>
      <c:valAx>
        <c:axId val="63313024"/>
        <c:scaling>
          <c:orientation val="minMax"/>
        </c:scaling>
        <c:axPos val="b"/>
        <c:majorGridlines/>
        <c:numFmt formatCode="General" sourceLinked="1"/>
        <c:tickLblPos val="nextTo"/>
        <c:txPr>
          <a:bodyPr/>
          <a:lstStyle/>
          <a:p>
            <a:pPr>
              <a:defRPr lang="zh-CN"/>
            </a:pPr>
            <a:endParaRPr lang="zh-CN"/>
          </a:p>
        </c:txPr>
        <c:crossAx val="63314560"/>
        <c:crosses val="autoZero"/>
        <c:crossBetween val="between"/>
      </c:valAx>
      <c:catAx>
        <c:axId val="63314560"/>
        <c:scaling>
          <c:orientation val="minMax"/>
        </c:scaling>
        <c:axPos val="l"/>
        <c:tickLblPos val="nextTo"/>
        <c:txPr>
          <a:bodyPr/>
          <a:lstStyle/>
          <a:p>
            <a:pPr>
              <a:defRPr lang="zh-CN"/>
            </a:pPr>
            <a:endParaRPr lang="zh-CN"/>
          </a:p>
        </c:txPr>
        <c:crossAx val="63313024"/>
        <c:crosses val="autoZero"/>
        <c:auto val="1"/>
        <c:lblAlgn val="ctr"/>
        <c:lblOffset val="100"/>
      </c:catAx>
    </c:plotArea>
    <c:plotVisOnly val="1"/>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lang="zh-CN"/>
            </a:pPr>
            <a:r>
              <a:rPr lang="en-US" altLang="en-US" sz="1800"/>
              <a:t>Area Concerned</a:t>
            </a:r>
          </a:p>
          <a:p>
            <a:pPr>
              <a:defRPr lang="zh-CN"/>
            </a:pPr>
            <a:r>
              <a:rPr lang="en-US" altLang="en-US" sz="1800"/>
              <a:t>Number of CARs Year</a:t>
            </a:r>
            <a:r>
              <a:rPr lang="en-US" altLang="en-US" sz="1800" baseline="0"/>
              <a:t> 2011 (Jan~Dec)</a:t>
            </a:r>
            <a:endParaRPr lang="en-US" altLang="en-US" sz="1800"/>
          </a:p>
        </c:rich>
      </c:tx>
    </c:title>
    <c:plotArea>
      <c:layout/>
      <c:barChart>
        <c:barDir val="col"/>
        <c:grouping val="clustered"/>
        <c:ser>
          <c:idx val="0"/>
          <c:order val="0"/>
          <c:tx>
            <c:strRef>
              <c:f>'2012~2011 Analysis'!$F$52</c:f>
              <c:strCache>
                <c:ptCount val="1"/>
                <c:pt idx="0">
                  <c:v>Number of CARs</c:v>
                </c:pt>
              </c:strCache>
            </c:strRef>
          </c:tx>
          <c:dLbls>
            <c:txPr>
              <a:bodyPr/>
              <a:lstStyle/>
              <a:p>
                <a:pPr>
                  <a:defRPr lang="zh-CN"/>
                </a:pPr>
                <a:endParaRPr lang="zh-CN"/>
              </a:p>
            </c:txPr>
            <c:showVal val="1"/>
          </c:dLbls>
          <c:cat>
            <c:strRef>
              <c:f>'2012~2011 Analysis'!$E$53:$E$75</c:f>
              <c:strCache>
                <c:ptCount val="23"/>
                <c:pt idx="0">
                  <c:v>Maintenance Data</c:v>
                </c:pt>
                <c:pt idx="1">
                  <c:v>CRS</c:v>
                </c:pt>
                <c:pt idx="2">
                  <c:v>Maintenance Records</c:v>
                </c:pt>
                <c:pt idx="3">
                  <c:v>Orgnization mornitor</c:v>
                </c:pt>
                <c:pt idx="4">
                  <c:v>Work package</c:v>
                </c:pt>
                <c:pt idx="5">
                  <c:v>Goods Inspection-Labelling &amp; Tagging</c:v>
                </c:pt>
                <c:pt idx="6">
                  <c:v>Quality system</c:v>
                </c:pt>
                <c:pt idx="7">
                  <c:v>Qualification of Staff</c:v>
                </c:pt>
                <c:pt idx="8">
                  <c:v>Store</c:v>
                </c:pt>
                <c:pt idx="9">
                  <c:v>Flight Test Programme</c:v>
                </c:pt>
                <c:pt idx="10">
                  <c:v>AD Control</c:v>
                </c:pt>
                <c:pt idx="11">
                  <c:v>Certification of maintenance</c:v>
                </c:pt>
                <c:pt idx="12">
                  <c:v>Duties and responsibilities</c:v>
                </c:pt>
                <c:pt idx="13">
                  <c:v>Interface procedure</c:v>
                </c:pt>
                <c:pt idx="14">
                  <c:v>Implemention of AC</c:v>
                </c:pt>
                <c:pt idx="15">
                  <c:v>Parts segregation</c:v>
                </c:pt>
                <c:pt idx="16">
                  <c:v>Personnel Quantity</c:v>
                </c:pt>
                <c:pt idx="17">
                  <c:v>Tool and equipment</c:v>
                </c:pt>
                <c:pt idx="18">
                  <c:v>Training</c:v>
                </c:pt>
                <c:pt idx="19">
                  <c:v>Regulation Compliance</c:v>
                </c:pt>
                <c:pt idx="20">
                  <c:v>Procedure Manual for Base Maintenance</c:v>
                </c:pt>
                <c:pt idx="21">
                  <c:v>Ground Handling equipment</c:v>
                </c:pt>
                <c:pt idx="22">
                  <c:v>Certification of registration</c:v>
                </c:pt>
              </c:strCache>
            </c:strRef>
          </c:cat>
          <c:val>
            <c:numRef>
              <c:f>'2012~2011 Analysis'!$F$53:$F$75</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ser>
        <c:axId val="63351040"/>
        <c:axId val="63361024"/>
      </c:barChart>
      <c:catAx>
        <c:axId val="63351040"/>
        <c:scaling>
          <c:orientation val="minMax"/>
        </c:scaling>
        <c:axPos val="b"/>
        <c:majorTickMark val="none"/>
        <c:tickLblPos val="nextTo"/>
        <c:txPr>
          <a:bodyPr/>
          <a:lstStyle/>
          <a:p>
            <a:pPr>
              <a:defRPr lang="zh-CN"/>
            </a:pPr>
            <a:endParaRPr lang="zh-CN"/>
          </a:p>
        </c:txPr>
        <c:crossAx val="63361024"/>
        <c:crosses val="autoZero"/>
        <c:auto val="1"/>
        <c:lblAlgn val="ctr"/>
        <c:lblOffset val="100"/>
      </c:catAx>
      <c:valAx>
        <c:axId val="63361024"/>
        <c:scaling>
          <c:orientation val="minMax"/>
        </c:scaling>
        <c:axPos val="l"/>
        <c:majorGridlines/>
        <c:numFmt formatCode="General" sourceLinked="1"/>
        <c:majorTickMark val="none"/>
        <c:tickLblPos val="none"/>
        <c:txPr>
          <a:bodyPr/>
          <a:lstStyle/>
          <a:p>
            <a:pPr>
              <a:defRPr lang="zh-CN"/>
            </a:pPr>
            <a:endParaRPr lang="zh-CN"/>
          </a:p>
        </c:txPr>
        <c:crossAx val="63351040"/>
        <c:crosses val="autoZero"/>
        <c:crossBetween val="between"/>
      </c:valAx>
    </c:plotArea>
    <c:legend>
      <c:legendPos val="r"/>
      <c:layout>
        <c:manualLayout>
          <c:xMode val="edge"/>
          <c:yMode val="edge"/>
          <c:x val="0.78796259433946847"/>
          <c:y val="8.9840660399851724E-2"/>
          <c:w val="0.13897804492993793"/>
          <c:h val="5.2391462801179033E-2"/>
        </c:manualLayout>
      </c:layout>
      <c:txPr>
        <a:bodyPr/>
        <a:lstStyle/>
        <a:p>
          <a:pPr>
            <a:defRPr lang="zh-CN"/>
          </a:pPr>
          <a:endParaRPr lang="zh-CN"/>
        </a:p>
      </c:txPr>
    </c:legend>
    <c:plotVisOnly val="1"/>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lang="zh-CN"/>
            </a:pPr>
            <a:r>
              <a:rPr lang="en-US" altLang="en-US"/>
              <a:t>Number of CARs Year 2012 (Jan~Dec)</a:t>
            </a:r>
          </a:p>
        </c:rich>
      </c:tx>
    </c:title>
    <c:plotArea>
      <c:layout/>
      <c:barChart>
        <c:barDir val="col"/>
        <c:grouping val="clustered"/>
        <c:ser>
          <c:idx val="0"/>
          <c:order val="0"/>
          <c:tx>
            <c:strRef>
              <c:f>'2012~2011 Analysis'!$B$52</c:f>
              <c:strCache>
                <c:ptCount val="1"/>
                <c:pt idx="0">
                  <c:v>Number of CARs</c:v>
                </c:pt>
              </c:strCache>
            </c:strRef>
          </c:tx>
          <c:cat>
            <c:strRef>
              <c:f>'2012~2011 Analysis'!$A$53:$A$76</c:f>
              <c:strCache>
                <c:ptCount val="24"/>
                <c:pt idx="0">
                  <c:v>Maintenance Data</c:v>
                </c:pt>
                <c:pt idx="1">
                  <c:v>Maintenance Records</c:v>
                </c:pt>
                <c:pt idx="2">
                  <c:v>CRS</c:v>
                </c:pt>
                <c:pt idx="3">
                  <c:v>Store</c:v>
                </c:pt>
                <c:pt idx="4">
                  <c:v>Aircraft equipment</c:v>
                </c:pt>
                <c:pt idx="5">
                  <c:v>Personal Requirements</c:v>
                </c:pt>
                <c:pt idx="6">
                  <c:v>Tool and equipment</c:v>
                </c:pt>
                <c:pt idx="7">
                  <c:v>AD Control</c:v>
                </c:pt>
                <c:pt idx="8">
                  <c:v>Work package</c:v>
                </c:pt>
                <c:pt idx="9">
                  <c:v>Quality system</c:v>
                </c:pt>
                <c:pt idx="10">
                  <c:v>Approved parts &amp;Materials</c:v>
                </c:pt>
                <c:pt idx="11">
                  <c:v>Duties and responsibilities</c:v>
                </c:pt>
                <c:pt idx="12">
                  <c:v>Implemention of AC</c:v>
                </c:pt>
                <c:pt idx="13">
                  <c:v>Marking</c:v>
                </c:pt>
                <c:pt idx="14">
                  <c:v>Remedial action</c:v>
                </c:pt>
                <c:pt idx="15">
                  <c:v>Approved documentation</c:v>
                </c:pt>
                <c:pt idx="16">
                  <c:v>Life Limited Components Control</c:v>
                </c:pt>
                <c:pt idx="17">
                  <c:v>Production Planning</c:v>
                </c:pt>
                <c:pt idx="18">
                  <c:v>SMS</c:v>
                </c:pt>
                <c:pt idx="19">
                  <c:v>Time Control Item</c:v>
                </c:pt>
                <c:pt idx="20">
                  <c:v>Task Card Preparation</c:v>
                </c:pt>
                <c:pt idx="21">
                  <c:v>Issuance of NRC</c:v>
                </c:pt>
                <c:pt idx="22">
                  <c:v>Certifying Staff</c:v>
                </c:pt>
                <c:pt idx="23">
                  <c:v>Aircraft Components</c:v>
                </c:pt>
              </c:strCache>
            </c:strRef>
          </c:cat>
          <c:val>
            <c:numRef>
              <c:f>'2012~2011 Analysis'!$B$53:$B$76</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er>
        <c:dLbls>
          <c:showVal val="1"/>
        </c:dLbls>
        <c:overlap val="-25"/>
        <c:axId val="109916160"/>
        <c:axId val="109917696"/>
      </c:barChart>
      <c:catAx>
        <c:axId val="109916160"/>
        <c:scaling>
          <c:orientation val="minMax"/>
        </c:scaling>
        <c:axPos val="b"/>
        <c:majorTickMark val="none"/>
        <c:tickLblPos val="nextTo"/>
        <c:txPr>
          <a:bodyPr/>
          <a:lstStyle/>
          <a:p>
            <a:pPr>
              <a:defRPr lang="zh-CN"/>
            </a:pPr>
            <a:endParaRPr lang="zh-CN"/>
          </a:p>
        </c:txPr>
        <c:crossAx val="109917696"/>
        <c:crosses val="autoZero"/>
        <c:auto val="1"/>
        <c:lblAlgn val="ctr"/>
        <c:lblOffset val="100"/>
      </c:catAx>
      <c:valAx>
        <c:axId val="109917696"/>
        <c:scaling>
          <c:orientation val="minMax"/>
        </c:scaling>
        <c:delete val="1"/>
        <c:axPos val="l"/>
        <c:numFmt formatCode="General" sourceLinked="1"/>
        <c:tickLblPos val="none"/>
        <c:crossAx val="109916160"/>
        <c:crosses val="autoZero"/>
        <c:crossBetween val="between"/>
      </c:valAx>
    </c:plotArea>
    <c:legend>
      <c:legendPos val="t"/>
      <c:layout>
        <c:manualLayout>
          <c:xMode val="edge"/>
          <c:yMode val="edge"/>
          <c:x val="0.76837402101845764"/>
          <c:y val="8.8942447899140825E-2"/>
          <c:w val="0.15602304230043826"/>
          <c:h val="6.4397839693115924E-2"/>
        </c:manualLayout>
      </c:layout>
      <c:txPr>
        <a:bodyPr/>
        <a:lstStyle/>
        <a:p>
          <a:pPr>
            <a:defRPr lang="zh-CN"/>
          </a:pPr>
          <a:endParaRPr lang="zh-CN"/>
        </a:p>
      </c:txPr>
    </c:legend>
    <c:plotVisOnly val="1"/>
  </c:chart>
  <c:printSettings>
    <c:headerFooter/>
    <c:pageMargins b="0.75000000000001465" l="0.70000000000000062" r="0.70000000000000062" t="0.75000000000001465" header="0.30000000000000032" footer="0.30000000000000032"/>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lang="zh-CN"/>
            </a:pPr>
            <a:r>
              <a:rPr lang="en-US" altLang="en-US"/>
              <a:t>Number of CARs Year 2011</a:t>
            </a:r>
          </a:p>
          <a:p>
            <a:pPr>
              <a:defRPr lang="zh-CN"/>
            </a:pPr>
            <a:r>
              <a:rPr lang="en-US" altLang="en-US"/>
              <a:t>Jan~Dec (12 months)</a:t>
            </a:r>
          </a:p>
        </c:rich>
      </c:tx>
    </c:title>
    <c:view3D>
      <c:rotX val="30"/>
      <c:perspective val="30"/>
    </c:view3D>
    <c:plotArea>
      <c:layout/>
      <c:pie3DChart>
        <c:varyColors val="1"/>
        <c:ser>
          <c:idx val="0"/>
          <c:order val="0"/>
          <c:tx>
            <c:strRef>
              <c:f>'2011~2010 Analysis'!$B$9</c:f>
              <c:strCache>
                <c:ptCount val="1"/>
                <c:pt idx="0">
                  <c:v>Number of CARs</c:v>
                </c:pt>
              </c:strCache>
            </c:strRef>
          </c:tx>
          <c:explosion val="25"/>
          <c:cat>
            <c:strRef>
              <c:f>'2011~2010 Analysis'!$A$10:$A$12</c:f>
              <c:strCache>
                <c:ptCount val="3"/>
                <c:pt idx="0">
                  <c:v>Home Base</c:v>
                </c:pt>
                <c:pt idx="1">
                  <c:v>Out Station</c:v>
                </c:pt>
                <c:pt idx="2">
                  <c:v>Base Maintenance</c:v>
                </c:pt>
              </c:strCache>
            </c:strRef>
          </c:cat>
          <c:val>
            <c:numRef>
              <c:f>'2011~2010 Analysis'!$B$10:$B$12</c:f>
              <c:numCache>
                <c:formatCode>General</c:formatCode>
                <c:ptCount val="3"/>
                <c:pt idx="0">
                  <c:v>0</c:v>
                </c:pt>
                <c:pt idx="1">
                  <c:v>0</c:v>
                </c:pt>
                <c:pt idx="2">
                  <c:v>0</c:v>
                </c:pt>
              </c:numCache>
            </c:numRef>
          </c:val>
        </c:ser>
        <c:ser>
          <c:idx val="1"/>
          <c:order val="1"/>
          <c:tx>
            <c:strRef>
              <c:f>'2011~2010 Analysis'!$C$9</c:f>
              <c:strCache>
                <c:ptCount val="1"/>
                <c:pt idx="0">
                  <c:v>Percentage</c:v>
                </c:pt>
              </c:strCache>
            </c:strRef>
          </c:tx>
          <c:explosion val="25"/>
          <c:cat>
            <c:strRef>
              <c:f>'2011~2010 Analysis'!$A$10:$A$12</c:f>
              <c:strCache>
                <c:ptCount val="3"/>
                <c:pt idx="0">
                  <c:v>Home Base</c:v>
                </c:pt>
                <c:pt idx="1">
                  <c:v>Out Station</c:v>
                </c:pt>
                <c:pt idx="2">
                  <c:v>Base Maintenance</c:v>
                </c:pt>
              </c:strCache>
            </c:strRef>
          </c:cat>
          <c:val>
            <c:numRef>
              <c:f>'2011~2010 Analysis'!$C$10:$C$12</c:f>
              <c:numCache>
                <c:formatCode>0.00%</c:formatCode>
                <c:ptCount val="3"/>
                <c:pt idx="0">
                  <c:v>0</c:v>
                </c:pt>
                <c:pt idx="1">
                  <c:v>0</c:v>
                </c:pt>
                <c:pt idx="2">
                  <c:v>0</c:v>
                </c:pt>
              </c:numCache>
            </c:numRef>
          </c:val>
        </c:ser>
        <c:dLbls>
          <c:showCatName val="1"/>
          <c:showPercent val="1"/>
        </c:dLbls>
      </c:pie3DChart>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14</xdr:col>
      <xdr:colOff>309880</xdr:colOff>
      <xdr:row>0</xdr:row>
      <xdr:rowOff>40640</xdr:rowOff>
    </xdr:from>
    <xdr:to>
      <xdr:col>20</xdr:col>
      <xdr:colOff>477520</xdr:colOff>
      <xdr:row>10</xdr:row>
      <xdr:rowOff>45720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165100</xdr:colOff>
      <xdr:row>0</xdr:row>
      <xdr:rowOff>25400</xdr:rowOff>
    </xdr:from>
    <xdr:to>
      <xdr:col>14</xdr:col>
      <xdr:colOff>302260</xdr:colOff>
      <xdr:row>10</xdr:row>
      <xdr:rowOff>45720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317500</xdr:colOff>
      <xdr:row>10</xdr:row>
      <xdr:rowOff>55880</xdr:rowOff>
    </xdr:from>
    <xdr:to>
      <xdr:col>20</xdr:col>
      <xdr:colOff>477520</xdr:colOff>
      <xdr:row>36</xdr:row>
      <xdr:rowOff>167640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165100</xdr:colOff>
      <xdr:row>10</xdr:row>
      <xdr:rowOff>63500</xdr:rowOff>
    </xdr:from>
    <xdr:to>
      <xdr:col>14</xdr:col>
      <xdr:colOff>302260</xdr:colOff>
      <xdr:row>36</xdr:row>
      <xdr:rowOff>175260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321945</xdr:colOff>
      <xdr:row>36</xdr:row>
      <xdr:rowOff>182880</xdr:rowOff>
    </xdr:from>
    <xdr:to>
      <xdr:col>20</xdr:col>
      <xdr:colOff>449580</xdr:colOff>
      <xdr:row>47</xdr:row>
      <xdr:rowOff>114300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175260</xdr:colOff>
      <xdr:row>36</xdr:row>
      <xdr:rowOff>193040</xdr:rowOff>
    </xdr:from>
    <xdr:to>
      <xdr:col>14</xdr:col>
      <xdr:colOff>304800</xdr:colOff>
      <xdr:row>47</xdr:row>
      <xdr:rowOff>121920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182881</xdr:colOff>
      <xdr:row>50</xdr:row>
      <xdr:rowOff>91440</xdr:rowOff>
    </xdr:from>
    <xdr:to>
      <xdr:col>20</xdr:col>
      <xdr:colOff>441961</xdr:colOff>
      <xdr:row>71</xdr:row>
      <xdr:rowOff>99060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182880</xdr:colOff>
      <xdr:row>71</xdr:row>
      <xdr:rowOff>83820</xdr:rowOff>
    </xdr:from>
    <xdr:to>
      <xdr:col>20</xdr:col>
      <xdr:colOff>434340</xdr:colOff>
      <xdr:row>92</xdr:row>
      <xdr:rowOff>22860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157480</xdr:colOff>
      <xdr:row>0</xdr:row>
      <xdr:rowOff>40640</xdr:rowOff>
    </xdr:from>
    <xdr:to>
      <xdr:col>13</xdr:col>
      <xdr:colOff>325120</xdr:colOff>
      <xdr:row>14</xdr:row>
      <xdr:rowOff>71120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309880</xdr:colOff>
      <xdr:row>0</xdr:row>
      <xdr:rowOff>40640</xdr:rowOff>
    </xdr:from>
    <xdr:to>
      <xdr:col>19</xdr:col>
      <xdr:colOff>447040</xdr:colOff>
      <xdr:row>14</xdr:row>
      <xdr:rowOff>71120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157480</xdr:colOff>
      <xdr:row>12</xdr:row>
      <xdr:rowOff>154940</xdr:rowOff>
    </xdr:from>
    <xdr:to>
      <xdr:col>13</xdr:col>
      <xdr:colOff>317500</xdr:colOff>
      <xdr:row>38</xdr:row>
      <xdr:rowOff>88900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317500</xdr:colOff>
      <xdr:row>12</xdr:row>
      <xdr:rowOff>162560</xdr:rowOff>
    </xdr:from>
    <xdr:to>
      <xdr:col>19</xdr:col>
      <xdr:colOff>454660</xdr:colOff>
      <xdr:row>38</xdr:row>
      <xdr:rowOff>96520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123825</xdr:colOff>
      <xdr:row>37</xdr:row>
      <xdr:rowOff>135890</xdr:rowOff>
    </xdr:from>
    <xdr:to>
      <xdr:col>13</xdr:col>
      <xdr:colOff>276225</xdr:colOff>
      <xdr:row>52</xdr:row>
      <xdr:rowOff>2540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312420</xdr:colOff>
      <xdr:row>37</xdr:row>
      <xdr:rowOff>124460</xdr:rowOff>
    </xdr:from>
    <xdr:to>
      <xdr:col>19</xdr:col>
      <xdr:colOff>441960</xdr:colOff>
      <xdr:row>51</xdr:row>
      <xdr:rowOff>162560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180975</xdr:colOff>
      <xdr:row>47</xdr:row>
      <xdr:rowOff>57150</xdr:rowOff>
    </xdr:from>
    <xdr:to>
      <xdr:col>19</xdr:col>
      <xdr:colOff>462915</xdr:colOff>
      <xdr:row>74</xdr:row>
      <xdr:rowOff>123825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134620</xdr:colOff>
      <xdr:row>70</xdr:row>
      <xdr:rowOff>7620</xdr:rowOff>
    </xdr:from>
    <xdr:to>
      <xdr:col>19</xdr:col>
      <xdr:colOff>408940</xdr:colOff>
      <xdr:row>98</xdr:row>
      <xdr:rowOff>22860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17</xdr:row>
      <xdr:rowOff>0</xdr:rowOff>
    </xdr:from>
    <xdr:to>
      <xdr:col>7</xdr:col>
      <xdr:colOff>47625</xdr:colOff>
      <xdr:row>28</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352425</xdr:colOff>
      <xdr:row>30</xdr:row>
      <xdr:rowOff>9524</xdr:rowOff>
    </xdr:from>
    <xdr:to>
      <xdr:col>13</xdr:col>
      <xdr:colOff>352425</xdr:colOff>
      <xdr:row>54</xdr:row>
      <xdr:rowOff>123824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Patrick\QA-FILE\QA\Finding%20Analysis\CAR%20analysis%20of%202010.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2"/>
      <sheetName val="copy"/>
      <sheetName val="Homebase Outstation"/>
      <sheetName val="Division station affected"/>
    </sheetNames>
    <sheetDataSet>
      <sheetData sheetId="0"/>
      <sheetData sheetId="1">
        <row r="2">
          <cell r="E2" t="str">
            <v>AMD</v>
          </cell>
          <cell r="H2">
            <v>1</v>
          </cell>
        </row>
        <row r="3">
          <cell r="H3">
            <v>2</v>
          </cell>
        </row>
        <row r="4">
          <cell r="H4">
            <v>2</v>
          </cell>
        </row>
        <row r="5">
          <cell r="H5">
            <v>2</v>
          </cell>
        </row>
        <row r="6">
          <cell r="H6">
            <v>2</v>
          </cell>
        </row>
        <row r="7">
          <cell r="H7">
            <v>2</v>
          </cell>
        </row>
        <row r="8">
          <cell r="H8">
            <v>2</v>
          </cell>
        </row>
        <row r="9">
          <cell r="H9">
            <v>2</v>
          </cell>
        </row>
        <row r="10">
          <cell r="H10">
            <v>2</v>
          </cell>
        </row>
        <row r="11">
          <cell r="H11">
            <v>2</v>
          </cell>
        </row>
        <row r="12">
          <cell r="H12">
            <v>2</v>
          </cell>
        </row>
        <row r="13">
          <cell r="H13">
            <v>2</v>
          </cell>
        </row>
        <row r="14">
          <cell r="H14">
            <v>2</v>
          </cell>
        </row>
        <row r="15">
          <cell r="H15">
            <v>3</v>
          </cell>
        </row>
        <row r="16">
          <cell r="H16">
            <v>2</v>
          </cell>
        </row>
        <row r="17">
          <cell r="H17">
            <v>3</v>
          </cell>
        </row>
        <row r="18">
          <cell r="H18">
            <v>2</v>
          </cell>
        </row>
        <row r="19">
          <cell r="H19">
            <v>2</v>
          </cell>
        </row>
        <row r="20">
          <cell r="H20">
            <v>2</v>
          </cell>
        </row>
        <row r="21">
          <cell r="H21">
            <v>2</v>
          </cell>
        </row>
        <row r="22">
          <cell r="H22">
            <v>2</v>
          </cell>
        </row>
        <row r="23">
          <cell r="H23">
            <v>2</v>
          </cell>
        </row>
        <row r="24">
          <cell r="H24">
            <v>2</v>
          </cell>
        </row>
        <row r="25">
          <cell r="H25">
            <v>2</v>
          </cell>
        </row>
        <row r="26">
          <cell r="H26">
            <v>2</v>
          </cell>
        </row>
        <row r="27">
          <cell r="H27">
            <v>2</v>
          </cell>
        </row>
        <row r="28">
          <cell r="H28">
            <v>2</v>
          </cell>
        </row>
        <row r="29">
          <cell r="H29">
            <v>2</v>
          </cell>
        </row>
        <row r="30">
          <cell r="H30">
            <v>2</v>
          </cell>
        </row>
        <row r="31">
          <cell r="H31">
            <v>2</v>
          </cell>
        </row>
        <row r="32">
          <cell r="H32">
            <v>2</v>
          </cell>
        </row>
        <row r="33">
          <cell r="H33">
            <v>2</v>
          </cell>
        </row>
        <row r="34">
          <cell r="H34">
            <v>3</v>
          </cell>
        </row>
        <row r="35">
          <cell r="H35">
            <v>2</v>
          </cell>
        </row>
        <row r="36">
          <cell r="H36">
            <v>2</v>
          </cell>
        </row>
        <row r="37">
          <cell r="H37">
            <v>2</v>
          </cell>
        </row>
        <row r="38">
          <cell r="H38">
            <v>2</v>
          </cell>
        </row>
        <row r="39">
          <cell r="H39">
            <v>2</v>
          </cell>
        </row>
        <row r="40">
          <cell r="H40">
            <v>2</v>
          </cell>
        </row>
        <row r="41">
          <cell r="H41">
            <v>2</v>
          </cell>
        </row>
        <row r="42">
          <cell r="H42">
            <v>2</v>
          </cell>
        </row>
        <row r="43">
          <cell r="H43">
            <v>2</v>
          </cell>
        </row>
        <row r="44">
          <cell r="H44">
            <v>2</v>
          </cell>
        </row>
        <row r="45">
          <cell r="H45">
            <v>2</v>
          </cell>
        </row>
        <row r="46">
          <cell r="H46">
            <v>2</v>
          </cell>
        </row>
        <row r="47">
          <cell r="H47">
            <v>2</v>
          </cell>
        </row>
        <row r="48">
          <cell r="H48">
            <v>2</v>
          </cell>
        </row>
        <row r="49">
          <cell r="H49">
            <v>2</v>
          </cell>
        </row>
        <row r="50">
          <cell r="H50">
            <v>2</v>
          </cell>
        </row>
        <row r="51">
          <cell r="H51">
            <v>2</v>
          </cell>
        </row>
        <row r="52">
          <cell r="H52">
            <v>2</v>
          </cell>
        </row>
        <row r="53">
          <cell r="H53">
            <v>2</v>
          </cell>
        </row>
        <row r="54">
          <cell r="H54">
            <v>2</v>
          </cell>
        </row>
        <row r="55">
          <cell r="H55">
            <v>2</v>
          </cell>
        </row>
        <row r="56">
          <cell r="H56">
            <v>2</v>
          </cell>
        </row>
        <row r="57">
          <cell r="H57">
            <v>2</v>
          </cell>
        </row>
        <row r="58">
          <cell r="H58">
            <v>2</v>
          </cell>
        </row>
        <row r="59">
          <cell r="H59">
            <v>2</v>
          </cell>
        </row>
        <row r="60">
          <cell r="H60">
            <v>2</v>
          </cell>
        </row>
        <row r="61">
          <cell r="H61">
            <v>2</v>
          </cell>
        </row>
        <row r="62">
          <cell r="H62">
            <v>3</v>
          </cell>
        </row>
        <row r="63">
          <cell r="H63">
            <v>3</v>
          </cell>
        </row>
        <row r="64">
          <cell r="H64">
            <v>2</v>
          </cell>
        </row>
        <row r="65">
          <cell r="H65">
            <v>2</v>
          </cell>
        </row>
        <row r="66">
          <cell r="H66">
            <v>2</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8" Type="http://schemas.openxmlformats.org/officeDocument/2006/relationships/hyperlink" Target="../../enmygj/Application%20Data/Microsoft/Excel/Attachment/CAR%20A-244-10(1-4)/email%20from%20stephen.pdf" TargetMode="External"/><Relationship Id="rId13" Type="http://schemas.openxmlformats.org/officeDocument/2006/relationships/hyperlink" Target="../../enmygj/Application%20Data/Microsoft/Excel/Attachment/CAR%20A-244-10(1-4)/0691-DFSL-11_A-244-10_1%20to%204.pdf" TargetMode="External"/><Relationship Id="rId3" Type="http://schemas.openxmlformats.org/officeDocument/2006/relationships/hyperlink" Target="../../enmygj/Application%20Data/Microsoft/Excel/Attachment/CAR%20A-244-10(1-4)/0140-DFSL-11_CAR%20A-244-10(1-4).pdf" TargetMode="External"/><Relationship Id="rId7" Type="http://schemas.openxmlformats.org/officeDocument/2006/relationships/hyperlink" Target="../../enmygj/Application%20Data/Microsoft/Excel/Attachment/CAR%20A-244-10(1-4)/QD-AAC-10_022_0140-DFSL-10.PDF" TargetMode="External"/><Relationship Id="rId12" Type="http://schemas.openxmlformats.org/officeDocument/2006/relationships/hyperlink" Target="../../enmygj/Application%20Data/Microsoft/Excel/Attachment/CAR%20A-244-10(1-4)/email%20from%20stephen.pdf" TargetMode="External"/><Relationship Id="rId2" Type="http://schemas.openxmlformats.org/officeDocument/2006/relationships/hyperlink" Target="../../enmygj/Application%20Data/Microsoft/Excel/Attachment/CAR%20A-244-10(1-4)/0140-DFSL-11_CAR%20A-244-10(1-4).pdf" TargetMode="External"/><Relationship Id="rId16" Type="http://schemas.openxmlformats.org/officeDocument/2006/relationships/comments" Target="../comments2.xml"/><Relationship Id="rId1" Type="http://schemas.openxmlformats.org/officeDocument/2006/relationships/printerSettings" Target="../printerSettings/printerSettings7.bin"/><Relationship Id="rId6" Type="http://schemas.openxmlformats.org/officeDocument/2006/relationships/hyperlink" Target="../../enmygj/Application%20Data/Microsoft/Excel/Attachment/CAR%20A-244-10(1-4)/QD-AAC-10_022_0140-DFSL-10.PDF" TargetMode="External"/><Relationship Id="rId11" Type="http://schemas.openxmlformats.org/officeDocument/2006/relationships/hyperlink" Target="../../enmygj/Application%20Data/Microsoft/Excel/Attachment/CAR%20A-244-10(1-4)/0691-DFSL-11_A-244-10_1%20to%204.pdf" TargetMode="External"/><Relationship Id="rId5" Type="http://schemas.openxmlformats.org/officeDocument/2006/relationships/hyperlink" Target="../../enmygj/Application%20Data/Microsoft/Excel/Attachment/CAR%20A-244-10(1-4)/0140-DFSL-11_CAR%20A-244-10(1-4).pdf" TargetMode="External"/><Relationship Id="rId15" Type="http://schemas.openxmlformats.org/officeDocument/2006/relationships/vmlDrawing" Target="../drawings/vmlDrawing2.vml"/><Relationship Id="rId10" Type="http://schemas.openxmlformats.org/officeDocument/2006/relationships/hyperlink" Target="../../enmygj/Application%20Data/Microsoft/Excel/Attachment/CAR%20A-244-10(1-4)/Answer%20to%20AACM-A244-10_1%20to%204.pdf" TargetMode="External"/><Relationship Id="rId4" Type="http://schemas.openxmlformats.org/officeDocument/2006/relationships/hyperlink" Target="../../enmygj/Application%20Data/Microsoft/Excel/Attachment/CAR%20A-244-10(1-4)/0140-DFSL-11_CAR%20A-244-10(1-4).pdf" TargetMode="External"/><Relationship Id="rId9" Type="http://schemas.openxmlformats.org/officeDocument/2006/relationships/hyperlink" Target="../../enmygj/Application%20Data/Microsoft/Excel/Attachment/CAR%20A-244-10(1-4)/email%20from%20stephen.pdf" TargetMode="External"/><Relationship Id="rId14"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
  <sheetViews>
    <sheetView workbookViewId="0">
      <selection activeCell="D13" sqref="D13"/>
    </sheetView>
  </sheetViews>
  <sheetFormatPr defaultRowHeight="13.2"/>
  <sheetData/>
  <customSheetViews>
    <customSheetView guid="{7BA9E918-F3F9-4CEB-966C-941A716ADD86}" state="hidden">
      <selection activeCell="D13" sqref="D13"/>
      <pageMargins left="0.7" right="0.7" top="0.75" bottom="0.75" header="0.3" footer="0.3"/>
      <pageSetup paperSize="9" orientation="portrait" r:id="rId1"/>
    </customSheetView>
  </customSheetViews>
  <phoneticPr fontId="9" type="noConversion"/>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dimension ref="A1:BO152"/>
  <sheetViews>
    <sheetView tabSelected="1" zoomScale="81" zoomScaleNormal="81" zoomScaleSheetLayoutView="70" workbookViewId="0">
      <pane xSplit="5" ySplit="1" topLeftCell="I34" activePane="bottomRight" state="frozen"/>
      <selection pane="topRight" activeCell="E1" sqref="E1"/>
      <selection pane="bottomLeft" activeCell="A2" sqref="A2"/>
      <selection pane="bottomRight" activeCell="N27" sqref="N27"/>
    </sheetView>
  </sheetViews>
  <sheetFormatPr defaultColWidth="8.88671875" defaultRowHeight="13.2" outlineLevelCol="2"/>
  <cols>
    <col min="1" max="1" width="5.6640625" style="60" customWidth="1"/>
    <col min="2" max="2" width="12.44140625" style="60" customWidth="1"/>
    <col min="3" max="3" width="18.6640625" style="72" customWidth="1"/>
    <col min="4" max="4" width="23.109375" style="73" customWidth="1" outlineLevel="1"/>
    <col min="5" max="5" width="9.6640625" style="60" customWidth="1" outlineLevel="1"/>
    <col min="6" max="6" width="12.109375" style="60" customWidth="1" outlineLevel="1"/>
    <col min="7" max="7" width="19.109375" style="60" bestFit="1" customWidth="1" outlineLevel="1"/>
    <col min="8" max="8" width="10.6640625" style="60" customWidth="1" outlineLevel="1"/>
    <col min="9" max="9" width="9.109375" style="60" customWidth="1" outlineLevel="1"/>
    <col min="10" max="10" width="5.33203125" style="60" customWidth="1" outlineLevel="1"/>
    <col min="11" max="11" width="13.6640625" style="74" customWidth="1" outlineLevel="1"/>
    <col min="12" max="12" width="12.44140625" style="75" customWidth="1" outlineLevel="1"/>
    <col min="13" max="13" width="12.44140625" style="74" customWidth="1"/>
    <col min="14" max="14" width="16.109375" style="60" customWidth="1" outlineLevel="2"/>
    <col min="15" max="15" width="14.6640625" style="62" customWidth="1" outlineLevel="2"/>
    <col min="16" max="16" width="12" style="62" customWidth="1" outlineLevel="1"/>
    <col min="17" max="17" width="16.109375" style="79" customWidth="1" outlineLevel="2"/>
    <col min="18" max="18" width="14.6640625" style="223" customWidth="1" outlineLevel="2"/>
    <col min="19" max="19" width="10.44140625" style="61" customWidth="1" outlineLevel="1"/>
    <col min="20" max="20" width="16.109375" style="60" customWidth="1" outlineLevel="2"/>
    <col min="21" max="21" width="14.6640625" style="62" customWidth="1" outlineLevel="2"/>
    <col min="22" max="22" width="9.6640625" style="62" customWidth="1" outlineLevel="1"/>
    <col min="23" max="23" width="16.88671875" style="79" customWidth="1" outlineLevel="2"/>
    <col min="24" max="24" width="14.6640625" style="61" customWidth="1" outlineLevel="2"/>
    <col min="25" max="25" width="11.33203125" style="61" customWidth="1" outlineLevel="1"/>
    <col min="26" max="26" width="16.109375" style="60" customWidth="1" outlineLevel="2"/>
    <col min="27" max="27" width="14.6640625" style="62" customWidth="1" outlineLevel="2"/>
    <col min="28" max="28" width="11.5546875" style="62" customWidth="1" outlineLevel="1"/>
    <col min="29" max="29" width="16.109375" style="79" customWidth="1" outlineLevel="2"/>
    <col min="30" max="30" width="14.6640625" style="61" customWidth="1" outlineLevel="2"/>
    <col min="31" max="31" width="11" style="61" customWidth="1" outlineLevel="1"/>
    <col min="32" max="32" width="16.109375" style="60" customWidth="1" outlineLevel="2"/>
    <col min="33" max="33" width="14.6640625" style="62" customWidth="1" outlineLevel="2"/>
    <col min="34" max="34" width="10.109375" style="62" customWidth="1" outlineLevel="1"/>
    <col min="35" max="35" width="16.109375" style="79" customWidth="1" outlineLevel="2"/>
    <col min="36" max="36" width="14.6640625" style="61" customWidth="1" outlineLevel="2"/>
    <col min="37" max="37" width="11" style="61" customWidth="1" outlineLevel="1"/>
    <col min="38" max="38" width="16.109375" style="60" customWidth="1" outlineLevel="2"/>
    <col min="39" max="39" width="14.6640625" style="62" customWidth="1" outlineLevel="2"/>
    <col min="40" max="40" width="10.109375" style="62" customWidth="1" outlineLevel="1"/>
    <col min="41" max="41" width="16.109375" style="79" customWidth="1" outlineLevel="2"/>
    <col min="42" max="42" width="14.6640625" style="61" customWidth="1" outlineLevel="2"/>
    <col min="43" max="43" width="11" style="61" customWidth="1" outlineLevel="1"/>
    <col min="44" max="44" width="16.109375" style="60" customWidth="1" outlineLevel="2"/>
    <col min="45" max="45" width="14.6640625" style="62" customWidth="1" outlineLevel="2"/>
    <col min="46" max="46" width="10.109375" style="62" customWidth="1" outlineLevel="1"/>
    <col min="47" max="47" width="14.6640625" style="76" customWidth="1"/>
    <col min="48" max="48" width="13.44140625" style="77" customWidth="1" outlineLevel="1"/>
    <col min="49" max="49" width="13.88671875" style="76" customWidth="1" outlineLevel="1"/>
    <col min="50" max="50" width="14.5546875" style="60" customWidth="1" outlineLevel="1"/>
    <col min="51" max="51" width="14" style="60" customWidth="1"/>
    <col min="52" max="52" width="11.5546875" style="60" customWidth="1"/>
    <col min="53" max="53" width="72.33203125" style="218" customWidth="1" outlineLevel="1"/>
    <col min="54" max="54" width="58.6640625" style="218" customWidth="1" outlineLevel="1"/>
    <col min="55" max="55" width="88.6640625" style="218" customWidth="1" outlineLevel="1"/>
    <col min="56" max="56" width="16.44140625" style="78" customWidth="1"/>
    <col min="57" max="58" width="8.88671875" style="5" customWidth="1"/>
    <col min="59" max="59" width="17.109375" style="5" customWidth="1"/>
    <col min="60" max="60" width="13" style="5" customWidth="1"/>
    <col min="61" max="61" width="11.109375" style="5" customWidth="1"/>
    <col min="62" max="62" width="10.33203125" style="5" customWidth="1"/>
    <col min="63" max="64" width="11.33203125" style="5" customWidth="1"/>
    <col min="65" max="65" width="22.6640625" style="96" customWidth="1"/>
    <col min="66" max="66" width="25.6640625" style="60" customWidth="1"/>
    <col min="67" max="16384" width="8.88671875" style="60"/>
  </cols>
  <sheetData>
    <row r="1" spans="1:67" ht="37.950000000000003" customHeight="1">
      <c r="A1" s="4" t="s">
        <v>306</v>
      </c>
      <c r="B1" s="50" t="s">
        <v>307</v>
      </c>
      <c r="C1" s="51" t="s">
        <v>1</v>
      </c>
      <c r="D1" s="52" t="s">
        <v>37</v>
      </c>
      <c r="E1" s="4" t="s">
        <v>146</v>
      </c>
      <c r="F1" s="4" t="s">
        <v>104</v>
      </c>
      <c r="G1" s="4" t="s">
        <v>103</v>
      </c>
      <c r="H1" s="4" t="s">
        <v>106</v>
      </c>
      <c r="I1" s="4" t="s">
        <v>11</v>
      </c>
      <c r="J1" s="50" t="s">
        <v>67</v>
      </c>
      <c r="K1" s="53" t="s">
        <v>65</v>
      </c>
      <c r="L1" s="54" t="s">
        <v>2</v>
      </c>
      <c r="M1" s="54" t="s">
        <v>3</v>
      </c>
      <c r="N1" s="4" t="s">
        <v>89</v>
      </c>
      <c r="O1" s="46" t="s">
        <v>88</v>
      </c>
      <c r="P1" s="46" t="s">
        <v>90</v>
      </c>
      <c r="Q1" s="49" t="s">
        <v>89</v>
      </c>
      <c r="R1" s="220" t="s">
        <v>88</v>
      </c>
      <c r="S1" s="48" t="s">
        <v>91</v>
      </c>
      <c r="T1" s="4" t="s">
        <v>89</v>
      </c>
      <c r="U1" s="46" t="s">
        <v>88</v>
      </c>
      <c r="V1" s="46" t="s">
        <v>92</v>
      </c>
      <c r="W1" s="49" t="s">
        <v>463</v>
      </c>
      <c r="X1" s="48" t="s">
        <v>88</v>
      </c>
      <c r="Y1" s="48" t="s">
        <v>93</v>
      </c>
      <c r="Z1" s="4" t="s">
        <v>89</v>
      </c>
      <c r="AA1" s="46" t="s">
        <v>88</v>
      </c>
      <c r="AB1" s="46" t="s">
        <v>94</v>
      </c>
      <c r="AC1" s="49" t="s">
        <v>89</v>
      </c>
      <c r="AD1" s="48" t="s">
        <v>88</v>
      </c>
      <c r="AE1" s="48" t="s">
        <v>239</v>
      </c>
      <c r="AF1" s="4" t="s">
        <v>89</v>
      </c>
      <c r="AG1" s="46" t="s">
        <v>88</v>
      </c>
      <c r="AH1" s="46" t="s">
        <v>240</v>
      </c>
      <c r="AI1" s="49" t="s">
        <v>89</v>
      </c>
      <c r="AJ1" s="48" t="s">
        <v>88</v>
      </c>
      <c r="AK1" s="48" t="s">
        <v>241</v>
      </c>
      <c r="AL1" s="4" t="s">
        <v>89</v>
      </c>
      <c r="AM1" s="46" t="s">
        <v>88</v>
      </c>
      <c r="AN1" s="46" t="s">
        <v>242</v>
      </c>
      <c r="AO1" s="49" t="s">
        <v>89</v>
      </c>
      <c r="AP1" s="48" t="s">
        <v>88</v>
      </c>
      <c r="AQ1" s="48" t="s">
        <v>243</v>
      </c>
      <c r="AR1" s="4" t="s">
        <v>89</v>
      </c>
      <c r="AS1" s="46" t="s">
        <v>88</v>
      </c>
      <c r="AT1" s="46" t="s">
        <v>244</v>
      </c>
      <c r="AU1" s="55" t="s">
        <v>70</v>
      </c>
      <c r="AV1" s="56" t="s">
        <v>69</v>
      </c>
      <c r="AW1" s="56" t="s">
        <v>68</v>
      </c>
      <c r="AX1" s="57" t="s">
        <v>58</v>
      </c>
      <c r="AY1" s="57" t="s">
        <v>101</v>
      </c>
      <c r="AZ1" s="4" t="s">
        <v>5</v>
      </c>
      <c r="BA1" s="58" t="s">
        <v>100</v>
      </c>
      <c r="BB1" s="58" t="s">
        <v>97</v>
      </c>
      <c r="BC1" s="58" t="s">
        <v>98</v>
      </c>
      <c r="BD1" s="245" t="s">
        <v>12</v>
      </c>
      <c r="BE1" s="10"/>
      <c r="BF1" s="5" t="s">
        <v>96</v>
      </c>
      <c r="BG1" s="10" t="s">
        <v>95</v>
      </c>
      <c r="BH1" s="10" t="s">
        <v>6</v>
      </c>
      <c r="BI1" s="10" t="s">
        <v>15</v>
      </c>
      <c r="BJ1" s="10" t="s">
        <v>14</v>
      </c>
      <c r="BK1" s="10" t="s">
        <v>32</v>
      </c>
      <c r="BL1" s="10" t="s">
        <v>139</v>
      </c>
      <c r="BM1" s="25" t="s">
        <v>147</v>
      </c>
      <c r="BN1" s="25" t="s">
        <v>66</v>
      </c>
      <c r="BO1" s="38" t="s">
        <v>230</v>
      </c>
    </row>
    <row r="2" spans="1:67" ht="151.5" customHeight="1">
      <c r="A2" s="244">
        <v>1</v>
      </c>
      <c r="B2" s="244">
        <v>1</v>
      </c>
      <c r="C2" s="63" t="s">
        <v>571</v>
      </c>
      <c r="D2" s="64" t="s">
        <v>288</v>
      </c>
      <c r="E2" s="4" t="s">
        <v>289</v>
      </c>
      <c r="F2" s="4" t="s">
        <v>318</v>
      </c>
      <c r="G2" s="4" t="s">
        <v>308</v>
      </c>
      <c r="H2" s="4" t="s">
        <v>304</v>
      </c>
      <c r="I2" s="244" t="s">
        <v>290</v>
      </c>
      <c r="J2" s="244">
        <v>2</v>
      </c>
      <c r="K2" s="65" t="s">
        <v>291</v>
      </c>
      <c r="L2" s="66">
        <v>41302</v>
      </c>
      <c r="M2" s="66">
        <v>41313</v>
      </c>
      <c r="N2" s="4" t="s">
        <v>292</v>
      </c>
      <c r="O2" s="46">
        <v>41313</v>
      </c>
      <c r="P2" s="46" t="s">
        <v>293</v>
      </c>
      <c r="Q2" s="67" t="s">
        <v>295</v>
      </c>
      <c r="R2" s="221">
        <v>41319</v>
      </c>
      <c r="S2" s="48" t="s">
        <v>296</v>
      </c>
      <c r="T2" s="69"/>
      <c r="U2" s="47"/>
      <c r="V2" s="46"/>
      <c r="W2" s="67"/>
      <c r="X2" s="68"/>
      <c r="Y2" s="48"/>
      <c r="Z2" s="4"/>
      <c r="AA2" s="46"/>
      <c r="AB2" s="46"/>
      <c r="AC2" s="67"/>
      <c r="AD2" s="68"/>
      <c r="AE2" s="48"/>
      <c r="AF2" s="4"/>
      <c r="AG2" s="46"/>
      <c r="AH2" s="46"/>
      <c r="AI2" s="67"/>
      <c r="AJ2" s="68"/>
      <c r="AK2" s="48"/>
      <c r="AL2" s="4"/>
      <c r="AM2" s="46"/>
      <c r="AN2" s="46"/>
      <c r="AO2" s="67"/>
      <c r="AP2" s="68"/>
      <c r="AQ2" s="48"/>
      <c r="AR2" s="4"/>
      <c r="AS2" s="46"/>
      <c r="AT2" s="46"/>
      <c r="AU2" s="70" t="s">
        <v>297</v>
      </c>
      <c r="AV2" s="71">
        <v>41319</v>
      </c>
      <c r="AW2" s="71" t="s">
        <v>294</v>
      </c>
      <c r="AX2" s="1" t="s">
        <v>294</v>
      </c>
      <c r="AY2" s="1" t="s">
        <v>534</v>
      </c>
      <c r="AZ2" s="59" t="s">
        <v>298</v>
      </c>
      <c r="BA2" s="256" t="s">
        <v>570</v>
      </c>
      <c r="BB2" s="256" t="s">
        <v>309</v>
      </c>
      <c r="BC2" s="256" t="s">
        <v>310</v>
      </c>
      <c r="BO2" s="38"/>
    </row>
    <row r="3" spans="1:67" ht="91.95" customHeight="1">
      <c r="A3" s="244">
        <v>2</v>
      </c>
      <c r="B3" s="244">
        <v>2</v>
      </c>
      <c r="C3" s="63" t="s">
        <v>459</v>
      </c>
      <c r="D3" s="64" t="s">
        <v>299</v>
      </c>
      <c r="E3" s="4" t="s">
        <v>300</v>
      </c>
      <c r="F3" s="4" t="s">
        <v>319</v>
      </c>
      <c r="G3" s="4" t="s">
        <v>388</v>
      </c>
      <c r="H3" s="4" t="s">
        <v>305</v>
      </c>
      <c r="I3" s="244" t="s">
        <v>301</v>
      </c>
      <c r="J3" s="244">
        <v>2</v>
      </c>
      <c r="K3" s="65" t="s">
        <v>302</v>
      </c>
      <c r="L3" s="66">
        <v>41331</v>
      </c>
      <c r="M3" s="66">
        <v>41345</v>
      </c>
      <c r="N3" s="4" t="s">
        <v>311</v>
      </c>
      <c r="O3" s="46">
        <v>41346</v>
      </c>
      <c r="P3" s="46" t="s">
        <v>312</v>
      </c>
      <c r="Q3" s="67" t="s">
        <v>352</v>
      </c>
      <c r="R3" s="221">
        <v>41373</v>
      </c>
      <c r="S3" s="48" t="s">
        <v>353</v>
      </c>
      <c r="T3" s="69" t="s">
        <v>435</v>
      </c>
      <c r="U3" s="47">
        <v>41417</v>
      </c>
      <c r="V3" s="46" t="s">
        <v>436</v>
      </c>
      <c r="W3" s="67" t="s">
        <v>464</v>
      </c>
      <c r="X3" s="68">
        <v>41422</v>
      </c>
      <c r="Y3" s="48" t="s">
        <v>492</v>
      </c>
      <c r="Z3" s="4" t="s">
        <v>493</v>
      </c>
      <c r="AA3" s="46">
        <v>41449</v>
      </c>
      <c r="AB3" s="46" t="s">
        <v>494</v>
      </c>
      <c r="AC3" s="67" t="s">
        <v>546</v>
      </c>
      <c r="AD3" s="68">
        <v>41463</v>
      </c>
      <c r="AE3" s="48" t="s">
        <v>547</v>
      </c>
      <c r="AF3" s="4"/>
      <c r="AG3" s="46"/>
      <c r="AH3" s="46"/>
      <c r="AI3" s="67"/>
      <c r="AJ3" s="68"/>
      <c r="AK3" s="48"/>
      <c r="AL3" s="4"/>
      <c r="AM3" s="46"/>
      <c r="AN3" s="46"/>
      <c r="AO3" s="67"/>
      <c r="AP3" s="68"/>
      <c r="AQ3" s="48"/>
      <c r="AR3" s="4"/>
      <c r="AS3" s="46"/>
      <c r="AT3" s="46"/>
      <c r="AU3" s="70" t="s">
        <v>548</v>
      </c>
      <c r="AV3" s="71">
        <v>41463</v>
      </c>
      <c r="AW3" s="71" t="s">
        <v>495</v>
      </c>
      <c r="AX3" s="1" t="s">
        <v>495</v>
      </c>
      <c r="AY3" s="1" t="s">
        <v>549</v>
      </c>
      <c r="AZ3" s="59" t="s">
        <v>550</v>
      </c>
      <c r="BA3" s="256" t="s">
        <v>462</v>
      </c>
      <c r="BB3" s="256" t="s">
        <v>461</v>
      </c>
      <c r="BC3" s="256" t="s">
        <v>460</v>
      </c>
      <c r="BO3" s="38"/>
    </row>
    <row r="4" spans="1:67" ht="30">
      <c r="A4" s="278">
        <v>3</v>
      </c>
      <c r="B4" s="244">
        <v>1</v>
      </c>
      <c r="C4" s="63" t="s">
        <v>313</v>
      </c>
      <c r="D4" s="64" t="s">
        <v>315</v>
      </c>
      <c r="E4" s="4" t="s">
        <v>316</v>
      </c>
      <c r="F4" s="4" t="s">
        <v>317</v>
      </c>
      <c r="G4" s="4" t="s">
        <v>320</v>
      </c>
      <c r="H4" s="4" t="s">
        <v>322</v>
      </c>
      <c r="I4" s="244" t="s">
        <v>323</v>
      </c>
      <c r="J4" s="244">
        <v>2</v>
      </c>
      <c r="K4" s="219" t="s">
        <v>341</v>
      </c>
      <c r="L4" s="66">
        <v>41354</v>
      </c>
      <c r="M4" s="66" t="s">
        <v>77</v>
      </c>
      <c r="N4" s="4" t="s">
        <v>404</v>
      </c>
      <c r="O4" s="46">
        <v>41390</v>
      </c>
      <c r="P4" s="46" t="s">
        <v>405</v>
      </c>
      <c r="Q4" s="67"/>
      <c r="R4" s="221"/>
      <c r="S4" s="48"/>
      <c r="T4" s="69"/>
      <c r="U4" s="47"/>
      <c r="V4" s="46"/>
      <c r="W4" s="67"/>
      <c r="X4" s="68"/>
      <c r="Y4" s="48"/>
      <c r="Z4" s="4"/>
      <c r="AA4" s="46"/>
      <c r="AB4" s="46"/>
      <c r="AC4" s="67"/>
      <c r="AD4" s="68"/>
      <c r="AE4" s="48"/>
      <c r="AF4" s="4"/>
      <c r="AG4" s="46"/>
      <c r="AH4" s="46"/>
      <c r="AI4" s="67"/>
      <c r="AJ4" s="68"/>
      <c r="AK4" s="48"/>
      <c r="AL4" s="4"/>
      <c r="AM4" s="46"/>
      <c r="AN4" s="46"/>
      <c r="AO4" s="67"/>
      <c r="AP4" s="68"/>
      <c r="AQ4" s="48"/>
      <c r="AR4" s="4"/>
      <c r="AS4" s="46"/>
      <c r="AT4" s="46"/>
      <c r="AU4" s="55" t="s">
        <v>406</v>
      </c>
      <c r="AV4" s="71">
        <v>41390</v>
      </c>
      <c r="AW4" s="71" t="s">
        <v>59</v>
      </c>
      <c r="AX4" s="1" t="s">
        <v>345</v>
      </c>
      <c r="AY4" s="1" t="s">
        <v>534</v>
      </c>
      <c r="AZ4" s="59" t="s">
        <v>55</v>
      </c>
      <c r="BA4" s="256" t="s">
        <v>325</v>
      </c>
      <c r="BB4" s="256" t="s">
        <v>408</v>
      </c>
      <c r="BC4" s="256" t="s">
        <v>407</v>
      </c>
      <c r="BO4" s="38"/>
    </row>
    <row r="5" spans="1:67" ht="26.4">
      <c r="A5" s="278"/>
      <c r="B5" s="244">
        <v>2</v>
      </c>
      <c r="C5" s="63" t="s">
        <v>314</v>
      </c>
      <c r="D5" s="64" t="s">
        <v>315</v>
      </c>
      <c r="E5" s="4" t="s">
        <v>316</v>
      </c>
      <c r="F5" s="4" t="s">
        <v>317</v>
      </c>
      <c r="G5" s="4" t="s">
        <v>321</v>
      </c>
      <c r="H5" s="4" t="s">
        <v>322</v>
      </c>
      <c r="I5" s="244" t="s">
        <v>323</v>
      </c>
      <c r="J5" s="244">
        <v>2</v>
      </c>
      <c r="K5" s="219" t="s">
        <v>341</v>
      </c>
      <c r="L5" s="66">
        <v>41354</v>
      </c>
      <c r="M5" s="66" t="s">
        <v>77</v>
      </c>
      <c r="N5" s="4" t="s">
        <v>404</v>
      </c>
      <c r="O5" s="46">
        <v>41390</v>
      </c>
      <c r="P5" s="46" t="s">
        <v>405</v>
      </c>
      <c r="Q5" s="67"/>
      <c r="R5" s="221"/>
      <c r="S5" s="48"/>
      <c r="T5" s="69"/>
      <c r="U5" s="47"/>
      <c r="V5" s="46"/>
      <c r="W5" s="67"/>
      <c r="X5" s="68"/>
      <c r="Y5" s="48"/>
      <c r="Z5" s="4"/>
      <c r="AA5" s="46"/>
      <c r="AB5" s="46"/>
      <c r="AC5" s="67"/>
      <c r="AD5" s="68"/>
      <c r="AE5" s="48"/>
      <c r="AF5" s="4"/>
      <c r="AG5" s="46"/>
      <c r="AH5" s="46"/>
      <c r="AI5" s="67"/>
      <c r="AJ5" s="68"/>
      <c r="AK5" s="48"/>
      <c r="AL5" s="4"/>
      <c r="AM5" s="46"/>
      <c r="AN5" s="46"/>
      <c r="AO5" s="67"/>
      <c r="AP5" s="68"/>
      <c r="AQ5" s="48"/>
      <c r="AR5" s="4"/>
      <c r="AS5" s="46"/>
      <c r="AT5" s="46"/>
      <c r="AU5" s="55" t="s">
        <v>406</v>
      </c>
      <c r="AV5" s="71">
        <v>41390</v>
      </c>
      <c r="AW5" s="71" t="s">
        <v>345</v>
      </c>
      <c r="AX5" s="1" t="s">
        <v>345</v>
      </c>
      <c r="AY5" s="1" t="s">
        <v>534</v>
      </c>
      <c r="AZ5" s="59" t="s">
        <v>55</v>
      </c>
      <c r="BA5" s="256" t="s">
        <v>324</v>
      </c>
      <c r="BB5" s="256" t="s">
        <v>391</v>
      </c>
      <c r="BC5" s="256" t="s">
        <v>390</v>
      </c>
      <c r="BO5" s="38"/>
    </row>
    <row r="6" spans="1:67" ht="66">
      <c r="A6" s="278">
        <v>4</v>
      </c>
      <c r="B6" s="244">
        <v>1</v>
      </c>
      <c r="C6" s="63" t="s">
        <v>326</v>
      </c>
      <c r="D6" s="64" t="s">
        <v>332</v>
      </c>
      <c r="E6" s="4" t="s">
        <v>333</v>
      </c>
      <c r="F6" s="4" t="s">
        <v>335</v>
      </c>
      <c r="G6" s="4" t="s">
        <v>389</v>
      </c>
      <c r="H6" s="4" t="s">
        <v>340</v>
      </c>
      <c r="I6" s="244" t="s">
        <v>59</v>
      </c>
      <c r="J6" s="244">
        <v>2</v>
      </c>
      <c r="K6" s="65" t="s">
        <v>327</v>
      </c>
      <c r="L6" s="66">
        <v>41348</v>
      </c>
      <c r="M6" s="66">
        <v>41362</v>
      </c>
      <c r="N6" s="224" t="s">
        <v>342</v>
      </c>
      <c r="O6" s="225">
        <v>41360</v>
      </c>
      <c r="P6" s="46" t="s">
        <v>348</v>
      </c>
      <c r="Q6" s="67" t="s">
        <v>346</v>
      </c>
      <c r="R6" s="221">
        <v>41366</v>
      </c>
      <c r="S6" s="48" t="s">
        <v>347</v>
      </c>
      <c r="T6" s="224" t="s">
        <v>344</v>
      </c>
      <c r="U6" s="225">
        <v>41369</v>
      </c>
      <c r="V6" s="226" t="s">
        <v>343</v>
      </c>
      <c r="W6" s="243" t="s">
        <v>415</v>
      </c>
      <c r="X6" s="68">
        <v>41396</v>
      </c>
      <c r="Y6" s="48" t="s">
        <v>416</v>
      </c>
      <c r="Z6" s="4" t="s">
        <v>443</v>
      </c>
      <c r="AA6" s="46">
        <v>41400</v>
      </c>
      <c r="AB6" s="46"/>
      <c r="AC6" s="67"/>
      <c r="AD6" s="68"/>
      <c r="AE6" s="48"/>
      <c r="AF6" s="4"/>
      <c r="AG6" s="46"/>
      <c r="AH6" s="46"/>
      <c r="AI6" s="67"/>
      <c r="AJ6" s="68"/>
      <c r="AK6" s="48"/>
      <c r="AL6" s="4"/>
      <c r="AM6" s="46"/>
      <c r="AN6" s="46"/>
      <c r="AO6" s="67"/>
      <c r="AP6" s="68"/>
      <c r="AQ6" s="48"/>
      <c r="AR6" s="4"/>
      <c r="AS6" s="46"/>
      <c r="AT6" s="46"/>
      <c r="AU6" s="70" t="s">
        <v>444</v>
      </c>
      <c r="AV6" s="71">
        <v>41400</v>
      </c>
      <c r="AW6" s="71" t="s">
        <v>59</v>
      </c>
      <c r="AX6" s="1" t="s">
        <v>59</v>
      </c>
      <c r="AY6" s="1"/>
      <c r="AZ6" s="59" t="s">
        <v>303</v>
      </c>
      <c r="BA6" s="256" t="s">
        <v>351</v>
      </c>
      <c r="BB6" s="256" t="s">
        <v>349</v>
      </c>
      <c r="BC6" s="256" t="s">
        <v>350</v>
      </c>
      <c r="BO6" s="38"/>
    </row>
    <row r="7" spans="1:67" ht="91.8">
      <c r="A7" s="278"/>
      <c r="B7" s="244">
        <v>2</v>
      </c>
      <c r="C7" s="63" t="s">
        <v>328</v>
      </c>
      <c r="D7" s="64" t="s">
        <v>332</v>
      </c>
      <c r="E7" s="4" t="s">
        <v>334</v>
      </c>
      <c r="F7" s="4" t="s">
        <v>336</v>
      </c>
      <c r="G7" s="4" t="s">
        <v>337</v>
      </c>
      <c r="H7" s="4" t="s">
        <v>340</v>
      </c>
      <c r="I7" s="244" t="s">
        <v>59</v>
      </c>
      <c r="J7" s="244">
        <v>3</v>
      </c>
      <c r="K7" s="65" t="s">
        <v>327</v>
      </c>
      <c r="L7" s="66">
        <v>41348</v>
      </c>
      <c r="M7" s="66">
        <f>L7+3*365/12</f>
        <v>41439.25</v>
      </c>
      <c r="N7" s="4" t="s">
        <v>358</v>
      </c>
      <c r="O7" s="46">
        <v>41376</v>
      </c>
      <c r="P7" s="46" t="s">
        <v>51</v>
      </c>
      <c r="Q7" s="67"/>
      <c r="R7" s="221"/>
      <c r="S7" s="48"/>
      <c r="T7" s="69"/>
      <c r="U7" s="47"/>
      <c r="V7" s="46"/>
      <c r="W7" s="67"/>
      <c r="X7" s="68"/>
      <c r="Y7" s="48"/>
      <c r="Z7" s="4"/>
      <c r="AA7" s="46"/>
      <c r="AB7" s="46"/>
      <c r="AC7" s="67"/>
      <c r="AD7" s="68"/>
      <c r="AE7" s="48"/>
      <c r="AF7" s="4"/>
      <c r="AG7" s="46"/>
      <c r="AH7" s="46"/>
      <c r="AI7" s="67"/>
      <c r="AJ7" s="68"/>
      <c r="AK7" s="48"/>
      <c r="AL7" s="4"/>
      <c r="AM7" s="46"/>
      <c r="AN7" s="46"/>
      <c r="AO7" s="67"/>
      <c r="AP7" s="68"/>
      <c r="AQ7" s="48"/>
      <c r="AR7" s="4"/>
      <c r="AS7" s="46"/>
      <c r="AT7" s="46"/>
      <c r="AU7" s="242" t="s">
        <v>414</v>
      </c>
      <c r="AV7" s="71">
        <v>41381</v>
      </c>
      <c r="AW7" s="71">
        <v>41379</v>
      </c>
      <c r="AX7" s="1" t="s">
        <v>407</v>
      </c>
      <c r="AY7" s="1" t="s">
        <v>409</v>
      </c>
      <c r="AZ7" s="59" t="s">
        <v>303</v>
      </c>
      <c r="BA7" s="256" t="s">
        <v>394</v>
      </c>
      <c r="BB7" s="256" t="s">
        <v>392</v>
      </c>
      <c r="BC7" s="256" t="s">
        <v>393</v>
      </c>
      <c r="BO7" s="38"/>
    </row>
    <row r="8" spans="1:67" ht="71.400000000000006">
      <c r="A8" s="278"/>
      <c r="B8" s="244">
        <v>3</v>
      </c>
      <c r="C8" s="63" t="s">
        <v>329</v>
      </c>
      <c r="D8" s="64" t="s">
        <v>332</v>
      </c>
      <c r="E8" s="4" t="s">
        <v>334</v>
      </c>
      <c r="F8" s="4" t="s">
        <v>336</v>
      </c>
      <c r="G8" s="4" t="s">
        <v>338</v>
      </c>
      <c r="H8" s="4" t="s">
        <v>340</v>
      </c>
      <c r="I8" s="244" t="s">
        <v>59</v>
      </c>
      <c r="J8" s="244">
        <v>3</v>
      </c>
      <c r="K8" s="65" t="s">
        <v>327</v>
      </c>
      <c r="L8" s="66">
        <v>41348</v>
      </c>
      <c r="M8" s="66">
        <f t="shared" ref="M8:M10" si="0">L8+3*365/12</f>
        <v>41439.25</v>
      </c>
      <c r="N8" s="4" t="s">
        <v>358</v>
      </c>
      <c r="O8" s="46">
        <v>41376</v>
      </c>
      <c r="P8" s="46" t="s">
        <v>51</v>
      </c>
      <c r="Q8" s="67"/>
      <c r="R8" s="221"/>
      <c r="S8" s="48"/>
      <c r="T8" s="69"/>
      <c r="U8" s="47"/>
      <c r="V8" s="46"/>
      <c r="W8" s="67"/>
      <c r="X8" s="68"/>
      <c r="Y8" s="48"/>
      <c r="Z8" s="4"/>
      <c r="AA8" s="46"/>
      <c r="AB8" s="46"/>
      <c r="AC8" s="67"/>
      <c r="AD8" s="68"/>
      <c r="AE8" s="48"/>
      <c r="AF8" s="4"/>
      <c r="AG8" s="46"/>
      <c r="AH8" s="46"/>
      <c r="AI8" s="67"/>
      <c r="AJ8" s="68"/>
      <c r="AK8" s="48"/>
      <c r="AL8" s="4"/>
      <c r="AM8" s="46"/>
      <c r="AN8" s="46"/>
      <c r="AO8" s="67"/>
      <c r="AP8" s="68"/>
      <c r="AQ8" s="48"/>
      <c r="AR8" s="4"/>
      <c r="AS8" s="46"/>
      <c r="AT8" s="46"/>
      <c r="AU8" s="70"/>
      <c r="AV8" s="71">
        <v>41348</v>
      </c>
      <c r="AW8" s="71">
        <v>41379</v>
      </c>
      <c r="AX8" s="1" t="s">
        <v>407</v>
      </c>
      <c r="AY8" s="1" t="s">
        <v>409</v>
      </c>
      <c r="AZ8" s="59" t="s">
        <v>303</v>
      </c>
      <c r="BA8" s="256" t="s">
        <v>397</v>
      </c>
      <c r="BB8" s="256" t="s">
        <v>395</v>
      </c>
      <c r="BC8" s="256" t="s">
        <v>396</v>
      </c>
      <c r="BO8" s="38"/>
    </row>
    <row r="9" spans="1:67" ht="51">
      <c r="A9" s="278"/>
      <c r="B9" s="244">
        <v>4</v>
      </c>
      <c r="C9" s="63" t="s">
        <v>330</v>
      </c>
      <c r="D9" s="64" t="s">
        <v>332</v>
      </c>
      <c r="E9" s="4" t="s">
        <v>334</v>
      </c>
      <c r="F9" s="4" t="s">
        <v>336</v>
      </c>
      <c r="G9" s="4" t="s">
        <v>339</v>
      </c>
      <c r="H9" s="4" t="s">
        <v>340</v>
      </c>
      <c r="I9" s="244" t="s">
        <v>59</v>
      </c>
      <c r="J9" s="244">
        <v>3</v>
      </c>
      <c r="K9" s="65" t="s">
        <v>327</v>
      </c>
      <c r="L9" s="66">
        <v>41348</v>
      </c>
      <c r="M9" s="66">
        <f t="shared" si="0"/>
        <v>41439.25</v>
      </c>
      <c r="N9" s="4" t="s">
        <v>358</v>
      </c>
      <c r="O9" s="46">
        <v>41376</v>
      </c>
      <c r="P9" s="46" t="s">
        <v>51</v>
      </c>
      <c r="Q9" s="67"/>
      <c r="R9" s="221"/>
      <c r="S9" s="48"/>
      <c r="T9" s="69"/>
      <c r="U9" s="47"/>
      <c r="V9" s="46"/>
      <c r="W9" s="67"/>
      <c r="X9" s="68"/>
      <c r="Y9" s="48"/>
      <c r="Z9" s="4"/>
      <c r="AA9" s="46"/>
      <c r="AB9" s="46"/>
      <c r="AC9" s="67"/>
      <c r="AD9" s="68"/>
      <c r="AE9" s="48"/>
      <c r="AF9" s="4"/>
      <c r="AG9" s="46"/>
      <c r="AH9" s="46"/>
      <c r="AI9" s="67"/>
      <c r="AJ9" s="68"/>
      <c r="AK9" s="48"/>
      <c r="AL9" s="4"/>
      <c r="AM9" s="46"/>
      <c r="AN9" s="46"/>
      <c r="AO9" s="67"/>
      <c r="AP9" s="68"/>
      <c r="AQ9" s="48"/>
      <c r="AR9" s="4"/>
      <c r="AS9" s="46"/>
      <c r="AT9" s="46"/>
      <c r="AU9" s="70"/>
      <c r="AV9" s="71">
        <v>41348</v>
      </c>
      <c r="AW9" s="71">
        <v>41379</v>
      </c>
      <c r="AX9" s="1" t="s">
        <v>407</v>
      </c>
      <c r="AY9" s="1" t="s">
        <v>409</v>
      </c>
      <c r="AZ9" s="59" t="s">
        <v>303</v>
      </c>
      <c r="BA9" s="256" t="s">
        <v>400</v>
      </c>
      <c r="BB9" s="256" t="s">
        <v>398</v>
      </c>
      <c r="BC9" s="256" t="s">
        <v>399</v>
      </c>
      <c r="BO9" s="38"/>
    </row>
    <row r="10" spans="1:67" ht="40.799999999999997">
      <c r="A10" s="278"/>
      <c r="B10" s="244">
        <v>5</v>
      </c>
      <c r="C10" s="63" t="s">
        <v>331</v>
      </c>
      <c r="D10" s="64" t="s">
        <v>332</v>
      </c>
      <c r="E10" s="4" t="s">
        <v>334</v>
      </c>
      <c r="F10" s="4" t="s">
        <v>336</v>
      </c>
      <c r="G10" s="4" t="s">
        <v>339</v>
      </c>
      <c r="H10" s="4" t="s">
        <v>340</v>
      </c>
      <c r="I10" s="244" t="s">
        <v>59</v>
      </c>
      <c r="J10" s="244">
        <v>3</v>
      </c>
      <c r="K10" s="65" t="s">
        <v>327</v>
      </c>
      <c r="L10" s="66">
        <v>41348</v>
      </c>
      <c r="M10" s="66">
        <f t="shared" si="0"/>
        <v>41439.25</v>
      </c>
      <c r="N10" s="4" t="s">
        <v>358</v>
      </c>
      <c r="O10" s="46">
        <v>41376</v>
      </c>
      <c r="P10" s="46" t="s">
        <v>51</v>
      </c>
      <c r="Q10" s="67"/>
      <c r="R10" s="221"/>
      <c r="S10" s="48"/>
      <c r="T10" s="69"/>
      <c r="U10" s="47"/>
      <c r="V10" s="46"/>
      <c r="W10" s="67"/>
      <c r="X10" s="68"/>
      <c r="Y10" s="48"/>
      <c r="Z10" s="4"/>
      <c r="AA10" s="46"/>
      <c r="AB10" s="46"/>
      <c r="AC10" s="67"/>
      <c r="AD10" s="68"/>
      <c r="AE10" s="48"/>
      <c r="AF10" s="4"/>
      <c r="AG10" s="46"/>
      <c r="AH10" s="46"/>
      <c r="AI10" s="67"/>
      <c r="AJ10" s="68"/>
      <c r="AK10" s="48"/>
      <c r="AL10" s="4"/>
      <c r="AM10" s="46"/>
      <c r="AN10" s="46"/>
      <c r="AO10" s="67"/>
      <c r="AP10" s="68"/>
      <c r="AQ10" s="48"/>
      <c r="AR10" s="4"/>
      <c r="AS10" s="46"/>
      <c r="AT10" s="46"/>
      <c r="AU10" s="70"/>
      <c r="AV10" s="71">
        <v>41348</v>
      </c>
      <c r="AW10" s="71">
        <v>41379</v>
      </c>
      <c r="AX10" s="1" t="s">
        <v>407</v>
      </c>
      <c r="AY10" s="1" t="s">
        <v>409</v>
      </c>
      <c r="AZ10" s="59" t="s">
        <v>303</v>
      </c>
      <c r="BA10" s="256" t="s">
        <v>401</v>
      </c>
      <c r="BB10" s="256" t="s">
        <v>402</v>
      </c>
      <c r="BC10" s="256" t="s">
        <v>403</v>
      </c>
      <c r="BO10" s="38"/>
    </row>
    <row r="11" spans="1:67" ht="41.4">
      <c r="A11" s="278">
        <v>5</v>
      </c>
      <c r="B11" s="244">
        <v>1</v>
      </c>
      <c r="C11" s="63" t="s">
        <v>354</v>
      </c>
      <c r="D11" s="257" t="s">
        <v>355</v>
      </c>
      <c r="E11" s="4" t="s">
        <v>25</v>
      </c>
      <c r="F11" s="4" t="s">
        <v>357</v>
      </c>
      <c r="G11" s="4" t="s">
        <v>308</v>
      </c>
      <c r="H11" s="4" t="s">
        <v>340</v>
      </c>
      <c r="I11" s="244" t="s">
        <v>59</v>
      </c>
      <c r="J11" s="244">
        <v>2</v>
      </c>
      <c r="K11" s="65" t="s">
        <v>411</v>
      </c>
      <c r="L11" s="66">
        <v>41358</v>
      </c>
      <c r="M11" s="66">
        <v>41373</v>
      </c>
      <c r="N11" s="4" t="s">
        <v>410</v>
      </c>
      <c r="O11" s="46">
        <v>41376</v>
      </c>
      <c r="P11" s="46" t="s">
        <v>77</v>
      </c>
      <c r="Q11" s="67" t="s">
        <v>412</v>
      </c>
      <c r="R11" s="221">
        <v>41387</v>
      </c>
      <c r="S11" s="48" t="s">
        <v>413</v>
      </c>
      <c r="T11" s="69" t="s">
        <v>445</v>
      </c>
      <c r="U11" s="47">
        <v>41421</v>
      </c>
      <c r="V11" s="46" t="s">
        <v>446</v>
      </c>
      <c r="W11" s="67" t="s">
        <v>412</v>
      </c>
      <c r="X11" s="221">
        <v>41421</v>
      </c>
      <c r="Y11" s="48" t="s">
        <v>450</v>
      </c>
      <c r="Z11" s="69" t="s">
        <v>449</v>
      </c>
      <c r="AA11" s="47">
        <v>41421</v>
      </c>
      <c r="AB11" s="226" t="s">
        <v>450</v>
      </c>
      <c r="AC11" s="67"/>
      <c r="AD11" s="68"/>
      <c r="AE11" s="48"/>
      <c r="AF11" s="4"/>
      <c r="AG11" s="46"/>
      <c r="AH11" s="46"/>
      <c r="AI11" s="67"/>
      <c r="AJ11" s="68"/>
      <c r="AK11" s="48"/>
      <c r="AL11" s="4"/>
      <c r="AM11" s="46"/>
      <c r="AN11" s="46"/>
      <c r="AO11" s="67"/>
      <c r="AP11" s="68"/>
      <c r="AQ11" s="48"/>
      <c r="AR11" s="4"/>
      <c r="AS11" s="46"/>
      <c r="AT11" s="46"/>
      <c r="AU11" s="56" t="s">
        <v>447</v>
      </c>
      <c r="AV11" s="71">
        <v>41421</v>
      </c>
      <c r="AW11" s="71">
        <v>41487</v>
      </c>
      <c r="AX11" s="1">
        <f ca="1">AW11-TODAY()</f>
        <v>-95</v>
      </c>
      <c r="AY11" s="1" t="s">
        <v>448</v>
      </c>
      <c r="AZ11" s="59" t="s">
        <v>10</v>
      </c>
      <c r="BA11" s="256"/>
      <c r="BB11" s="256"/>
      <c r="BC11" s="256"/>
      <c r="BO11" s="38"/>
    </row>
    <row r="12" spans="1:67" ht="41.4">
      <c r="A12" s="278"/>
      <c r="B12" s="244">
        <v>2</v>
      </c>
      <c r="C12" s="63" t="s">
        <v>356</v>
      </c>
      <c r="D12" s="257" t="s">
        <v>355</v>
      </c>
      <c r="E12" s="4" t="s">
        <v>25</v>
      </c>
      <c r="F12" s="4" t="s">
        <v>357</v>
      </c>
      <c r="G12" s="4" t="s">
        <v>308</v>
      </c>
      <c r="H12" s="4" t="s">
        <v>340</v>
      </c>
      <c r="I12" s="244" t="s">
        <v>59</v>
      </c>
      <c r="J12" s="244">
        <v>2</v>
      </c>
      <c r="K12" s="65" t="s">
        <v>411</v>
      </c>
      <c r="L12" s="66">
        <v>41358</v>
      </c>
      <c r="M12" s="66">
        <v>41373</v>
      </c>
      <c r="N12" s="4" t="s">
        <v>410</v>
      </c>
      <c r="O12" s="46">
        <v>41376</v>
      </c>
      <c r="P12" s="46" t="s">
        <v>77</v>
      </c>
      <c r="Q12" s="67" t="s">
        <v>412</v>
      </c>
      <c r="R12" s="221">
        <v>41387</v>
      </c>
      <c r="S12" s="48" t="s">
        <v>413</v>
      </c>
      <c r="T12" s="69" t="s">
        <v>445</v>
      </c>
      <c r="U12" s="47">
        <v>41421</v>
      </c>
      <c r="V12" s="46" t="s">
        <v>446</v>
      </c>
      <c r="W12" s="67" t="s">
        <v>412</v>
      </c>
      <c r="X12" s="221">
        <v>41421</v>
      </c>
      <c r="Y12" s="48" t="s">
        <v>450</v>
      </c>
      <c r="Z12" s="69" t="s">
        <v>449</v>
      </c>
      <c r="AA12" s="47">
        <v>41421</v>
      </c>
      <c r="AB12" s="226" t="s">
        <v>450</v>
      </c>
      <c r="AC12" s="67"/>
      <c r="AD12" s="68"/>
      <c r="AE12" s="48"/>
      <c r="AF12" s="4"/>
      <c r="AG12" s="46"/>
      <c r="AH12" s="46"/>
      <c r="AI12" s="67"/>
      <c r="AJ12" s="68"/>
      <c r="AK12" s="48"/>
      <c r="AL12" s="4"/>
      <c r="AM12" s="46"/>
      <c r="AN12" s="46"/>
      <c r="AO12" s="67"/>
      <c r="AP12" s="68"/>
      <c r="AQ12" s="48"/>
      <c r="AR12" s="4"/>
      <c r="AS12" s="46"/>
      <c r="AT12" s="46"/>
      <c r="AU12" s="56" t="s">
        <v>447</v>
      </c>
      <c r="AV12" s="71">
        <v>41421</v>
      </c>
      <c r="AW12" s="71">
        <v>41487</v>
      </c>
      <c r="AX12" s="1">
        <f ca="1">AW12-TODAY()</f>
        <v>-95</v>
      </c>
      <c r="AY12" s="1" t="s">
        <v>448</v>
      </c>
      <c r="AZ12" s="59" t="s">
        <v>10</v>
      </c>
      <c r="BA12" s="256"/>
      <c r="BB12" s="256"/>
      <c r="BC12" s="256"/>
      <c r="BO12" s="38"/>
    </row>
    <row r="13" spans="1:67" ht="69.75" customHeight="1">
      <c r="A13" s="278">
        <v>6</v>
      </c>
      <c r="B13" s="244">
        <v>1</v>
      </c>
      <c r="C13" s="63" t="s">
        <v>417</v>
      </c>
      <c r="D13" s="64" t="s">
        <v>420</v>
      </c>
      <c r="E13" s="4" t="s">
        <v>421</v>
      </c>
      <c r="F13" s="4" t="s">
        <v>357</v>
      </c>
      <c r="G13" s="4" t="s">
        <v>422</v>
      </c>
      <c r="H13" s="4" t="s">
        <v>425</v>
      </c>
      <c r="I13" s="244" t="s">
        <v>59</v>
      </c>
      <c r="J13" s="244">
        <v>2</v>
      </c>
      <c r="K13" s="65" t="s">
        <v>433</v>
      </c>
      <c r="L13" s="66">
        <v>41396</v>
      </c>
      <c r="M13" s="66">
        <v>41410</v>
      </c>
      <c r="N13" s="224" t="s">
        <v>432</v>
      </c>
      <c r="O13" s="258">
        <v>41410</v>
      </c>
      <c r="P13" s="46" t="s">
        <v>77</v>
      </c>
      <c r="Q13" s="67" t="s">
        <v>437</v>
      </c>
      <c r="R13" s="221">
        <v>41418</v>
      </c>
      <c r="S13" s="48" t="s">
        <v>442</v>
      </c>
      <c r="T13" s="69" t="s">
        <v>472</v>
      </c>
      <c r="U13" s="47">
        <v>41440</v>
      </c>
      <c r="V13" s="46" t="s">
        <v>476</v>
      </c>
      <c r="W13" s="67" t="s">
        <v>475</v>
      </c>
      <c r="X13" s="68">
        <v>41442</v>
      </c>
      <c r="Y13" s="48" t="s">
        <v>477</v>
      </c>
      <c r="Z13" s="4" t="s">
        <v>529</v>
      </c>
      <c r="AA13" s="46">
        <v>41456</v>
      </c>
      <c r="AB13" s="46" t="s">
        <v>530</v>
      </c>
      <c r="AC13" s="67"/>
      <c r="AD13" s="68"/>
      <c r="AE13" s="48"/>
      <c r="AF13" s="4"/>
      <c r="AG13" s="46"/>
      <c r="AH13" s="46"/>
      <c r="AI13" s="67"/>
      <c r="AJ13" s="68"/>
      <c r="AK13" s="48"/>
      <c r="AL13" s="4"/>
      <c r="AM13" s="46"/>
      <c r="AN13" s="46"/>
      <c r="AO13" s="67"/>
      <c r="AP13" s="68"/>
      <c r="AQ13" s="48"/>
      <c r="AR13" s="4"/>
      <c r="AS13" s="46"/>
      <c r="AT13" s="46"/>
      <c r="AU13" s="70" t="s">
        <v>531</v>
      </c>
      <c r="AV13" s="71">
        <v>41456</v>
      </c>
      <c r="AW13" s="71" t="s">
        <v>474</v>
      </c>
      <c r="AX13" s="1" t="s">
        <v>474</v>
      </c>
      <c r="AY13" s="1" t="s">
        <v>440</v>
      </c>
      <c r="AZ13" s="59" t="s">
        <v>532</v>
      </c>
      <c r="BA13" s="256" t="s">
        <v>465</v>
      </c>
      <c r="BB13" s="256" t="s">
        <v>426</v>
      </c>
      <c r="BC13" s="256" t="s">
        <v>427</v>
      </c>
      <c r="BO13" s="38"/>
    </row>
    <row r="14" spans="1:67" ht="63.6" customHeight="1">
      <c r="A14" s="278"/>
      <c r="B14" s="244">
        <v>2</v>
      </c>
      <c r="C14" s="63" t="s">
        <v>418</v>
      </c>
      <c r="D14" s="64" t="s">
        <v>420</v>
      </c>
      <c r="E14" s="4" t="s">
        <v>421</v>
      </c>
      <c r="F14" s="4" t="s">
        <v>357</v>
      </c>
      <c r="G14" s="4" t="s">
        <v>423</v>
      </c>
      <c r="H14" s="4" t="s">
        <v>425</v>
      </c>
      <c r="I14" s="244" t="s">
        <v>59</v>
      </c>
      <c r="J14" s="244">
        <v>2</v>
      </c>
      <c r="K14" s="65" t="s">
        <v>433</v>
      </c>
      <c r="L14" s="66">
        <v>41396</v>
      </c>
      <c r="M14" s="66">
        <v>41410</v>
      </c>
      <c r="N14" s="224" t="s">
        <v>432</v>
      </c>
      <c r="O14" s="258">
        <v>41410</v>
      </c>
      <c r="P14" s="46" t="s">
        <v>77</v>
      </c>
      <c r="Q14" s="67" t="s">
        <v>437</v>
      </c>
      <c r="R14" s="221">
        <v>41418</v>
      </c>
      <c r="S14" s="48" t="s">
        <v>442</v>
      </c>
      <c r="T14" s="69" t="s">
        <v>472</v>
      </c>
      <c r="U14" s="47">
        <v>41440</v>
      </c>
      <c r="V14" s="46" t="s">
        <v>473</v>
      </c>
      <c r="W14" s="67" t="s">
        <v>475</v>
      </c>
      <c r="X14" s="68">
        <v>41442</v>
      </c>
      <c r="Y14" s="48" t="s">
        <v>477</v>
      </c>
      <c r="Z14" s="4" t="s">
        <v>529</v>
      </c>
      <c r="AA14" s="46">
        <v>41456</v>
      </c>
      <c r="AB14" s="46" t="s">
        <v>530</v>
      </c>
      <c r="AC14" s="67"/>
      <c r="AD14" s="68"/>
      <c r="AE14" s="48"/>
      <c r="AF14" s="4"/>
      <c r="AG14" s="46"/>
      <c r="AH14" s="46"/>
      <c r="AI14" s="67"/>
      <c r="AJ14" s="68"/>
      <c r="AK14" s="48"/>
      <c r="AL14" s="4"/>
      <c r="AM14" s="46"/>
      <c r="AN14" s="46"/>
      <c r="AO14" s="67"/>
      <c r="AP14" s="68"/>
      <c r="AQ14" s="48"/>
      <c r="AR14" s="4"/>
      <c r="AS14" s="46"/>
      <c r="AT14" s="46"/>
      <c r="AU14" s="70" t="s">
        <v>531</v>
      </c>
      <c r="AV14" s="71">
        <v>41456</v>
      </c>
      <c r="AW14" s="71" t="s">
        <v>474</v>
      </c>
      <c r="AX14" s="1" t="s">
        <v>474</v>
      </c>
      <c r="AY14" s="1" t="s">
        <v>440</v>
      </c>
      <c r="AZ14" s="59" t="s">
        <v>532</v>
      </c>
      <c r="BA14" s="256" t="s">
        <v>466</v>
      </c>
      <c r="BB14" s="256" t="s">
        <v>428</v>
      </c>
      <c r="BC14" s="256" t="s">
        <v>429</v>
      </c>
      <c r="BO14" s="38"/>
    </row>
    <row r="15" spans="1:67" ht="186" customHeight="1">
      <c r="A15" s="278"/>
      <c r="B15" s="244">
        <v>3</v>
      </c>
      <c r="C15" s="63" t="s">
        <v>419</v>
      </c>
      <c r="D15" s="64" t="s">
        <v>420</v>
      </c>
      <c r="E15" s="4" t="s">
        <v>316</v>
      </c>
      <c r="F15" s="4" t="s">
        <v>357</v>
      </c>
      <c r="G15" s="4" t="s">
        <v>424</v>
      </c>
      <c r="H15" s="4" t="s">
        <v>340</v>
      </c>
      <c r="I15" s="244" t="s">
        <v>59</v>
      </c>
      <c r="J15" s="244">
        <v>2</v>
      </c>
      <c r="K15" s="65" t="s">
        <v>433</v>
      </c>
      <c r="L15" s="66">
        <v>41396</v>
      </c>
      <c r="M15" s="66">
        <v>41410</v>
      </c>
      <c r="N15" s="224" t="s">
        <v>432</v>
      </c>
      <c r="O15" s="258">
        <v>41410</v>
      </c>
      <c r="P15" s="46" t="s">
        <v>77</v>
      </c>
      <c r="Q15" s="67" t="s">
        <v>437</v>
      </c>
      <c r="R15" s="221">
        <v>41418</v>
      </c>
      <c r="S15" s="48" t="s">
        <v>438</v>
      </c>
      <c r="T15" s="69"/>
      <c r="U15" s="47"/>
      <c r="V15" s="46"/>
      <c r="W15" s="67"/>
      <c r="X15" s="68"/>
      <c r="Y15" s="48"/>
      <c r="Z15" s="4"/>
      <c r="AA15" s="46"/>
      <c r="AB15" s="46"/>
      <c r="AC15" s="67"/>
      <c r="AD15" s="68"/>
      <c r="AE15" s="48"/>
      <c r="AF15" s="4"/>
      <c r="AG15" s="46"/>
      <c r="AH15" s="46"/>
      <c r="AI15" s="67"/>
      <c r="AJ15" s="68"/>
      <c r="AK15" s="48"/>
      <c r="AL15" s="4"/>
      <c r="AM15" s="46"/>
      <c r="AN15" s="46"/>
      <c r="AO15" s="67"/>
      <c r="AP15" s="68"/>
      <c r="AQ15" s="48"/>
      <c r="AR15" s="4"/>
      <c r="AS15" s="46"/>
      <c r="AT15" s="46"/>
      <c r="AU15" s="70" t="s">
        <v>439</v>
      </c>
      <c r="AV15" s="71">
        <v>41418</v>
      </c>
      <c r="AW15" s="71" t="s">
        <v>434</v>
      </c>
      <c r="AX15" s="1" t="s">
        <v>434</v>
      </c>
      <c r="AY15" s="1" t="s">
        <v>440</v>
      </c>
      <c r="AZ15" s="59" t="s">
        <v>441</v>
      </c>
      <c r="BA15" s="256" t="s">
        <v>467</v>
      </c>
      <c r="BB15" s="256" t="s">
        <v>431</v>
      </c>
      <c r="BC15" s="256" t="s">
        <v>430</v>
      </c>
      <c r="BO15" s="38"/>
    </row>
    <row r="16" spans="1:67" ht="61.2">
      <c r="A16" s="259">
        <v>7</v>
      </c>
      <c r="B16" s="259">
        <v>1</v>
      </c>
      <c r="C16" s="63" t="s">
        <v>451</v>
      </c>
      <c r="D16" s="64" t="s">
        <v>452</v>
      </c>
      <c r="E16" s="4" t="s">
        <v>457</v>
      </c>
      <c r="F16" s="4" t="s">
        <v>453</v>
      </c>
      <c r="G16" s="4" t="s">
        <v>458</v>
      </c>
      <c r="H16" s="4" t="s">
        <v>454</v>
      </c>
      <c r="I16" s="259" t="s">
        <v>455</v>
      </c>
      <c r="J16" s="259">
        <v>2</v>
      </c>
      <c r="K16" s="65" t="s">
        <v>456</v>
      </c>
      <c r="L16" s="66">
        <v>41424</v>
      </c>
      <c r="M16" s="66">
        <v>41439</v>
      </c>
      <c r="N16" s="4" t="s">
        <v>470</v>
      </c>
      <c r="O16" s="46">
        <v>41436</v>
      </c>
      <c r="P16" s="46" t="s">
        <v>471</v>
      </c>
      <c r="Q16" s="67" t="s">
        <v>529</v>
      </c>
      <c r="R16" s="221">
        <v>41456</v>
      </c>
      <c r="S16" s="48" t="s">
        <v>532</v>
      </c>
      <c r="T16" s="69"/>
      <c r="U16" s="47"/>
      <c r="V16" s="46"/>
      <c r="W16" s="67"/>
      <c r="X16" s="68"/>
      <c r="Y16" s="48"/>
      <c r="Z16" s="4"/>
      <c r="AA16" s="46"/>
      <c r="AB16" s="46"/>
      <c r="AC16" s="67"/>
      <c r="AD16" s="68"/>
      <c r="AE16" s="48"/>
      <c r="AF16" s="4"/>
      <c r="AG16" s="46"/>
      <c r="AH16" s="46"/>
      <c r="AI16" s="67"/>
      <c r="AJ16" s="68"/>
      <c r="AK16" s="48"/>
      <c r="AL16" s="4"/>
      <c r="AM16" s="46"/>
      <c r="AN16" s="46"/>
      <c r="AO16" s="67"/>
      <c r="AP16" s="68"/>
      <c r="AQ16" s="48"/>
      <c r="AR16" s="4"/>
      <c r="AS16" s="46"/>
      <c r="AT16" s="46"/>
      <c r="AU16" s="70" t="s">
        <v>531</v>
      </c>
      <c r="AV16" s="71">
        <v>41456</v>
      </c>
      <c r="AW16" s="71" t="s">
        <v>469</v>
      </c>
      <c r="AX16" s="1" t="s">
        <v>469</v>
      </c>
      <c r="AY16" s="1" t="s">
        <v>533</v>
      </c>
      <c r="AZ16" s="59" t="s">
        <v>532</v>
      </c>
      <c r="BA16" s="256" t="s">
        <v>468</v>
      </c>
      <c r="BB16" s="256"/>
      <c r="BC16" s="256"/>
      <c r="BO16" s="38"/>
    </row>
    <row r="17" spans="1:67" ht="130.19999999999999" customHeight="1">
      <c r="A17" s="278">
        <v>8</v>
      </c>
      <c r="B17" s="246">
        <v>1</v>
      </c>
      <c r="C17" s="247" t="s">
        <v>478</v>
      </c>
      <c r="D17" s="64" t="s">
        <v>479</v>
      </c>
      <c r="E17" s="4" t="s">
        <v>480</v>
      </c>
      <c r="F17" s="4" t="s">
        <v>140</v>
      </c>
      <c r="G17" s="4" t="s">
        <v>484</v>
      </c>
      <c r="H17" s="4" t="s">
        <v>487</v>
      </c>
      <c r="I17" s="260" t="s">
        <v>488</v>
      </c>
      <c r="J17" s="246">
        <v>2</v>
      </c>
      <c r="K17" s="65" t="s">
        <v>489</v>
      </c>
      <c r="L17" s="66">
        <v>41442</v>
      </c>
      <c r="M17" s="66">
        <v>41456</v>
      </c>
      <c r="N17" s="7" t="s">
        <v>513</v>
      </c>
      <c r="O17" s="8">
        <v>41456</v>
      </c>
      <c r="P17" s="8" t="s">
        <v>514</v>
      </c>
      <c r="Q17" s="249" t="s">
        <v>536</v>
      </c>
      <c r="R17" s="250">
        <v>41460</v>
      </c>
      <c r="S17" s="251" t="s">
        <v>537</v>
      </c>
      <c r="T17" s="252" t="s">
        <v>539</v>
      </c>
      <c r="U17" s="253">
        <v>41463</v>
      </c>
      <c r="V17" s="8" t="s">
        <v>540</v>
      </c>
      <c r="W17" s="67" t="s">
        <v>609</v>
      </c>
      <c r="X17" s="68">
        <v>41472</v>
      </c>
      <c r="Y17" s="48" t="s">
        <v>610</v>
      </c>
      <c r="Z17" s="4" t="s">
        <v>604</v>
      </c>
      <c r="AA17" s="46">
        <v>41478</v>
      </c>
      <c r="AB17" s="226" t="s">
        <v>605</v>
      </c>
      <c r="AC17" s="249" t="s">
        <v>606</v>
      </c>
      <c r="AD17" s="254">
        <v>41479</v>
      </c>
      <c r="AE17" s="251" t="s">
        <v>605</v>
      </c>
      <c r="AF17" s="7"/>
      <c r="AG17" s="8"/>
      <c r="AH17" s="8"/>
      <c r="AI17" s="249"/>
      <c r="AJ17" s="254"/>
      <c r="AK17" s="251"/>
      <c r="AL17" s="7"/>
      <c r="AM17" s="8"/>
      <c r="AN17" s="8"/>
      <c r="AO17" s="249"/>
      <c r="AP17" s="254"/>
      <c r="AQ17" s="251"/>
      <c r="AR17" s="7"/>
      <c r="AS17" s="8"/>
      <c r="AT17" s="8"/>
      <c r="AU17" s="70" t="s">
        <v>607</v>
      </c>
      <c r="AV17" s="255">
        <v>41479</v>
      </c>
      <c r="AW17" s="255" t="s">
        <v>608</v>
      </c>
      <c r="AX17" s="9" t="s">
        <v>545</v>
      </c>
      <c r="AY17" s="9"/>
      <c r="AZ17" s="59" t="s">
        <v>303</v>
      </c>
      <c r="BA17" s="256" t="s">
        <v>490</v>
      </c>
      <c r="BB17" s="256" t="s">
        <v>554</v>
      </c>
      <c r="BC17" s="256" t="s">
        <v>555</v>
      </c>
      <c r="BO17" s="38"/>
    </row>
    <row r="18" spans="1:67" ht="26.4">
      <c r="A18" s="278"/>
      <c r="B18" s="38">
        <v>2</v>
      </c>
      <c r="C18" s="247" t="s">
        <v>481</v>
      </c>
      <c r="D18" s="64" t="s">
        <v>479</v>
      </c>
      <c r="E18" s="4" t="s">
        <v>480</v>
      </c>
      <c r="F18" s="4" t="s">
        <v>140</v>
      </c>
      <c r="G18" s="248" t="s">
        <v>485</v>
      </c>
      <c r="H18" s="4" t="s">
        <v>487</v>
      </c>
      <c r="I18" s="260" t="s">
        <v>488</v>
      </c>
      <c r="J18" s="38">
        <v>2</v>
      </c>
      <c r="K18" s="65" t="s">
        <v>489</v>
      </c>
      <c r="L18" s="66">
        <v>41442</v>
      </c>
      <c r="M18" s="66">
        <v>41456</v>
      </c>
      <c r="N18" s="7" t="s">
        <v>513</v>
      </c>
      <c r="O18" s="8">
        <v>41456</v>
      </c>
      <c r="P18" s="8" t="s">
        <v>514</v>
      </c>
      <c r="Q18" s="249" t="s">
        <v>536</v>
      </c>
      <c r="R18" s="250">
        <v>41460</v>
      </c>
      <c r="S18" s="251" t="s">
        <v>537</v>
      </c>
      <c r="T18" s="252" t="s">
        <v>539</v>
      </c>
      <c r="U18" s="253">
        <v>41463</v>
      </c>
      <c r="V18" s="8" t="s">
        <v>312</v>
      </c>
      <c r="W18" s="67" t="s">
        <v>609</v>
      </c>
      <c r="X18" s="68">
        <v>41472</v>
      </c>
      <c r="Y18" s="48" t="s">
        <v>611</v>
      </c>
      <c r="Z18" s="4"/>
      <c r="AA18" s="46"/>
      <c r="AB18" s="46"/>
      <c r="AC18" s="67"/>
      <c r="AD18" s="68"/>
      <c r="AE18" s="48"/>
      <c r="AF18" s="4"/>
      <c r="AG18" s="46"/>
      <c r="AH18" s="46"/>
      <c r="AI18" s="67"/>
      <c r="AJ18" s="68"/>
      <c r="AK18" s="48"/>
      <c r="AL18" s="4"/>
      <c r="AM18" s="46"/>
      <c r="AN18" s="46"/>
      <c r="AO18" s="67"/>
      <c r="AP18" s="68"/>
      <c r="AQ18" s="48"/>
      <c r="AR18" s="4"/>
      <c r="AS18" s="46"/>
      <c r="AT18" s="46"/>
      <c r="AU18" s="70" t="s">
        <v>612</v>
      </c>
      <c r="AV18" s="255">
        <v>41472</v>
      </c>
      <c r="AW18" s="255" t="s">
        <v>545</v>
      </c>
      <c r="AX18" s="9" t="s">
        <v>545</v>
      </c>
      <c r="AY18" s="9"/>
      <c r="AZ18" s="59" t="s">
        <v>613</v>
      </c>
      <c r="BA18" s="256" t="s">
        <v>491</v>
      </c>
      <c r="BB18" s="256"/>
      <c r="BC18" s="256"/>
      <c r="BO18" s="38"/>
    </row>
    <row r="19" spans="1:67" ht="116.4" customHeight="1">
      <c r="A19" s="278"/>
      <c r="B19" s="38">
        <v>3</v>
      </c>
      <c r="C19" s="247" t="s">
        <v>482</v>
      </c>
      <c r="D19" s="64" t="s">
        <v>479</v>
      </c>
      <c r="E19" s="81" t="s">
        <v>483</v>
      </c>
      <c r="F19" s="4" t="s">
        <v>140</v>
      </c>
      <c r="G19" s="81" t="s">
        <v>486</v>
      </c>
      <c r="H19" s="4" t="s">
        <v>487</v>
      </c>
      <c r="I19" s="260" t="s">
        <v>488</v>
      </c>
      <c r="J19" s="38">
        <v>2</v>
      </c>
      <c r="K19" s="65" t="s">
        <v>489</v>
      </c>
      <c r="L19" s="66">
        <v>41442</v>
      </c>
      <c r="M19" s="66">
        <v>41456</v>
      </c>
      <c r="N19" s="7" t="s">
        <v>515</v>
      </c>
      <c r="O19" s="8">
        <v>41456</v>
      </c>
      <c r="P19" s="46" t="s">
        <v>516</v>
      </c>
      <c r="Q19" s="249" t="s">
        <v>536</v>
      </c>
      <c r="R19" s="250">
        <v>41460</v>
      </c>
      <c r="S19" s="48" t="s">
        <v>538</v>
      </c>
      <c r="T19" s="252" t="s">
        <v>539</v>
      </c>
      <c r="U19" s="253">
        <v>41463</v>
      </c>
      <c r="V19" s="8" t="s">
        <v>540</v>
      </c>
      <c r="W19" s="67" t="s">
        <v>609</v>
      </c>
      <c r="X19" s="68">
        <v>41472</v>
      </c>
      <c r="Y19" s="48" t="s">
        <v>610</v>
      </c>
      <c r="Z19" s="4" t="s">
        <v>604</v>
      </c>
      <c r="AA19" s="46">
        <v>41477</v>
      </c>
      <c r="AB19" s="226" t="s">
        <v>605</v>
      </c>
      <c r="AC19" s="249" t="s">
        <v>606</v>
      </c>
      <c r="AD19" s="254">
        <v>41479</v>
      </c>
      <c r="AE19" s="251" t="s">
        <v>605</v>
      </c>
      <c r="AF19" s="4"/>
      <c r="AG19" s="46"/>
      <c r="AH19" s="46"/>
      <c r="AI19" s="67"/>
      <c r="AJ19" s="68"/>
      <c r="AK19" s="48"/>
      <c r="AL19" s="4"/>
      <c r="AM19" s="46"/>
      <c r="AN19" s="46"/>
      <c r="AO19" s="67"/>
      <c r="AP19" s="68"/>
      <c r="AQ19" s="48"/>
      <c r="AR19" s="4"/>
      <c r="AS19" s="46"/>
      <c r="AT19" s="46"/>
      <c r="AU19" s="70" t="s">
        <v>607</v>
      </c>
      <c r="AV19" s="255">
        <v>41479</v>
      </c>
      <c r="AW19" s="255" t="s">
        <v>608</v>
      </c>
      <c r="AX19" s="9" t="s">
        <v>59</v>
      </c>
      <c r="AY19" s="9"/>
      <c r="AZ19" s="59" t="s">
        <v>303</v>
      </c>
      <c r="BA19" s="256" t="s">
        <v>535</v>
      </c>
      <c r="BB19" s="256" t="s">
        <v>556</v>
      </c>
      <c r="BC19" s="256" t="s">
        <v>557</v>
      </c>
      <c r="BO19" s="38"/>
    </row>
    <row r="20" spans="1:67" ht="54.6" customHeight="1">
      <c r="A20" s="278">
        <v>9</v>
      </c>
      <c r="B20" s="38">
        <v>1</v>
      </c>
      <c r="C20" s="63" t="s">
        <v>496</v>
      </c>
      <c r="D20" s="64" t="s">
        <v>502</v>
      </c>
      <c r="E20" s="81" t="s">
        <v>512</v>
      </c>
      <c r="F20" s="81" t="s">
        <v>509</v>
      </c>
      <c r="G20" s="4" t="s">
        <v>155</v>
      </c>
      <c r="H20" s="81" t="s">
        <v>511</v>
      </c>
      <c r="I20" s="82" t="s">
        <v>510</v>
      </c>
      <c r="J20" s="38">
        <v>2</v>
      </c>
      <c r="K20" s="65" t="s">
        <v>489</v>
      </c>
      <c r="L20" s="66">
        <v>41452</v>
      </c>
      <c r="M20" s="66">
        <v>41466</v>
      </c>
      <c r="N20" s="4" t="s">
        <v>565</v>
      </c>
      <c r="O20" s="46">
        <v>41466</v>
      </c>
      <c r="P20" s="46" t="s">
        <v>566</v>
      </c>
      <c r="Q20" s="67"/>
      <c r="R20" s="221"/>
      <c r="S20" s="48"/>
      <c r="T20" s="69"/>
      <c r="U20" s="47"/>
      <c r="V20" s="46"/>
      <c r="W20" s="67"/>
      <c r="X20" s="68"/>
      <c r="Y20" s="48"/>
      <c r="Z20" s="4"/>
      <c r="AA20" s="46"/>
      <c r="AB20" s="46"/>
      <c r="AC20" s="67"/>
      <c r="AD20" s="68"/>
      <c r="AE20" s="48"/>
      <c r="AF20" s="4"/>
      <c r="AG20" s="46"/>
      <c r="AH20" s="46"/>
      <c r="AI20" s="67"/>
      <c r="AJ20" s="68"/>
      <c r="AK20" s="48"/>
      <c r="AL20" s="4"/>
      <c r="AM20" s="46"/>
      <c r="AN20" s="46"/>
      <c r="AO20" s="67"/>
      <c r="AP20" s="68"/>
      <c r="AQ20" s="48"/>
      <c r="AR20" s="4"/>
      <c r="AS20" s="46"/>
      <c r="AT20" s="46"/>
      <c r="AU20" s="70" t="s">
        <v>567</v>
      </c>
      <c r="AV20" s="71">
        <v>41466</v>
      </c>
      <c r="AW20" s="71" t="s">
        <v>568</v>
      </c>
      <c r="AX20" s="9" t="s">
        <v>568</v>
      </c>
      <c r="AY20" s="1"/>
      <c r="AZ20" s="59" t="s">
        <v>508</v>
      </c>
      <c r="BA20" s="256" t="s">
        <v>517</v>
      </c>
      <c r="BB20" s="256" t="s">
        <v>592</v>
      </c>
      <c r="BC20" s="256" t="s">
        <v>593</v>
      </c>
      <c r="BO20" s="38"/>
    </row>
    <row r="21" spans="1:67" ht="70.2" customHeight="1">
      <c r="A21" s="278"/>
      <c r="B21" s="38">
        <v>2</v>
      </c>
      <c r="C21" s="63" t="s">
        <v>497</v>
      </c>
      <c r="D21" s="64" t="s">
        <v>503</v>
      </c>
      <c r="E21" s="81" t="s">
        <v>512</v>
      </c>
      <c r="F21" s="81" t="s">
        <v>509</v>
      </c>
      <c r="G21" s="4" t="s">
        <v>155</v>
      </c>
      <c r="H21" s="81" t="s">
        <v>511</v>
      </c>
      <c r="I21" s="82" t="s">
        <v>510</v>
      </c>
      <c r="J21" s="38">
        <v>2</v>
      </c>
      <c r="K21" s="65" t="s">
        <v>489</v>
      </c>
      <c r="L21" s="66">
        <v>41452</v>
      </c>
      <c r="M21" s="66">
        <v>41466</v>
      </c>
      <c r="N21" s="4" t="s">
        <v>565</v>
      </c>
      <c r="O21" s="46">
        <v>41466</v>
      </c>
      <c r="P21" s="46" t="s">
        <v>566</v>
      </c>
      <c r="Q21" s="67"/>
      <c r="R21" s="221"/>
      <c r="S21" s="48"/>
      <c r="T21" s="69"/>
      <c r="U21" s="47"/>
      <c r="V21" s="46"/>
      <c r="W21" s="67"/>
      <c r="X21" s="68"/>
      <c r="Y21" s="48"/>
      <c r="Z21" s="4"/>
      <c r="AA21" s="46"/>
      <c r="AB21" s="46"/>
      <c r="AC21" s="67"/>
      <c r="AD21" s="68"/>
      <c r="AE21" s="48"/>
      <c r="AF21" s="4"/>
      <c r="AG21" s="46"/>
      <c r="AH21" s="46"/>
      <c r="AI21" s="67"/>
      <c r="AJ21" s="68"/>
      <c r="AK21" s="48"/>
      <c r="AL21" s="4"/>
      <c r="AM21" s="46"/>
      <c r="AN21" s="46"/>
      <c r="AO21" s="67"/>
      <c r="AP21" s="68"/>
      <c r="AQ21" s="48"/>
      <c r="AR21" s="4"/>
      <c r="AS21" s="46"/>
      <c r="AT21" s="46"/>
      <c r="AU21" s="70" t="s">
        <v>567</v>
      </c>
      <c r="AV21" s="71">
        <v>41466</v>
      </c>
      <c r="AW21" s="71" t="s">
        <v>568</v>
      </c>
      <c r="AX21" s="9" t="s">
        <v>568</v>
      </c>
      <c r="AY21" s="1"/>
      <c r="AZ21" s="59" t="s">
        <v>508</v>
      </c>
      <c r="BA21" s="256" t="s">
        <v>518</v>
      </c>
      <c r="BB21" s="256" t="s">
        <v>594</v>
      </c>
      <c r="BC21" s="256" t="s">
        <v>595</v>
      </c>
      <c r="BO21" s="38"/>
    </row>
    <row r="22" spans="1:67" ht="89.4" customHeight="1">
      <c r="A22" s="278"/>
      <c r="B22" s="261">
        <v>3</v>
      </c>
      <c r="C22" s="63" t="s">
        <v>498</v>
      </c>
      <c r="D22" s="64" t="s">
        <v>504</v>
      </c>
      <c r="E22" s="81" t="s">
        <v>512</v>
      </c>
      <c r="F22" s="81" t="s">
        <v>509</v>
      </c>
      <c r="G22" s="4" t="s">
        <v>155</v>
      </c>
      <c r="H22" s="81" t="s">
        <v>511</v>
      </c>
      <c r="I22" s="82" t="s">
        <v>510</v>
      </c>
      <c r="J22" s="261">
        <v>2</v>
      </c>
      <c r="K22" s="65" t="s">
        <v>489</v>
      </c>
      <c r="L22" s="66">
        <v>41452</v>
      </c>
      <c r="M22" s="66">
        <v>41466</v>
      </c>
      <c r="N22" s="4" t="s">
        <v>565</v>
      </c>
      <c r="O22" s="46">
        <v>41466</v>
      </c>
      <c r="P22" s="46" t="s">
        <v>566</v>
      </c>
      <c r="Q22" s="67"/>
      <c r="R22" s="221"/>
      <c r="S22" s="48"/>
      <c r="T22" s="69"/>
      <c r="U22" s="47"/>
      <c r="V22" s="46"/>
      <c r="W22" s="67"/>
      <c r="X22" s="68"/>
      <c r="Y22" s="48"/>
      <c r="Z22" s="4"/>
      <c r="AA22" s="46"/>
      <c r="AB22" s="46"/>
      <c r="AC22" s="67"/>
      <c r="AD22" s="68"/>
      <c r="AE22" s="48"/>
      <c r="AF22" s="4"/>
      <c r="AG22" s="46"/>
      <c r="AH22" s="46"/>
      <c r="AI22" s="67"/>
      <c r="AJ22" s="68"/>
      <c r="AK22" s="48"/>
      <c r="AL22" s="4"/>
      <c r="AM22" s="46"/>
      <c r="AN22" s="46"/>
      <c r="AO22" s="67"/>
      <c r="AP22" s="68"/>
      <c r="AQ22" s="48"/>
      <c r="AR22" s="4"/>
      <c r="AS22" s="46"/>
      <c r="AT22" s="46"/>
      <c r="AU22" s="70" t="s">
        <v>567</v>
      </c>
      <c r="AV22" s="71">
        <v>41466</v>
      </c>
      <c r="AW22" s="71" t="s">
        <v>568</v>
      </c>
      <c r="AX22" s="9" t="s">
        <v>568</v>
      </c>
      <c r="AY22" s="1"/>
      <c r="AZ22" s="59" t="s">
        <v>508</v>
      </c>
      <c r="BA22" s="256" t="s">
        <v>519</v>
      </c>
      <c r="BB22" s="256" t="s">
        <v>596</v>
      </c>
      <c r="BC22" s="256" t="s">
        <v>597</v>
      </c>
      <c r="BO22" s="38"/>
    </row>
    <row r="23" spans="1:67" ht="59.4" customHeight="1">
      <c r="A23" s="278"/>
      <c r="B23" s="261">
        <v>4</v>
      </c>
      <c r="C23" s="63" t="s">
        <v>499</v>
      </c>
      <c r="D23" s="64" t="s">
        <v>505</v>
      </c>
      <c r="E23" s="81" t="s">
        <v>512</v>
      </c>
      <c r="F23" s="81" t="s">
        <v>509</v>
      </c>
      <c r="G23" s="4" t="s">
        <v>155</v>
      </c>
      <c r="H23" s="81" t="s">
        <v>511</v>
      </c>
      <c r="I23" s="82" t="s">
        <v>510</v>
      </c>
      <c r="J23" s="261">
        <v>2</v>
      </c>
      <c r="K23" s="65" t="s">
        <v>489</v>
      </c>
      <c r="L23" s="66">
        <v>41452</v>
      </c>
      <c r="M23" s="66">
        <v>41466</v>
      </c>
      <c r="N23" s="4" t="s">
        <v>565</v>
      </c>
      <c r="O23" s="46">
        <v>41466</v>
      </c>
      <c r="P23" s="46" t="s">
        <v>566</v>
      </c>
      <c r="Q23" s="67"/>
      <c r="R23" s="221"/>
      <c r="S23" s="48"/>
      <c r="T23" s="69"/>
      <c r="U23" s="47"/>
      <c r="V23" s="46"/>
      <c r="W23" s="67"/>
      <c r="X23" s="68"/>
      <c r="Y23" s="48"/>
      <c r="Z23" s="4"/>
      <c r="AA23" s="46"/>
      <c r="AB23" s="46"/>
      <c r="AC23" s="67"/>
      <c r="AD23" s="68"/>
      <c r="AE23" s="48"/>
      <c r="AF23" s="4"/>
      <c r="AG23" s="46"/>
      <c r="AH23" s="46"/>
      <c r="AI23" s="67"/>
      <c r="AJ23" s="68"/>
      <c r="AK23" s="48"/>
      <c r="AL23" s="4"/>
      <c r="AM23" s="46"/>
      <c r="AN23" s="46"/>
      <c r="AO23" s="67"/>
      <c r="AP23" s="68"/>
      <c r="AQ23" s="48"/>
      <c r="AR23" s="4"/>
      <c r="AS23" s="46"/>
      <c r="AT23" s="46"/>
      <c r="AU23" s="70" t="s">
        <v>567</v>
      </c>
      <c r="AV23" s="71">
        <v>41466</v>
      </c>
      <c r="AW23" s="71" t="s">
        <v>568</v>
      </c>
      <c r="AX23" s="9" t="s">
        <v>568</v>
      </c>
      <c r="AY23" s="1"/>
      <c r="AZ23" s="59" t="s">
        <v>508</v>
      </c>
      <c r="BA23" s="256" t="s">
        <v>520</v>
      </c>
      <c r="BB23" s="256" t="s">
        <v>598</v>
      </c>
      <c r="BC23" s="256" t="s">
        <v>599</v>
      </c>
      <c r="BO23" s="38"/>
    </row>
    <row r="24" spans="1:67" ht="214.2" customHeight="1">
      <c r="A24" s="278"/>
      <c r="B24" s="261">
        <v>5</v>
      </c>
      <c r="C24" s="63" t="s">
        <v>500</v>
      </c>
      <c r="D24" s="64" t="s">
        <v>506</v>
      </c>
      <c r="E24" s="81" t="s">
        <v>512</v>
      </c>
      <c r="F24" s="81" t="s">
        <v>509</v>
      </c>
      <c r="G24" s="4" t="s">
        <v>155</v>
      </c>
      <c r="H24" s="81" t="s">
        <v>511</v>
      </c>
      <c r="I24" s="82" t="s">
        <v>510</v>
      </c>
      <c r="J24" s="261">
        <v>2</v>
      </c>
      <c r="K24" s="65" t="s">
        <v>489</v>
      </c>
      <c r="L24" s="66">
        <v>41452</v>
      </c>
      <c r="M24" s="66">
        <v>41466</v>
      </c>
      <c r="N24" s="4" t="s">
        <v>565</v>
      </c>
      <c r="O24" s="46">
        <v>41466</v>
      </c>
      <c r="P24" s="46" t="s">
        <v>566</v>
      </c>
      <c r="Q24" s="67"/>
      <c r="R24" s="221"/>
      <c r="S24" s="48"/>
      <c r="T24" s="69"/>
      <c r="U24" s="47"/>
      <c r="V24" s="46"/>
      <c r="W24" s="67"/>
      <c r="X24" s="68"/>
      <c r="Y24" s="48"/>
      <c r="Z24" s="4"/>
      <c r="AA24" s="46"/>
      <c r="AB24" s="46"/>
      <c r="AC24" s="67"/>
      <c r="AD24" s="68"/>
      <c r="AE24" s="48"/>
      <c r="AF24" s="4"/>
      <c r="AG24" s="46"/>
      <c r="AH24" s="46"/>
      <c r="AI24" s="67"/>
      <c r="AJ24" s="68"/>
      <c r="AK24" s="48"/>
      <c r="AL24" s="4"/>
      <c r="AM24" s="46"/>
      <c r="AN24" s="46"/>
      <c r="AO24" s="67"/>
      <c r="AP24" s="68"/>
      <c r="AQ24" s="48"/>
      <c r="AR24" s="4"/>
      <c r="AS24" s="46"/>
      <c r="AT24" s="46"/>
      <c r="AU24" s="70" t="s">
        <v>567</v>
      </c>
      <c r="AV24" s="71">
        <v>41466</v>
      </c>
      <c r="AW24" s="71" t="s">
        <v>568</v>
      </c>
      <c r="AX24" s="9" t="s">
        <v>568</v>
      </c>
      <c r="AY24" s="1"/>
      <c r="AZ24" s="59" t="s">
        <v>508</v>
      </c>
      <c r="BA24" s="256" t="s">
        <v>569</v>
      </c>
      <c r="BB24" s="256" t="s">
        <v>600</v>
      </c>
      <c r="BC24" s="256" t="s">
        <v>601</v>
      </c>
      <c r="BO24" s="38"/>
    </row>
    <row r="25" spans="1:67" ht="67.2" customHeight="1">
      <c r="A25" s="279"/>
      <c r="B25" s="82">
        <v>6</v>
      </c>
      <c r="C25" s="94" t="s">
        <v>501</v>
      </c>
      <c r="D25" s="80" t="s">
        <v>507</v>
      </c>
      <c r="E25" s="81" t="s">
        <v>512</v>
      </c>
      <c r="F25" s="81" t="s">
        <v>509</v>
      </c>
      <c r="G25" s="81" t="s">
        <v>615</v>
      </c>
      <c r="H25" s="81" t="s">
        <v>511</v>
      </c>
      <c r="I25" s="82" t="s">
        <v>510</v>
      </c>
      <c r="J25" s="82">
        <v>2</v>
      </c>
      <c r="K25" s="265" t="s">
        <v>489</v>
      </c>
      <c r="L25" s="66">
        <v>41452</v>
      </c>
      <c r="M25" s="66">
        <v>41466</v>
      </c>
      <c r="N25" s="4" t="s">
        <v>565</v>
      </c>
      <c r="O25" s="46">
        <v>41466</v>
      </c>
      <c r="P25" s="46" t="s">
        <v>566</v>
      </c>
      <c r="Q25" s="85"/>
      <c r="R25" s="222"/>
      <c r="S25" s="89"/>
      <c r="T25" s="87"/>
      <c r="U25" s="88"/>
      <c r="V25" s="84"/>
      <c r="W25" s="85"/>
      <c r="X25" s="86"/>
      <c r="Y25" s="89"/>
      <c r="Z25" s="81"/>
      <c r="AA25" s="84"/>
      <c r="AB25" s="84"/>
      <c r="AC25" s="85"/>
      <c r="AD25" s="86"/>
      <c r="AE25" s="89"/>
      <c r="AF25" s="81"/>
      <c r="AG25" s="84"/>
      <c r="AH25" s="84"/>
      <c r="AI25" s="85"/>
      <c r="AJ25" s="86"/>
      <c r="AK25" s="89"/>
      <c r="AL25" s="81"/>
      <c r="AM25" s="84"/>
      <c r="AN25" s="84"/>
      <c r="AO25" s="85"/>
      <c r="AP25" s="86"/>
      <c r="AQ25" s="89"/>
      <c r="AR25" s="81"/>
      <c r="AS25" s="84"/>
      <c r="AT25" s="84"/>
      <c r="AU25" s="70" t="s">
        <v>567</v>
      </c>
      <c r="AV25" s="71">
        <v>41466</v>
      </c>
      <c r="AW25" s="71" t="s">
        <v>568</v>
      </c>
      <c r="AX25" s="9" t="s">
        <v>568</v>
      </c>
      <c r="AY25" s="92"/>
      <c r="AZ25" s="93" t="s">
        <v>508</v>
      </c>
      <c r="BA25" s="266" t="s">
        <v>521</v>
      </c>
      <c r="BB25" s="266" t="s">
        <v>602</v>
      </c>
      <c r="BC25" s="266" t="s">
        <v>603</v>
      </c>
      <c r="BO25" s="38"/>
    </row>
    <row r="26" spans="1:67" ht="50.4" customHeight="1">
      <c r="A26" s="264">
        <v>10</v>
      </c>
      <c r="B26" s="264">
        <v>1</v>
      </c>
      <c r="C26" s="63" t="s">
        <v>522</v>
      </c>
      <c r="D26" s="64" t="s">
        <v>524</v>
      </c>
      <c r="E26" s="4" t="s">
        <v>528</v>
      </c>
      <c r="F26" s="4" t="s">
        <v>525</v>
      </c>
      <c r="G26" s="4" t="s">
        <v>523</v>
      </c>
      <c r="H26" s="4" t="s">
        <v>526</v>
      </c>
      <c r="I26" s="264" t="s">
        <v>551</v>
      </c>
      <c r="J26" s="264">
        <v>2</v>
      </c>
      <c r="K26" s="65" t="s">
        <v>527</v>
      </c>
      <c r="L26" s="66">
        <v>41457</v>
      </c>
      <c r="M26" s="66">
        <v>41471</v>
      </c>
      <c r="N26" s="4" t="s">
        <v>404</v>
      </c>
      <c r="O26" s="46">
        <v>41466</v>
      </c>
      <c r="P26" s="46" t="s">
        <v>552</v>
      </c>
      <c r="Q26" s="67"/>
      <c r="R26" s="221"/>
      <c r="S26" s="48"/>
      <c r="T26" s="69"/>
      <c r="U26" s="47"/>
      <c r="V26" s="46"/>
      <c r="W26" s="67"/>
      <c r="X26" s="68"/>
      <c r="Y26" s="48"/>
      <c r="Z26" s="4"/>
      <c r="AA26" s="46"/>
      <c r="AB26" s="46"/>
      <c r="AC26" s="67"/>
      <c r="AD26" s="68"/>
      <c r="AE26" s="48"/>
      <c r="AF26" s="4"/>
      <c r="AG26" s="46"/>
      <c r="AH26" s="46"/>
      <c r="AI26" s="67"/>
      <c r="AJ26" s="68"/>
      <c r="AK26" s="48"/>
      <c r="AL26" s="4"/>
      <c r="AM26" s="46"/>
      <c r="AN26" s="46"/>
      <c r="AO26" s="67"/>
      <c r="AP26" s="68"/>
      <c r="AQ26" s="48"/>
      <c r="AR26" s="4"/>
      <c r="AS26" s="46"/>
      <c r="AT26" s="46"/>
      <c r="AU26" s="70" t="s">
        <v>626</v>
      </c>
      <c r="AV26" s="71">
        <v>41466</v>
      </c>
      <c r="AW26" s="71" t="s">
        <v>553</v>
      </c>
      <c r="AX26" s="1" t="s">
        <v>553</v>
      </c>
      <c r="AY26" s="1"/>
      <c r="AZ26" s="59" t="s">
        <v>405</v>
      </c>
      <c r="BA26" s="266" t="s">
        <v>544</v>
      </c>
      <c r="BB26" s="266"/>
      <c r="BC26" s="266"/>
      <c r="BD26" s="256" t="s">
        <v>627</v>
      </c>
      <c r="BO26" s="38"/>
    </row>
    <row r="27" spans="1:67" ht="26.4">
      <c r="A27" s="270">
        <v>11</v>
      </c>
      <c r="B27" s="246">
        <v>1</v>
      </c>
      <c r="C27" s="247" t="s">
        <v>563</v>
      </c>
      <c r="D27" s="267" t="s">
        <v>558</v>
      </c>
      <c r="E27" s="248" t="s">
        <v>559</v>
      </c>
      <c r="F27" s="248" t="s">
        <v>560</v>
      </c>
      <c r="G27" s="248" t="s">
        <v>616</v>
      </c>
      <c r="H27" s="248" t="s">
        <v>561</v>
      </c>
      <c r="I27" s="262" t="s">
        <v>562</v>
      </c>
      <c r="J27" s="246">
        <v>2</v>
      </c>
      <c r="K27" s="296" t="s">
        <v>652</v>
      </c>
      <c r="L27" s="268">
        <v>41458</v>
      </c>
      <c r="M27" s="269" t="s">
        <v>654</v>
      </c>
      <c r="N27" s="4" t="s">
        <v>653</v>
      </c>
      <c r="O27" s="295">
        <v>41577</v>
      </c>
      <c r="P27" s="8" t="s">
        <v>651</v>
      </c>
      <c r="Q27" s="249"/>
      <c r="R27" s="250"/>
      <c r="S27" s="251"/>
      <c r="T27" s="252"/>
      <c r="U27" s="253"/>
      <c r="V27" s="8"/>
      <c r="W27" s="249"/>
      <c r="X27" s="254"/>
      <c r="Y27" s="251"/>
      <c r="Z27" s="7"/>
      <c r="AA27" s="8"/>
      <c r="AB27" s="8"/>
      <c r="AC27" s="249"/>
      <c r="AD27" s="254"/>
      <c r="AE27" s="251"/>
      <c r="AF27" s="7"/>
      <c r="AG27" s="8"/>
      <c r="AH27" s="8"/>
      <c r="AI27" s="249"/>
      <c r="AJ27" s="254"/>
      <c r="AK27" s="251"/>
      <c r="AL27" s="7"/>
      <c r="AM27" s="8"/>
      <c r="AN27" s="8"/>
      <c r="AO27" s="249"/>
      <c r="AP27" s="254"/>
      <c r="AQ27" s="251"/>
      <c r="AR27" s="7"/>
      <c r="AS27" s="8"/>
      <c r="AT27" s="8"/>
      <c r="AU27" s="271" t="s">
        <v>563</v>
      </c>
      <c r="AV27" s="255">
        <v>41458</v>
      </c>
      <c r="AW27" s="255">
        <v>41474</v>
      </c>
      <c r="AX27" s="9" t="s">
        <v>646</v>
      </c>
      <c r="AY27" s="9"/>
      <c r="AZ27" s="263" t="s">
        <v>564</v>
      </c>
      <c r="BA27" s="256" t="s">
        <v>614</v>
      </c>
      <c r="BB27" s="256"/>
      <c r="BC27" s="256"/>
      <c r="BD27" s="273"/>
      <c r="BO27" s="38"/>
    </row>
    <row r="28" spans="1:67" ht="93.6" customHeight="1">
      <c r="A28" s="275">
        <v>12</v>
      </c>
      <c r="B28" s="38">
        <v>1</v>
      </c>
      <c r="C28" s="63" t="s">
        <v>572</v>
      </c>
      <c r="D28" s="80" t="s">
        <v>573</v>
      </c>
      <c r="E28" s="81" t="s">
        <v>27</v>
      </c>
      <c r="F28" s="81" t="s">
        <v>357</v>
      </c>
      <c r="G28" s="81" t="s">
        <v>617</v>
      </c>
      <c r="H28" s="81" t="s">
        <v>574</v>
      </c>
      <c r="I28" s="272" t="s">
        <v>294</v>
      </c>
      <c r="J28" s="38">
        <v>2</v>
      </c>
      <c r="K28" s="65" t="s">
        <v>583</v>
      </c>
      <c r="L28" s="83">
        <v>41466</v>
      </c>
      <c r="M28" s="66">
        <v>41480</v>
      </c>
      <c r="N28" s="4"/>
      <c r="O28" s="46"/>
      <c r="P28" s="46"/>
      <c r="Q28" s="67"/>
      <c r="R28" s="221"/>
      <c r="S28" s="48"/>
      <c r="T28" s="69"/>
      <c r="U28" s="47"/>
      <c r="V28" s="46"/>
      <c r="W28" s="67"/>
      <c r="X28" s="68"/>
      <c r="Y28" s="48"/>
      <c r="Z28" s="4"/>
      <c r="AA28" s="46"/>
      <c r="AB28" s="46"/>
      <c r="AC28" s="67"/>
      <c r="AD28" s="68"/>
      <c r="AE28" s="48"/>
      <c r="AF28" s="4"/>
      <c r="AG28" s="46"/>
      <c r="AH28" s="46"/>
      <c r="AI28" s="67"/>
      <c r="AJ28" s="68"/>
      <c r="AK28" s="48"/>
      <c r="AL28" s="4"/>
      <c r="AM28" s="46"/>
      <c r="AN28" s="46"/>
      <c r="AO28" s="67"/>
      <c r="AP28" s="68"/>
      <c r="AQ28" s="48"/>
      <c r="AR28" s="4"/>
      <c r="AS28" s="46"/>
      <c r="AT28" s="46"/>
      <c r="AU28" s="70" t="s">
        <v>583</v>
      </c>
      <c r="AV28" s="71">
        <v>41466</v>
      </c>
      <c r="AW28" s="71">
        <v>41479</v>
      </c>
      <c r="AX28" s="9" t="s">
        <v>646</v>
      </c>
      <c r="AY28" s="1"/>
      <c r="AZ28" s="263" t="s">
        <v>298</v>
      </c>
      <c r="BA28" s="256" t="s">
        <v>584</v>
      </c>
      <c r="BB28" s="256"/>
      <c r="BC28" s="256"/>
      <c r="BD28" s="273"/>
      <c r="BO28" s="38"/>
    </row>
    <row r="29" spans="1:67" ht="86.4" customHeight="1">
      <c r="A29" s="276"/>
      <c r="B29" s="38">
        <v>2</v>
      </c>
      <c r="C29" s="63" t="s">
        <v>575</v>
      </c>
      <c r="D29" s="80" t="s">
        <v>573</v>
      </c>
      <c r="E29" s="81" t="s">
        <v>27</v>
      </c>
      <c r="F29" s="81" t="s">
        <v>357</v>
      </c>
      <c r="G29" s="81" t="s">
        <v>618</v>
      </c>
      <c r="H29" s="81" t="s">
        <v>574</v>
      </c>
      <c r="I29" s="272" t="s">
        <v>294</v>
      </c>
      <c r="J29" s="272">
        <v>2</v>
      </c>
      <c r="K29" s="65" t="s">
        <v>583</v>
      </c>
      <c r="L29" s="83">
        <v>41466</v>
      </c>
      <c r="M29" s="66">
        <v>41480</v>
      </c>
      <c r="N29" s="4"/>
      <c r="O29" s="46"/>
      <c r="P29" s="46"/>
      <c r="Q29" s="67"/>
      <c r="R29" s="221"/>
      <c r="S29" s="48"/>
      <c r="T29" s="69"/>
      <c r="U29" s="47"/>
      <c r="V29" s="46"/>
      <c r="W29" s="67"/>
      <c r="X29" s="68"/>
      <c r="Y29" s="48"/>
      <c r="Z29" s="4"/>
      <c r="AA29" s="46"/>
      <c r="AB29" s="46"/>
      <c r="AC29" s="67"/>
      <c r="AD29" s="68"/>
      <c r="AE29" s="48"/>
      <c r="AF29" s="4"/>
      <c r="AG29" s="46"/>
      <c r="AH29" s="46"/>
      <c r="AI29" s="67"/>
      <c r="AJ29" s="68"/>
      <c r="AK29" s="48"/>
      <c r="AL29" s="4"/>
      <c r="AM29" s="46"/>
      <c r="AN29" s="46"/>
      <c r="AO29" s="67"/>
      <c r="AP29" s="68"/>
      <c r="AQ29" s="48"/>
      <c r="AR29" s="4"/>
      <c r="AS29" s="46"/>
      <c r="AT29" s="46"/>
      <c r="AU29" s="70" t="s">
        <v>628</v>
      </c>
      <c r="AV29" s="71">
        <v>41551</v>
      </c>
      <c r="AW29" s="71" t="s">
        <v>629</v>
      </c>
      <c r="AX29" s="9" t="s">
        <v>646</v>
      </c>
      <c r="AY29" s="1"/>
      <c r="AZ29" s="263" t="s">
        <v>630</v>
      </c>
      <c r="BA29" s="256" t="s">
        <v>585</v>
      </c>
      <c r="BB29" s="256"/>
      <c r="BC29" s="256"/>
      <c r="BD29" s="273"/>
      <c r="BO29" s="38"/>
    </row>
    <row r="30" spans="1:67" ht="100.95" customHeight="1">
      <c r="A30" s="276"/>
      <c r="B30" s="38">
        <v>3</v>
      </c>
      <c r="C30" s="63" t="s">
        <v>576</v>
      </c>
      <c r="D30" s="80" t="s">
        <v>573</v>
      </c>
      <c r="E30" s="81" t="s">
        <v>27</v>
      </c>
      <c r="F30" s="81" t="s">
        <v>357</v>
      </c>
      <c r="G30" s="81" t="s">
        <v>619</v>
      </c>
      <c r="H30" s="81" t="s">
        <v>574</v>
      </c>
      <c r="I30" s="272" t="s">
        <v>294</v>
      </c>
      <c r="J30" s="272">
        <v>2</v>
      </c>
      <c r="K30" s="65" t="s">
        <v>583</v>
      </c>
      <c r="L30" s="83">
        <v>41466</v>
      </c>
      <c r="M30" s="66">
        <v>41480</v>
      </c>
      <c r="N30" s="4"/>
      <c r="O30" s="46"/>
      <c r="P30" s="46"/>
      <c r="Q30" s="67"/>
      <c r="R30" s="221"/>
      <c r="S30" s="48"/>
      <c r="T30" s="69"/>
      <c r="U30" s="47"/>
      <c r="V30" s="46"/>
      <c r="W30" s="67"/>
      <c r="X30" s="68"/>
      <c r="Y30" s="48"/>
      <c r="Z30" s="4"/>
      <c r="AA30" s="46"/>
      <c r="AB30" s="46"/>
      <c r="AC30" s="67"/>
      <c r="AD30" s="68"/>
      <c r="AE30" s="48"/>
      <c r="AF30" s="4"/>
      <c r="AG30" s="46"/>
      <c r="AH30" s="46"/>
      <c r="AI30" s="67"/>
      <c r="AJ30" s="68"/>
      <c r="AK30" s="48"/>
      <c r="AL30" s="4"/>
      <c r="AM30" s="46"/>
      <c r="AN30" s="46"/>
      <c r="AO30" s="67"/>
      <c r="AP30" s="68"/>
      <c r="AQ30" s="48"/>
      <c r="AR30" s="4"/>
      <c r="AS30" s="46"/>
      <c r="AT30" s="46"/>
      <c r="AU30" s="70" t="s">
        <v>583</v>
      </c>
      <c r="AV30" s="71">
        <v>41466</v>
      </c>
      <c r="AW30" s="71">
        <v>41479</v>
      </c>
      <c r="AX30" s="9" t="s">
        <v>646</v>
      </c>
      <c r="AY30" s="1"/>
      <c r="AZ30" s="263" t="s">
        <v>298</v>
      </c>
      <c r="BA30" s="256" t="s">
        <v>586</v>
      </c>
      <c r="BB30" s="256"/>
      <c r="BC30" s="256"/>
      <c r="BD30" s="273"/>
      <c r="BO30" s="38"/>
    </row>
    <row r="31" spans="1:67" ht="81" customHeight="1">
      <c r="A31" s="276"/>
      <c r="B31" s="38">
        <v>4</v>
      </c>
      <c r="C31" s="63" t="s">
        <v>577</v>
      </c>
      <c r="D31" s="80" t="s">
        <v>573</v>
      </c>
      <c r="E31" s="81" t="s">
        <v>27</v>
      </c>
      <c r="F31" s="81" t="s">
        <v>357</v>
      </c>
      <c r="G31" s="81" t="s">
        <v>618</v>
      </c>
      <c r="H31" s="81" t="s">
        <v>574</v>
      </c>
      <c r="I31" s="272" t="s">
        <v>294</v>
      </c>
      <c r="J31" s="272">
        <v>2</v>
      </c>
      <c r="K31" s="65" t="s">
        <v>583</v>
      </c>
      <c r="L31" s="83">
        <v>41466</v>
      </c>
      <c r="M31" s="66">
        <v>41480</v>
      </c>
      <c r="N31" s="4"/>
      <c r="O31" s="46"/>
      <c r="P31" s="46"/>
      <c r="Q31" s="67"/>
      <c r="R31" s="221"/>
      <c r="S31" s="48"/>
      <c r="T31" s="69"/>
      <c r="U31" s="47"/>
      <c r="V31" s="46"/>
      <c r="W31" s="67"/>
      <c r="X31" s="68"/>
      <c r="Y31" s="48"/>
      <c r="Z31" s="4"/>
      <c r="AA31" s="46"/>
      <c r="AB31" s="46"/>
      <c r="AC31" s="67"/>
      <c r="AD31" s="68"/>
      <c r="AE31" s="48"/>
      <c r="AF31" s="4"/>
      <c r="AG31" s="46"/>
      <c r="AH31" s="46"/>
      <c r="AI31" s="67"/>
      <c r="AJ31" s="68"/>
      <c r="AK31" s="48"/>
      <c r="AL31" s="4"/>
      <c r="AM31" s="46"/>
      <c r="AN31" s="46"/>
      <c r="AO31" s="67"/>
      <c r="AP31" s="68"/>
      <c r="AQ31" s="48"/>
      <c r="AR31" s="4"/>
      <c r="AS31" s="46"/>
      <c r="AT31" s="46"/>
      <c r="AU31" s="70" t="s">
        <v>628</v>
      </c>
      <c r="AV31" s="71">
        <v>41551</v>
      </c>
      <c r="AW31" s="71" t="s">
        <v>629</v>
      </c>
      <c r="AX31" s="9" t="s">
        <v>646</v>
      </c>
      <c r="AY31" s="1"/>
      <c r="AZ31" s="263" t="s">
        <v>630</v>
      </c>
      <c r="BA31" s="256" t="s">
        <v>587</v>
      </c>
      <c r="BB31" s="256"/>
      <c r="BC31" s="256"/>
      <c r="BD31" s="273"/>
      <c r="BO31" s="38"/>
    </row>
    <row r="32" spans="1:67" ht="83.4" customHeight="1">
      <c r="A32" s="276"/>
      <c r="B32" s="38">
        <v>5</v>
      </c>
      <c r="C32" s="63" t="s">
        <v>578</v>
      </c>
      <c r="D32" s="80" t="s">
        <v>573</v>
      </c>
      <c r="E32" s="81" t="s">
        <v>27</v>
      </c>
      <c r="F32" s="81" t="s">
        <v>357</v>
      </c>
      <c r="G32" s="81" t="s">
        <v>40</v>
      </c>
      <c r="H32" s="81" t="s">
        <v>574</v>
      </c>
      <c r="I32" s="272" t="s">
        <v>294</v>
      </c>
      <c r="J32" s="272">
        <v>2</v>
      </c>
      <c r="K32" s="65" t="s">
        <v>583</v>
      </c>
      <c r="L32" s="83">
        <v>41466</v>
      </c>
      <c r="M32" s="66">
        <v>41480</v>
      </c>
      <c r="N32" s="4"/>
      <c r="O32" s="46"/>
      <c r="P32" s="46"/>
      <c r="Q32" s="67"/>
      <c r="R32" s="221"/>
      <c r="S32" s="48"/>
      <c r="T32" s="69"/>
      <c r="U32" s="47"/>
      <c r="V32" s="46"/>
      <c r="W32" s="67"/>
      <c r="X32" s="68"/>
      <c r="Y32" s="48"/>
      <c r="Z32" s="4"/>
      <c r="AA32" s="46"/>
      <c r="AB32" s="46"/>
      <c r="AC32" s="67"/>
      <c r="AD32" s="68"/>
      <c r="AE32" s="48"/>
      <c r="AF32" s="4"/>
      <c r="AG32" s="46"/>
      <c r="AH32" s="46"/>
      <c r="AI32" s="67"/>
      <c r="AJ32" s="68"/>
      <c r="AK32" s="48"/>
      <c r="AL32" s="4"/>
      <c r="AM32" s="46"/>
      <c r="AN32" s="46"/>
      <c r="AO32" s="67"/>
      <c r="AP32" s="68"/>
      <c r="AQ32" s="48"/>
      <c r="AR32" s="4"/>
      <c r="AS32" s="46"/>
      <c r="AT32" s="46"/>
      <c r="AU32" s="70" t="s">
        <v>583</v>
      </c>
      <c r="AV32" s="71">
        <v>41466</v>
      </c>
      <c r="AW32" s="71">
        <v>41479</v>
      </c>
      <c r="AX32" s="9" t="s">
        <v>646</v>
      </c>
      <c r="AY32" s="1"/>
      <c r="AZ32" s="263" t="s">
        <v>298</v>
      </c>
      <c r="BA32" s="256" t="s">
        <v>588</v>
      </c>
      <c r="BB32" s="256"/>
      <c r="BC32" s="256"/>
      <c r="BD32" s="273"/>
      <c r="BO32" s="38"/>
    </row>
    <row r="33" spans="1:67" ht="88.95" customHeight="1">
      <c r="A33" s="276"/>
      <c r="B33" s="38">
        <v>6</v>
      </c>
      <c r="C33" s="63" t="s">
        <v>581</v>
      </c>
      <c r="D33" s="80" t="s">
        <v>573</v>
      </c>
      <c r="E33" s="81" t="s">
        <v>27</v>
      </c>
      <c r="F33" s="81" t="s">
        <v>357</v>
      </c>
      <c r="G33" s="81" t="s">
        <v>621</v>
      </c>
      <c r="H33" s="81" t="s">
        <v>574</v>
      </c>
      <c r="I33" s="272" t="s">
        <v>294</v>
      </c>
      <c r="J33" s="272">
        <v>2</v>
      </c>
      <c r="K33" s="65" t="s">
        <v>583</v>
      </c>
      <c r="L33" s="83">
        <v>41466</v>
      </c>
      <c r="M33" s="66">
        <v>41480</v>
      </c>
      <c r="N33" s="4"/>
      <c r="O33" s="46"/>
      <c r="P33" s="46"/>
      <c r="Q33" s="67"/>
      <c r="R33" s="221"/>
      <c r="S33" s="48"/>
      <c r="T33" s="69"/>
      <c r="U33" s="47"/>
      <c r="V33" s="46"/>
      <c r="W33" s="67"/>
      <c r="X33" s="68"/>
      <c r="Y33" s="48"/>
      <c r="Z33" s="4"/>
      <c r="AA33" s="46"/>
      <c r="AB33" s="46"/>
      <c r="AC33" s="67"/>
      <c r="AD33" s="68"/>
      <c r="AE33" s="48"/>
      <c r="AF33" s="4"/>
      <c r="AG33" s="46"/>
      <c r="AH33" s="46"/>
      <c r="AI33" s="67"/>
      <c r="AJ33" s="68"/>
      <c r="AK33" s="48"/>
      <c r="AL33" s="4"/>
      <c r="AM33" s="46"/>
      <c r="AN33" s="46"/>
      <c r="AO33" s="67"/>
      <c r="AP33" s="68"/>
      <c r="AQ33" s="48"/>
      <c r="AR33" s="4"/>
      <c r="AS33" s="46"/>
      <c r="AT33" s="46"/>
      <c r="AU33" s="70" t="s">
        <v>583</v>
      </c>
      <c r="AV33" s="71">
        <v>41466</v>
      </c>
      <c r="AW33" s="71">
        <v>41479</v>
      </c>
      <c r="AX33" s="9" t="s">
        <v>646</v>
      </c>
      <c r="AY33" s="1"/>
      <c r="AZ33" s="263" t="s">
        <v>298</v>
      </c>
      <c r="BA33" s="256" t="s">
        <v>589</v>
      </c>
      <c r="BB33" s="256"/>
      <c r="BC33" s="256"/>
      <c r="BD33" s="273"/>
      <c r="BO33" s="38"/>
    </row>
    <row r="34" spans="1:67" ht="111" customHeight="1">
      <c r="A34" s="276"/>
      <c r="B34" s="38">
        <v>7</v>
      </c>
      <c r="C34" s="63" t="s">
        <v>579</v>
      </c>
      <c r="D34" s="80" t="s">
        <v>573</v>
      </c>
      <c r="E34" s="81" t="s">
        <v>582</v>
      </c>
      <c r="F34" s="81" t="s">
        <v>357</v>
      </c>
      <c r="G34" s="81" t="s">
        <v>620</v>
      </c>
      <c r="H34" s="81" t="s">
        <v>574</v>
      </c>
      <c r="I34" s="272" t="s">
        <v>294</v>
      </c>
      <c r="J34" s="272">
        <v>2</v>
      </c>
      <c r="K34" s="65" t="s">
        <v>583</v>
      </c>
      <c r="L34" s="83">
        <v>41466</v>
      </c>
      <c r="M34" s="66">
        <v>41480</v>
      </c>
      <c r="N34" s="4"/>
      <c r="O34" s="46"/>
      <c r="P34" s="46"/>
      <c r="Q34" s="67"/>
      <c r="R34" s="221"/>
      <c r="S34" s="48"/>
      <c r="T34" s="69"/>
      <c r="U34" s="47"/>
      <c r="V34" s="46"/>
      <c r="W34" s="67"/>
      <c r="X34" s="68"/>
      <c r="Y34" s="48"/>
      <c r="Z34" s="4"/>
      <c r="AA34" s="46"/>
      <c r="AB34" s="46"/>
      <c r="AC34" s="67"/>
      <c r="AD34" s="68"/>
      <c r="AE34" s="48"/>
      <c r="AF34" s="4"/>
      <c r="AG34" s="46"/>
      <c r="AH34" s="46"/>
      <c r="AI34" s="67"/>
      <c r="AJ34" s="68"/>
      <c r="AK34" s="48"/>
      <c r="AL34" s="4"/>
      <c r="AM34" s="46"/>
      <c r="AN34" s="46"/>
      <c r="AO34" s="67"/>
      <c r="AP34" s="68"/>
      <c r="AQ34" s="48"/>
      <c r="AR34" s="4"/>
      <c r="AS34" s="46"/>
      <c r="AT34" s="46"/>
      <c r="AU34" s="70" t="s">
        <v>583</v>
      </c>
      <c r="AV34" s="71">
        <v>41466</v>
      </c>
      <c r="AW34" s="71">
        <v>41479</v>
      </c>
      <c r="AX34" s="9" t="s">
        <v>646</v>
      </c>
      <c r="AY34" s="1"/>
      <c r="AZ34" s="263" t="s">
        <v>625</v>
      </c>
      <c r="BA34" s="256" t="s">
        <v>590</v>
      </c>
      <c r="BB34" s="256"/>
      <c r="BC34" s="256"/>
      <c r="BD34" s="273"/>
      <c r="BO34" s="38"/>
    </row>
    <row r="35" spans="1:67" ht="60" customHeight="1">
      <c r="A35" s="277"/>
      <c r="B35" s="38">
        <v>8</v>
      </c>
      <c r="C35" s="63" t="s">
        <v>580</v>
      </c>
      <c r="D35" s="80" t="s">
        <v>573</v>
      </c>
      <c r="E35" s="81" t="s">
        <v>27</v>
      </c>
      <c r="F35" s="81" t="s">
        <v>357</v>
      </c>
      <c r="G35" s="81" t="s">
        <v>624</v>
      </c>
      <c r="H35" s="81" t="s">
        <v>574</v>
      </c>
      <c r="I35" s="272" t="s">
        <v>294</v>
      </c>
      <c r="J35" s="272">
        <v>2</v>
      </c>
      <c r="K35" s="65" t="s">
        <v>583</v>
      </c>
      <c r="L35" s="83">
        <v>41466</v>
      </c>
      <c r="M35" s="66">
        <v>41480</v>
      </c>
      <c r="N35" s="4"/>
      <c r="O35" s="46"/>
      <c r="P35" s="46"/>
      <c r="Q35" s="67"/>
      <c r="R35" s="221"/>
      <c r="S35" s="48"/>
      <c r="T35" s="69"/>
      <c r="U35" s="47"/>
      <c r="V35" s="46"/>
      <c r="W35" s="67"/>
      <c r="X35" s="68"/>
      <c r="Y35" s="48"/>
      <c r="Z35" s="4"/>
      <c r="AA35" s="46"/>
      <c r="AB35" s="46"/>
      <c r="AC35" s="67"/>
      <c r="AD35" s="68"/>
      <c r="AE35" s="48"/>
      <c r="AF35" s="4"/>
      <c r="AG35" s="46"/>
      <c r="AH35" s="46"/>
      <c r="AI35" s="67"/>
      <c r="AJ35" s="68"/>
      <c r="AK35" s="48"/>
      <c r="AL35" s="4"/>
      <c r="AM35" s="46"/>
      <c r="AN35" s="46"/>
      <c r="AO35" s="67"/>
      <c r="AP35" s="68"/>
      <c r="AQ35" s="48"/>
      <c r="AR35" s="4"/>
      <c r="AS35" s="46"/>
      <c r="AT35" s="46"/>
      <c r="AU35" s="70" t="s">
        <v>583</v>
      </c>
      <c r="AV35" s="71">
        <v>41466</v>
      </c>
      <c r="AW35" s="71">
        <v>41479</v>
      </c>
      <c r="AX35" s="9" t="s">
        <v>646</v>
      </c>
      <c r="AY35" s="1"/>
      <c r="AZ35" s="263" t="s">
        <v>625</v>
      </c>
      <c r="BA35" s="256" t="s">
        <v>591</v>
      </c>
      <c r="BB35" s="256"/>
      <c r="BC35" s="256"/>
      <c r="BD35" s="273"/>
      <c r="BO35" s="38"/>
    </row>
    <row r="36" spans="1:67" ht="13.8">
      <c r="A36" s="275">
        <v>13</v>
      </c>
      <c r="B36" s="38">
        <v>1</v>
      </c>
      <c r="C36" s="63" t="s">
        <v>631</v>
      </c>
      <c r="D36" s="80" t="s">
        <v>633</v>
      </c>
      <c r="E36" s="81" t="s">
        <v>634</v>
      </c>
      <c r="F36" s="81" t="s">
        <v>253</v>
      </c>
      <c r="G36" s="81" t="s">
        <v>637</v>
      </c>
      <c r="H36" s="81" t="s">
        <v>639</v>
      </c>
      <c r="I36" s="274" t="s">
        <v>294</v>
      </c>
      <c r="J36" s="38">
        <v>2</v>
      </c>
      <c r="K36" s="65" t="s">
        <v>640</v>
      </c>
      <c r="L36" s="83">
        <v>41555</v>
      </c>
      <c r="M36" s="66">
        <v>41570</v>
      </c>
      <c r="N36" s="4" t="s">
        <v>650</v>
      </c>
      <c r="O36" s="46">
        <v>41570</v>
      </c>
      <c r="P36" s="46" t="s">
        <v>651</v>
      </c>
      <c r="Q36" s="67"/>
      <c r="R36" s="221"/>
      <c r="S36" s="48"/>
      <c r="T36" s="69"/>
      <c r="U36" s="47"/>
      <c r="V36" s="46"/>
      <c r="W36" s="67"/>
      <c r="X36" s="68"/>
      <c r="Y36" s="48"/>
      <c r="Z36" s="4"/>
      <c r="AA36" s="46"/>
      <c r="AB36" s="46"/>
      <c r="AC36" s="67"/>
      <c r="AD36" s="68"/>
      <c r="AE36" s="48"/>
      <c r="AF36" s="4"/>
      <c r="AG36" s="46"/>
      <c r="AH36" s="46"/>
      <c r="AI36" s="67"/>
      <c r="AJ36" s="68"/>
      <c r="AK36" s="48"/>
      <c r="AL36" s="4"/>
      <c r="AM36" s="46"/>
      <c r="AN36" s="46"/>
      <c r="AO36" s="67"/>
      <c r="AP36" s="68"/>
      <c r="AQ36" s="48"/>
      <c r="AR36" s="4"/>
      <c r="AS36" s="46"/>
      <c r="AT36" s="46"/>
      <c r="AU36" s="70" t="s">
        <v>647</v>
      </c>
      <c r="AV36" s="71">
        <v>41572</v>
      </c>
      <c r="AW36" s="71" t="s">
        <v>648</v>
      </c>
      <c r="AX36" s="9" t="s">
        <v>648</v>
      </c>
      <c r="AY36" s="1"/>
      <c r="AZ36" s="59" t="s">
        <v>649</v>
      </c>
      <c r="BA36" s="218" t="s">
        <v>641</v>
      </c>
      <c r="BO36" s="38"/>
    </row>
    <row r="37" spans="1:67" ht="26.4">
      <c r="A37" s="276"/>
      <c r="B37" s="38">
        <v>2</v>
      </c>
      <c r="C37" s="63" t="s">
        <v>632</v>
      </c>
      <c r="D37" s="80" t="s">
        <v>633</v>
      </c>
      <c r="E37" s="81" t="s">
        <v>635</v>
      </c>
      <c r="F37" s="81" t="s">
        <v>636</v>
      </c>
      <c r="G37" s="81" t="s">
        <v>638</v>
      </c>
      <c r="H37" s="81" t="s">
        <v>639</v>
      </c>
      <c r="I37" s="274" t="s">
        <v>294</v>
      </c>
      <c r="J37" s="38">
        <v>2</v>
      </c>
      <c r="K37" s="65" t="s">
        <v>640</v>
      </c>
      <c r="L37" s="83">
        <v>41555</v>
      </c>
      <c r="M37" s="66">
        <v>41570</v>
      </c>
      <c r="N37" s="4" t="s">
        <v>650</v>
      </c>
      <c r="O37" s="46">
        <v>41570</v>
      </c>
      <c r="P37" s="46" t="s">
        <v>651</v>
      </c>
      <c r="Q37" s="67"/>
      <c r="R37" s="221"/>
      <c r="S37" s="48"/>
      <c r="T37" s="69"/>
      <c r="U37" s="47"/>
      <c r="V37" s="46"/>
      <c r="W37" s="67"/>
      <c r="X37" s="68"/>
      <c r="Y37" s="48"/>
      <c r="Z37" s="4"/>
      <c r="AA37" s="46"/>
      <c r="AB37" s="46"/>
      <c r="AC37" s="67"/>
      <c r="AD37" s="68"/>
      <c r="AE37" s="48"/>
      <c r="AF37" s="4"/>
      <c r="AG37" s="46"/>
      <c r="AH37" s="46"/>
      <c r="AI37" s="67"/>
      <c r="AJ37" s="68"/>
      <c r="AK37" s="48"/>
      <c r="AL37" s="4"/>
      <c r="AM37" s="46"/>
      <c r="AN37" s="46"/>
      <c r="AO37" s="67"/>
      <c r="AP37" s="68"/>
      <c r="AQ37" s="48"/>
      <c r="AR37" s="4"/>
      <c r="AS37" s="46"/>
      <c r="AT37" s="46"/>
      <c r="AU37" s="70" t="s">
        <v>647</v>
      </c>
      <c r="AV37" s="71">
        <v>41572</v>
      </c>
      <c r="AW37" s="71" t="s">
        <v>648</v>
      </c>
      <c r="AX37" s="9" t="s">
        <v>648</v>
      </c>
      <c r="AY37" s="1"/>
      <c r="AZ37" s="59" t="s">
        <v>649</v>
      </c>
      <c r="BA37" s="218" t="s">
        <v>642</v>
      </c>
      <c r="BO37" s="38"/>
    </row>
    <row r="38" spans="1:67" ht="13.8">
      <c r="B38" s="38">
        <v>1</v>
      </c>
      <c r="C38" s="63" t="s">
        <v>643</v>
      </c>
      <c r="D38" s="80" t="s">
        <v>644</v>
      </c>
      <c r="E38" s="81" t="s">
        <v>25</v>
      </c>
      <c r="F38" s="81" t="s">
        <v>357</v>
      </c>
      <c r="G38" s="81" t="s">
        <v>156</v>
      </c>
      <c r="H38" s="81" t="s">
        <v>574</v>
      </c>
      <c r="I38" s="82"/>
      <c r="J38" s="38">
        <v>2</v>
      </c>
      <c r="K38" s="65" t="s">
        <v>645</v>
      </c>
      <c r="L38" s="83">
        <v>41572</v>
      </c>
      <c r="M38" s="66">
        <v>41586</v>
      </c>
      <c r="N38" s="4"/>
      <c r="O38" s="46"/>
      <c r="P38" s="46"/>
      <c r="Q38" s="67"/>
      <c r="R38" s="221"/>
      <c r="S38" s="48"/>
      <c r="T38" s="69"/>
      <c r="U38" s="47"/>
      <c r="V38" s="46"/>
      <c r="W38" s="67"/>
      <c r="X38" s="68"/>
      <c r="Y38" s="48"/>
      <c r="Z38" s="4"/>
      <c r="AA38" s="46"/>
      <c r="AB38" s="46"/>
      <c r="AC38" s="67"/>
      <c r="AD38" s="68"/>
      <c r="AE38" s="48"/>
      <c r="AF38" s="4"/>
      <c r="AG38" s="46"/>
      <c r="AH38" s="46"/>
      <c r="AI38" s="67"/>
      <c r="AJ38" s="68"/>
      <c r="AK38" s="48"/>
      <c r="AL38" s="4"/>
      <c r="AM38" s="46"/>
      <c r="AN38" s="46"/>
      <c r="AO38" s="67"/>
      <c r="AP38" s="68"/>
      <c r="AQ38" s="48"/>
      <c r="AR38" s="4"/>
      <c r="AS38" s="46"/>
      <c r="AT38" s="46"/>
      <c r="AU38" s="70"/>
      <c r="AV38" s="71"/>
      <c r="AW38" s="71"/>
      <c r="AX38" s="1"/>
      <c r="AY38" s="1"/>
      <c r="AZ38" s="59"/>
      <c r="BO38" s="38"/>
    </row>
    <row r="39" spans="1:67" ht="13.8">
      <c r="B39" s="38"/>
      <c r="C39" s="63"/>
      <c r="D39" s="80"/>
      <c r="E39" s="81"/>
      <c r="F39" s="81"/>
      <c r="G39" s="81"/>
      <c r="H39" s="81"/>
      <c r="I39" s="82"/>
      <c r="J39" s="38"/>
      <c r="K39" s="65"/>
      <c r="L39" s="83"/>
      <c r="M39" s="66"/>
      <c r="N39" s="4"/>
      <c r="O39" s="46"/>
      <c r="P39" s="46"/>
      <c r="Q39" s="67"/>
      <c r="R39" s="221"/>
      <c r="S39" s="48"/>
      <c r="T39" s="69"/>
      <c r="U39" s="47"/>
      <c r="V39" s="46"/>
      <c r="W39" s="67"/>
      <c r="X39" s="68"/>
      <c r="Y39" s="48"/>
      <c r="Z39" s="4"/>
      <c r="AA39" s="46"/>
      <c r="AB39" s="46"/>
      <c r="AC39" s="67"/>
      <c r="AD39" s="68"/>
      <c r="AE39" s="48"/>
      <c r="AF39" s="4"/>
      <c r="AG39" s="46"/>
      <c r="AH39" s="46"/>
      <c r="AI39" s="67"/>
      <c r="AJ39" s="68"/>
      <c r="AK39" s="48"/>
      <c r="AL39" s="4"/>
      <c r="AM39" s="46"/>
      <c r="AN39" s="46"/>
      <c r="AO39" s="67"/>
      <c r="AP39" s="68"/>
      <c r="AQ39" s="48"/>
      <c r="AR39" s="4"/>
      <c r="AS39" s="46"/>
      <c r="AT39" s="46"/>
      <c r="AU39" s="70"/>
      <c r="AV39" s="71"/>
      <c r="AW39" s="71"/>
      <c r="AX39" s="1"/>
      <c r="AY39" s="1"/>
      <c r="AZ39" s="59"/>
      <c r="BO39" s="38"/>
    </row>
    <row r="40" spans="1:67" ht="13.8">
      <c r="B40" s="38"/>
      <c r="C40" s="63"/>
      <c r="D40" s="80"/>
      <c r="E40" s="81"/>
      <c r="F40" s="81"/>
      <c r="G40" s="81"/>
      <c r="H40" s="81"/>
      <c r="I40" s="82"/>
      <c r="J40" s="38"/>
      <c r="K40" s="65"/>
      <c r="L40" s="83"/>
      <c r="M40" s="66"/>
      <c r="N40" s="4"/>
      <c r="O40" s="46"/>
      <c r="P40" s="46"/>
      <c r="Q40" s="67"/>
      <c r="R40" s="221"/>
      <c r="S40" s="48"/>
      <c r="T40" s="69"/>
      <c r="U40" s="47"/>
      <c r="V40" s="46"/>
      <c r="W40" s="67"/>
      <c r="X40" s="68"/>
      <c r="Y40" s="48"/>
      <c r="Z40" s="4"/>
      <c r="AA40" s="46"/>
      <c r="AB40" s="46"/>
      <c r="AC40" s="67"/>
      <c r="AD40" s="68"/>
      <c r="AE40" s="48"/>
      <c r="AF40" s="4"/>
      <c r="AG40" s="46"/>
      <c r="AH40" s="46"/>
      <c r="AI40" s="67"/>
      <c r="AJ40" s="68"/>
      <c r="AK40" s="48"/>
      <c r="AL40" s="4"/>
      <c r="AM40" s="46"/>
      <c r="AN40" s="46"/>
      <c r="AO40" s="67"/>
      <c r="AP40" s="68"/>
      <c r="AQ40" s="48"/>
      <c r="AR40" s="4"/>
      <c r="AS40" s="46"/>
      <c r="AT40" s="46"/>
      <c r="AU40" s="70"/>
      <c r="AV40" s="71"/>
      <c r="AW40" s="71"/>
      <c r="AX40" s="1"/>
      <c r="AY40" s="1"/>
      <c r="AZ40" s="59"/>
      <c r="BO40" s="38"/>
    </row>
    <row r="41" spans="1:67" ht="13.8">
      <c r="B41" s="38"/>
      <c r="C41" s="63"/>
      <c r="D41" s="80"/>
      <c r="E41" s="81"/>
      <c r="F41" s="81"/>
      <c r="G41" s="81"/>
      <c r="H41" s="81"/>
      <c r="I41" s="82"/>
      <c r="J41" s="38"/>
      <c r="K41" s="65"/>
      <c r="L41" s="83"/>
      <c r="M41" s="66"/>
      <c r="N41" s="4"/>
      <c r="O41" s="46"/>
      <c r="P41" s="46"/>
      <c r="Q41" s="67"/>
      <c r="R41" s="221"/>
      <c r="S41" s="48"/>
      <c r="T41" s="69"/>
      <c r="U41" s="47"/>
      <c r="V41" s="46"/>
      <c r="W41" s="67"/>
      <c r="X41" s="68"/>
      <c r="Y41" s="48"/>
      <c r="Z41" s="4"/>
      <c r="AA41" s="46"/>
      <c r="AB41" s="46"/>
      <c r="AC41" s="67"/>
      <c r="AD41" s="68"/>
      <c r="AE41" s="48"/>
      <c r="AF41" s="4"/>
      <c r="AG41" s="46"/>
      <c r="AH41" s="46"/>
      <c r="AI41" s="67"/>
      <c r="AJ41" s="68"/>
      <c r="AK41" s="48"/>
      <c r="AL41" s="4"/>
      <c r="AM41" s="46"/>
      <c r="AN41" s="46"/>
      <c r="AO41" s="67"/>
      <c r="AP41" s="68"/>
      <c r="AQ41" s="48"/>
      <c r="AR41" s="4"/>
      <c r="AS41" s="46"/>
      <c r="AT41" s="46"/>
      <c r="AU41" s="70"/>
      <c r="AV41" s="71"/>
      <c r="AW41" s="71"/>
      <c r="AX41" s="1"/>
      <c r="AY41" s="1"/>
      <c r="AZ41" s="59"/>
      <c r="BO41" s="38"/>
    </row>
    <row r="42" spans="1:67" ht="13.8">
      <c r="B42" s="38"/>
      <c r="C42" s="63"/>
      <c r="D42" s="80"/>
      <c r="E42" s="81"/>
      <c r="F42" s="81"/>
      <c r="G42" s="81"/>
      <c r="H42" s="81"/>
      <c r="I42" s="82"/>
      <c r="J42" s="38"/>
      <c r="K42" s="65"/>
      <c r="L42" s="83"/>
      <c r="M42" s="66"/>
      <c r="N42" s="4"/>
      <c r="O42" s="46"/>
      <c r="P42" s="46"/>
      <c r="Q42" s="67"/>
      <c r="R42" s="221"/>
      <c r="S42" s="48"/>
      <c r="T42" s="69"/>
      <c r="U42" s="47"/>
      <c r="V42" s="46"/>
      <c r="W42" s="67"/>
      <c r="X42" s="68"/>
      <c r="Y42" s="48"/>
      <c r="Z42" s="4"/>
      <c r="AA42" s="46"/>
      <c r="AB42" s="46"/>
      <c r="AC42" s="67"/>
      <c r="AD42" s="68"/>
      <c r="AE42" s="48"/>
      <c r="AF42" s="4"/>
      <c r="AG42" s="46"/>
      <c r="AH42" s="46"/>
      <c r="AI42" s="67"/>
      <c r="AJ42" s="68"/>
      <c r="AK42" s="48"/>
      <c r="AL42" s="4"/>
      <c r="AM42" s="46"/>
      <c r="AN42" s="46"/>
      <c r="AO42" s="67"/>
      <c r="AP42" s="68"/>
      <c r="AQ42" s="48"/>
      <c r="AR42" s="4"/>
      <c r="AS42" s="46"/>
      <c r="AT42" s="46"/>
      <c r="AU42" s="70"/>
      <c r="AV42" s="71"/>
      <c r="AW42" s="71"/>
      <c r="AX42" s="1"/>
      <c r="AY42" s="1"/>
      <c r="AZ42" s="59"/>
      <c r="BO42" s="38"/>
    </row>
    <row r="43" spans="1:67" ht="13.8">
      <c r="B43" s="38"/>
      <c r="C43" s="63"/>
      <c r="D43" s="80"/>
      <c r="E43" s="81"/>
      <c r="F43" s="81"/>
      <c r="G43" s="81"/>
      <c r="H43" s="81"/>
      <c r="I43" s="82"/>
      <c r="J43" s="38"/>
      <c r="K43" s="65"/>
      <c r="L43" s="83"/>
      <c r="M43" s="66"/>
      <c r="N43" s="4"/>
      <c r="O43" s="46"/>
      <c r="P43" s="46"/>
      <c r="Q43" s="67"/>
      <c r="R43" s="221"/>
      <c r="S43" s="48"/>
      <c r="T43" s="69"/>
      <c r="U43" s="47"/>
      <c r="V43" s="46"/>
      <c r="W43" s="67"/>
      <c r="X43" s="68"/>
      <c r="Y43" s="48"/>
      <c r="Z43" s="4"/>
      <c r="AA43" s="46"/>
      <c r="AB43" s="46"/>
      <c r="AC43" s="67"/>
      <c r="AD43" s="68"/>
      <c r="AE43" s="48"/>
      <c r="AF43" s="4"/>
      <c r="AG43" s="46"/>
      <c r="AH43" s="46"/>
      <c r="AI43" s="67"/>
      <c r="AJ43" s="68"/>
      <c r="AK43" s="48"/>
      <c r="AL43" s="4"/>
      <c r="AM43" s="46"/>
      <c r="AN43" s="46"/>
      <c r="AO43" s="67"/>
      <c r="AP43" s="68"/>
      <c r="AQ43" s="48"/>
      <c r="AR43" s="4"/>
      <c r="AS43" s="46"/>
      <c r="AT43" s="46"/>
      <c r="AU43" s="70"/>
      <c r="AV43" s="71"/>
      <c r="AW43" s="71"/>
      <c r="AX43" s="1"/>
      <c r="AY43" s="1"/>
      <c r="AZ43" s="59"/>
      <c r="BO43" s="38"/>
    </row>
    <row r="44" spans="1:67" ht="13.8">
      <c r="B44" s="38"/>
      <c r="C44" s="63"/>
      <c r="D44" s="80"/>
      <c r="E44" s="81"/>
      <c r="F44" s="81"/>
      <c r="G44" s="81"/>
      <c r="H44" s="81"/>
      <c r="I44" s="82"/>
      <c r="J44" s="38"/>
      <c r="K44" s="65"/>
      <c r="L44" s="83"/>
      <c r="M44" s="66"/>
      <c r="N44" s="4"/>
      <c r="O44" s="46"/>
      <c r="P44" s="46"/>
      <c r="Q44" s="67"/>
      <c r="R44" s="221"/>
      <c r="S44" s="48"/>
      <c r="T44" s="69"/>
      <c r="U44" s="47"/>
      <c r="V44" s="46"/>
      <c r="W44" s="67"/>
      <c r="X44" s="68"/>
      <c r="Y44" s="48"/>
      <c r="Z44" s="4"/>
      <c r="AA44" s="46"/>
      <c r="AB44" s="46"/>
      <c r="AC44" s="67"/>
      <c r="AD44" s="68"/>
      <c r="AE44" s="48"/>
      <c r="AF44" s="4"/>
      <c r="AG44" s="46"/>
      <c r="AH44" s="46"/>
      <c r="AI44" s="67"/>
      <c r="AJ44" s="68"/>
      <c r="AK44" s="48"/>
      <c r="AL44" s="4"/>
      <c r="AM44" s="46"/>
      <c r="AN44" s="46"/>
      <c r="AO44" s="67"/>
      <c r="AP44" s="68"/>
      <c r="AQ44" s="48"/>
      <c r="AR44" s="4"/>
      <c r="AS44" s="46"/>
      <c r="AT44" s="46"/>
      <c r="AU44" s="70"/>
      <c r="AV44" s="71"/>
      <c r="AW44" s="71"/>
      <c r="AX44" s="1"/>
      <c r="AY44" s="1"/>
      <c r="AZ44" s="59"/>
      <c r="BO44" s="38"/>
    </row>
    <row r="45" spans="1:67" ht="13.8">
      <c r="B45" s="38"/>
      <c r="C45" s="63"/>
      <c r="D45" s="80"/>
      <c r="E45" s="81"/>
      <c r="F45" s="81"/>
      <c r="G45" s="81"/>
      <c r="H45" s="81"/>
      <c r="I45" s="82"/>
      <c r="J45" s="38"/>
      <c r="K45" s="65"/>
      <c r="L45" s="83"/>
      <c r="M45" s="66"/>
      <c r="N45" s="4"/>
      <c r="O45" s="46"/>
      <c r="P45" s="46"/>
      <c r="Q45" s="67"/>
      <c r="R45" s="221"/>
      <c r="S45" s="48"/>
      <c r="T45" s="69"/>
      <c r="U45" s="47"/>
      <c r="V45" s="46"/>
      <c r="W45" s="67"/>
      <c r="X45" s="68"/>
      <c r="Y45" s="48"/>
      <c r="Z45" s="4"/>
      <c r="AA45" s="46"/>
      <c r="AB45" s="46"/>
      <c r="AC45" s="67"/>
      <c r="AD45" s="68"/>
      <c r="AE45" s="48"/>
      <c r="AF45" s="4"/>
      <c r="AG45" s="46"/>
      <c r="AH45" s="46"/>
      <c r="AI45" s="67"/>
      <c r="AJ45" s="68"/>
      <c r="AK45" s="48"/>
      <c r="AL45" s="4"/>
      <c r="AM45" s="46"/>
      <c r="AN45" s="46"/>
      <c r="AO45" s="67"/>
      <c r="AP45" s="68"/>
      <c r="AQ45" s="48"/>
      <c r="AR45" s="4"/>
      <c r="AS45" s="46"/>
      <c r="AT45" s="46"/>
      <c r="AU45" s="70"/>
      <c r="AV45" s="71"/>
      <c r="AW45" s="71"/>
      <c r="AX45" s="1"/>
      <c r="AY45" s="1"/>
      <c r="AZ45" s="59"/>
      <c r="BO45" s="38"/>
    </row>
    <row r="46" spans="1:67" ht="13.8">
      <c r="B46" s="38"/>
      <c r="C46" s="63"/>
      <c r="D46" s="80"/>
      <c r="E46" s="81"/>
      <c r="F46" s="81"/>
      <c r="G46" s="81"/>
      <c r="H46" s="81"/>
      <c r="I46" s="82"/>
      <c r="J46" s="38"/>
      <c r="K46" s="65"/>
      <c r="L46" s="83"/>
      <c r="M46" s="66"/>
      <c r="N46" s="4"/>
      <c r="O46" s="46"/>
      <c r="P46" s="46"/>
      <c r="Q46" s="67"/>
      <c r="R46" s="221"/>
      <c r="S46" s="48"/>
      <c r="T46" s="69"/>
      <c r="U46" s="47"/>
      <c r="V46" s="46"/>
      <c r="W46" s="67"/>
      <c r="X46" s="68"/>
      <c r="Y46" s="48"/>
      <c r="Z46" s="4"/>
      <c r="AA46" s="46"/>
      <c r="AB46" s="46"/>
      <c r="AC46" s="67"/>
      <c r="AD46" s="68"/>
      <c r="AE46" s="48"/>
      <c r="AF46" s="4"/>
      <c r="AG46" s="46"/>
      <c r="AH46" s="46"/>
      <c r="AI46" s="67"/>
      <c r="AJ46" s="68"/>
      <c r="AK46" s="48"/>
      <c r="AL46" s="4"/>
      <c r="AM46" s="46"/>
      <c r="AN46" s="46"/>
      <c r="AO46" s="67"/>
      <c r="AP46" s="68"/>
      <c r="AQ46" s="48"/>
      <c r="AR46" s="4"/>
      <c r="AS46" s="46"/>
      <c r="AT46" s="46"/>
      <c r="AU46" s="70"/>
      <c r="AV46" s="71"/>
      <c r="AW46" s="71"/>
      <c r="AX46" s="1"/>
      <c r="AY46" s="1"/>
      <c r="AZ46" s="59"/>
      <c r="BO46" s="38"/>
    </row>
    <row r="47" spans="1:67" ht="13.8">
      <c r="B47" s="38"/>
      <c r="C47" s="63"/>
      <c r="D47" s="80"/>
      <c r="E47" s="81"/>
      <c r="F47" s="81"/>
      <c r="G47" s="81"/>
      <c r="H47" s="81"/>
      <c r="I47" s="82"/>
      <c r="J47" s="38"/>
      <c r="K47" s="65"/>
      <c r="L47" s="83"/>
      <c r="M47" s="66"/>
      <c r="N47" s="4"/>
      <c r="O47" s="46"/>
      <c r="P47" s="46"/>
      <c r="Q47" s="67"/>
      <c r="R47" s="221"/>
      <c r="S47" s="48"/>
      <c r="T47" s="69"/>
      <c r="U47" s="47"/>
      <c r="V47" s="46"/>
      <c r="W47" s="67"/>
      <c r="X47" s="68"/>
      <c r="Y47" s="48"/>
      <c r="Z47" s="4"/>
      <c r="AA47" s="46"/>
      <c r="AB47" s="46"/>
      <c r="AC47" s="67"/>
      <c r="AD47" s="68"/>
      <c r="AE47" s="48"/>
      <c r="AF47" s="4"/>
      <c r="AG47" s="46"/>
      <c r="AH47" s="46"/>
      <c r="AI47" s="67"/>
      <c r="AJ47" s="68"/>
      <c r="AK47" s="48"/>
      <c r="AL47" s="4"/>
      <c r="AM47" s="46"/>
      <c r="AN47" s="46"/>
      <c r="AO47" s="67"/>
      <c r="AP47" s="68"/>
      <c r="AQ47" s="48"/>
      <c r="AR47" s="4"/>
      <c r="AS47" s="46"/>
      <c r="AT47" s="46"/>
      <c r="AU47" s="70"/>
      <c r="AV47" s="71"/>
      <c r="AW47" s="71"/>
      <c r="AX47" s="1"/>
      <c r="AY47" s="1"/>
      <c r="AZ47" s="59"/>
      <c r="BO47" s="38"/>
    </row>
    <row r="48" spans="1:67" ht="13.8">
      <c r="B48" s="38"/>
      <c r="C48" s="63"/>
      <c r="D48" s="80"/>
      <c r="E48" s="81"/>
      <c r="F48" s="81"/>
      <c r="G48" s="81"/>
      <c r="H48" s="81"/>
      <c r="I48" s="82"/>
      <c r="J48" s="38"/>
      <c r="K48" s="65"/>
      <c r="L48" s="83"/>
      <c r="M48" s="66"/>
      <c r="N48" s="4"/>
      <c r="O48" s="46"/>
      <c r="P48" s="46"/>
      <c r="Q48" s="67"/>
      <c r="R48" s="221"/>
      <c r="S48" s="48"/>
      <c r="T48" s="69"/>
      <c r="U48" s="47"/>
      <c r="V48" s="46"/>
      <c r="W48" s="67"/>
      <c r="X48" s="68"/>
      <c r="Y48" s="48"/>
      <c r="Z48" s="4"/>
      <c r="AA48" s="46"/>
      <c r="AB48" s="46"/>
      <c r="AC48" s="67"/>
      <c r="AD48" s="68"/>
      <c r="AE48" s="48"/>
      <c r="AF48" s="4"/>
      <c r="AG48" s="46"/>
      <c r="AH48" s="46"/>
      <c r="AI48" s="67"/>
      <c r="AJ48" s="68"/>
      <c r="AK48" s="48"/>
      <c r="AL48" s="4"/>
      <c r="AM48" s="46"/>
      <c r="AN48" s="46"/>
      <c r="AO48" s="67"/>
      <c r="AP48" s="68"/>
      <c r="AQ48" s="48"/>
      <c r="AR48" s="4"/>
      <c r="AS48" s="46"/>
      <c r="AT48" s="46"/>
      <c r="AU48" s="70"/>
      <c r="AV48" s="71"/>
      <c r="AW48" s="71"/>
      <c r="AX48" s="1"/>
      <c r="AY48" s="1"/>
      <c r="AZ48" s="59"/>
      <c r="BO48" s="38"/>
    </row>
    <row r="49" spans="2:67" ht="13.8">
      <c r="B49" s="38"/>
      <c r="C49" s="63"/>
      <c r="D49" s="80"/>
      <c r="E49" s="81"/>
      <c r="F49" s="81"/>
      <c r="G49" s="81"/>
      <c r="H49" s="81"/>
      <c r="I49" s="82"/>
      <c r="J49" s="38"/>
      <c r="K49" s="65"/>
      <c r="L49" s="83"/>
      <c r="M49" s="66"/>
      <c r="N49" s="4"/>
      <c r="O49" s="46"/>
      <c r="P49" s="46"/>
      <c r="Q49" s="67"/>
      <c r="R49" s="221"/>
      <c r="S49" s="48"/>
      <c r="T49" s="69"/>
      <c r="U49" s="47"/>
      <c r="V49" s="46"/>
      <c r="W49" s="67"/>
      <c r="X49" s="68"/>
      <c r="Y49" s="48"/>
      <c r="Z49" s="4"/>
      <c r="AA49" s="46"/>
      <c r="AB49" s="46"/>
      <c r="AC49" s="67"/>
      <c r="AD49" s="68"/>
      <c r="AE49" s="48"/>
      <c r="AF49" s="4"/>
      <c r="AG49" s="46"/>
      <c r="AH49" s="46"/>
      <c r="AI49" s="67"/>
      <c r="AJ49" s="68"/>
      <c r="AK49" s="48"/>
      <c r="AL49" s="4"/>
      <c r="AM49" s="46"/>
      <c r="AN49" s="46"/>
      <c r="AO49" s="67"/>
      <c r="AP49" s="68"/>
      <c r="AQ49" s="48"/>
      <c r="AR49" s="4"/>
      <c r="AS49" s="46"/>
      <c r="AT49" s="46"/>
      <c r="AU49" s="70"/>
      <c r="AV49" s="71"/>
      <c r="AW49" s="71"/>
      <c r="AX49" s="1"/>
      <c r="AY49" s="1"/>
      <c r="AZ49" s="59"/>
      <c r="BO49" s="38"/>
    </row>
    <row r="50" spans="2:67" ht="13.8">
      <c r="B50" s="38"/>
      <c r="C50" s="63"/>
      <c r="D50" s="80"/>
      <c r="E50" s="81"/>
      <c r="F50" s="81"/>
      <c r="G50" s="81"/>
      <c r="H50" s="81"/>
      <c r="I50" s="82"/>
      <c r="J50" s="38"/>
      <c r="K50" s="65"/>
      <c r="L50" s="83"/>
      <c r="M50" s="66"/>
      <c r="N50" s="4"/>
      <c r="O50" s="46"/>
      <c r="P50" s="46"/>
      <c r="Q50" s="67"/>
      <c r="R50" s="221"/>
      <c r="S50" s="48"/>
      <c r="T50" s="69"/>
      <c r="U50" s="47"/>
      <c r="V50" s="46"/>
      <c r="W50" s="67"/>
      <c r="X50" s="68"/>
      <c r="Y50" s="48"/>
      <c r="Z50" s="4"/>
      <c r="AA50" s="46"/>
      <c r="AB50" s="46"/>
      <c r="AC50" s="67"/>
      <c r="AD50" s="68"/>
      <c r="AE50" s="48"/>
      <c r="AF50" s="4"/>
      <c r="AG50" s="46"/>
      <c r="AH50" s="46"/>
      <c r="AI50" s="67"/>
      <c r="AJ50" s="68"/>
      <c r="AK50" s="48"/>
      <c r="AL50" s="4"/>
      <c r="AM50" s="46"/>
      <c r="AN50" s="46"/>
      <c r="AO50" s="67"/>
      <c r="AP50" s="68"/>
      <c r="AQ50" s="48"/>
      <c r="AR50" s="4"/>
      <c r="AS50" s="46"/>
      <c r="AT50" s="46"/>
      <c r="AU50" s="70"/>
      <c r="AV50" s="71"/>
      <c r="AW50" s="71"/>
      <c r="AX50" s="1"/>
      <c r="AY50" s="1"/>
      <c r="AZ50" s="59"/>
      <c r="BO50" s="38"/>
    </row>
    <row r="51" spans="2:67" ht="13.8">
      <c r="B51" s="38"/>
      <c r="C51" s="63"/>
      <c r="D51" s="80"/>
      <c r="E51" s="81"/>
      <c r="F51" s="81"/>
      <c r="G51" s="81"/>
      <c r="H51" s="81"/>
      <c r="I51" s="82"/>
      <c r="J51" s="38"/>
      <c r="K51" s="65"/>
      <c r="L51" s="83"/>
      <c r="M51" s="66"/>
      <c r="N51" s="4"/>
      <c r="O51" s="46"/>
      <c r="P51" s="46"/>
      <c r="Q51" s="67"/>
      <c r="R51" s="221"/>
      <c r="S51" s="48"/>
      <c r="T51" s="69"/>
      <c r="U51" s="47"/>
      <c r="V51" s="46"/>
      <c r="W51" s="67"/>
      <c r="X51" s="68"/>
      <c r="Y51" s="48"/>
      <c r="Z51" s="4"/>
      <c r="AA51" s="46"/>
      <c r="AB51" s="46"/>
      <c r="AC51" s="67"/>
      <c r="AD51" s="68"/>
      <c r="AE51" s="48"/>
      <c r="AF51" s="4"/>
      <c r="AG51" s="46"/>
      <c r="AH51" s="46"/>
      <c r="AI51" s="67"/>
      <c r="AJ51" s="68"/>
      <c r="AK51" s="48"/>
      <c r="AL51" s="4"/>
      <c r="AM51" s="46"/>
      <c r="AN51" s="46"/>
      <c r="AO51" s="67"/>
      <c r="AP51" s="68"/>
      <c r="AQ51" s="48"/>
      <c r="AR51" s="4"/>
      <c r="AS51" s="46"/>
      <c r="AT51" s="46"/>
      <c r="AU51" s="70"/>
      <c r="AV51" s="71"/>
      <c r="AW51" s="71"/>
      <c r="AX51" s="1"/>
      <c r="AY51" s="1"/>
      <c r="AZ51" s="59"/>
      <c r="BO51" s="38"/>
    </row>
    <row r="52" spans="2:67" ht="13.8">
      <c r="B52" s="38"/>
      <c r="C52" s="63"/>
      <c r="D52" s="80"/>
      <c r="E52" s="81"/>
      <c r="F52" s="81"/>
      <c r="G52" s="81"/>
      <c r="H52" s="81"/>
      <c r="I52" s="82"/>
      <c r="J52" s="38"/>
      <c r="K52" s="65"/>
      <c r="L52" s="83"/>
      <c r="M52" s="66"/>
      <c r="N52" s="4"/>
      <c r="O52" s="46"/>
      <c r="P52" s="46"/>
      <c r="Q52" s="67"/>
      <c r="R52" s="221"/>
      <c r="S52" s="48"/>
      <c r="T52" s="69"/>
      <c r="U52" s="47"/>
      <c r="V52" s="46"/>
      <c r="W52" s="67"/>
      <c r="X52" s="68"/>
      <c r="Y52" s="48"/>
      <c r="Z52" s="4"/>
      <c r="AA52" s="46"/>
      <c r="AB52" s="46"/>
      <c r="AC52" s="67"/>
      <c r="AD52" s="68"/>
      <c r="AE52" s="48"/>
      <c r="AF52" s="4"/>
      <c r="AG52" s="46"/>
      <c r="AH52" s="46"/>
      <c r="AI52" s="67"/>
      <c r="AJ52" s="68"/>
      <c r="AK52" s="48"/>
      <c r="AL52" s="4"/>
      <c r="AM52" s="46"/>
      <c r="AN52" s="46"/>
      <c r="AO52" s="67"/>
      <c r="AP52" s="68"/>
      <c r="AQ52" s="48"/>
      <c r="AR52" s="4"/>
      <c r="AS52" s="46"/>
      <c r="AT52" s="46"/>
      <c r="AU52" s="70"/>
      <c r="AV52" s="71"/>
      <c r="AW52" s="71"/>
      <c r="AX52" s="1"/>
      <c r="AY52" s="1"/>
      <c r="AZ52" s="59"/>
      <c r="BO52" s="38"/>
    </row>
    <row r="53" spans="2:67" ht="13.8">
      <c r="B53" s="38"/>
      <c r="C53" s="63"/>
      <c r="D53" s="80"/>
      <c r="E53" s="81"/>
      <c r="F53" s="81"/>
      <c r="G53" s="81"/>
      <c r="H53" s="81"/>
      <c r="I53" s="82"/>
      <c r="J53" s="38"/>
      <c r="K53" s="65"/>
      <c r="L53" s="83"/>
      <c r="M53" s="66"/>
      <c r="N53" s="4"/>
      <c r="O53" s="46"/>
      <c r="P53" s="46"/>
      <c r="Q53" s="67"/>
      <c r="R53" s="221"/>
      <c r="S53" s="48"/>
      <c r="T53" s="69"/>
      <c r="U53" s="47"/>
      <c r="V53" s="46"/>
      <c r="W53" s="67"/>
      <c r="X53" s="68"/>
      <c r="Y53" s="48"/>
      <c r="Z53" s="4"/>
      <c r="AA53" s="46"/>
      <c r="AB53" s="46"/>
      <c r="AC53" s="67"/>
      <c r="AD53" s="68"/>
      <c r="AE53" s="48"/>
      <c r="AF53" s="4"/>
      <c r="AG53" s="46"/>
      <c r="AH53" s="46"/>
      <c r="AI53" s="67"/>
      <c r="AJ53" s="68"/>
      <c r="AK53" s="48"/>
      <c r="AL53" s="4"/>
      <c r="AM53" s="46"/>
      <c r="AN53" s="46"/>
      <c r="AO53" s="67"/>
      <c r="AP53" s="68"/>
      <c r="AQ53" s="48"/>
      <c r="AR53" s="4"/>
      <c r="AS53" s="46"/>
      <c r="AT53" s="46"/>
      <c r="AU53" s="70"/>
      <c r="AV53" s="71"/>
      <c r="AW53" s="71"/>
      <c r="AX53" s="1"/>
      <c r="AY53" s="1"/>
      <c r="AZ53" s="59"/>
      <c r="BO53" s="38"/>
    </row>
    <row r="54" spans="2:67" ht="13.8">
      <c r="B54" s="38"/>
      <c r="C54" s="63"/>
      <c r="D54" s="80"/>
      <c r="E54" s="81"/>
      <c r="F54" s="81"/>
      <c r="G54" s="81"/>
      <c r="H54" s="81"/>
      <c r="I54" s="82"/>
      <c r="J54" s="38"/>
      <c r="K54" s="65"/>
      <c r="L54" s="83"/>
      <c r="M54" s="66"/>
      <c r="N54" s="4"/>
      <c r="O54" s="46"/>
      <c r="P54" s="46"/>
      <c r="Q54" s="67"/>
      <c r="R54" s="221"/>
      <c r="S54" s="48"/>
      <c r="T54" s="69"/>
      <c r="U54" s="47"/>
      <c r="V54" s="46"/>
      <c r="W54" s="67"/>
      <c r="X54" s="68"/>
      <c r="Y54" s="48"/>
      <c r="Z54" s="4"/>
      <c r="AA54" s="46"/>
      <c r="AB54" s="46"/>
      <c r="AC54" s="67"/>
      <c r="AD54" s="68"/>
      <c r="AE54" s="48"/>
      <c r="AF54" s="4"/>
      <c r="AG54" s="46"/>
      <c r="AH54" s="46"/>
      <c r="AI54" s="67"/>
      <c r="AJ54" s="68"/>
      <c r="AK54" s="48"/>
      <c r="AL54" s="4"/>
      <c r="AM54" s="46"/>
      <c r="AN54" s="46"/>
      <c r="AO54" s="67"/>
      <c r="AP54" s="68"/>
      <c r="AQ54" s="48"/>
      <c r="AR54" s="4"/>
      <c r="AS54" s="46"/>
      <c r="AT54" s="46"/>
      <c r="AU54" s="70"/>
      <c r="AV54" s="71"/>
      <c r="AW54" s="71"/>
      <c r="AX54" s="1"/>
      <c r="AY54" s="1"/>
      <c r="AZ54" s="59"/>
      <c r="BO54" s="38"/>
    </row>
    <row r="55" spans="2:67" ht="13.8">
      <c r="B55" s="38"/>
      <c r="C55" s="63"/>
      <c r="D55" s="80"/>
      <c r="E55" s="81"/>
      <c r="F55" s="81"/>
      <c r="G55" s="81"/>
      <c r="H55" s="81"/>
      <c r="I55" s="82"/>
      <c r="J55" s="38"/>
      <c r="K55" s="65"/>
      <c r="L55" s="83"/>
      <c r="M55" s="66"/>
      <c r="N55" s="4"/>
      <c r="O55" s="46"/>
      <c r="P55" s="46"/>
      <c r="Q55" s="67"/>
      <c r="R55" s="221"/>
      <c r="S55" s="48"/>
      <c r="T55" s="69"/>
      <c r="U55" s="47"/>
      <c r="V55" s="46"/>
      <c r="W55" s="67"/>
      <c r="X55" s="68"/>
      <c r="Y55" s="48"/>
      <c r="Z55" s="4"/>
      <c r="AA55" s="46"/>
      <c r="AB55" s="46"/>
      <c r="AC55" s="67"/>
      <c r="AD55" s="68"/>
      <c r="AE55" s="48"/>
      <c r="AF55" s="4"/>
      <c r="AG55" s="46"/>
      <c r="AH55" s="46"/>
      <c r="AI55" s="67"/>
      <c r="AJ55" s="68"/>
      <c r="AK55" s="48"/>
      <c r="AL55" s="4"/>
      <c r="AM55" s="46"/>
      <c r="AN55" s="46"/>
      <c r="AO55" s="67"/>
      <c r="AP55" s="68"/>
      <c r="AQ55" s="48"/>
      <c r="AR55" s="4"/>
      <c r="AS55" s="46"/>
      <c r="AT55" s="46"/>
      <c r="AU55" s="70"/>
      <c r="AV55" s="71"/>
      <c r="AW55" s="71"/>
      <c r="AX55" s="1"/>
      <c r="AY55" s="1"/>
      <c r="AZ55" s="59"/>
      <c r="BO55" s="38"/>
    </row>
    <row r="56" spans="2:67" ht="13.8">
      <c r="B56" s="38"/>
      <c r="C56" s="63"/>
      <c r="D56" s="80"/>
      <c r="E56" s="81"/>
      <c r="F56" s="81"/>
      <c r="G56" s="81"/>
      <c r="H56" s="81"/>
      <c r="I56" s="82"/>
      <c r="J56" s="38"/>
      <c r="K56" s="65"/>
      <c r="L56" s="83"/>
      <c r="M56" s="66"/>
      <c r="N56" s="4"/>
      <c r="O56" s="46"/>
      <c r="P56" s="46"/>
      <c r="Q56" s="67"/>
      <c r="R56" s="221"/>
      <c r="S56" s="48"/>
      <c r="T56" s="69"/>
      <c r="U56" s="47"/>
      <c r="V56" s="46"/>
      <c r="W56" s="67"/>
      <c r="X56" s="68"/>
      <c r="Y56" s="48"/>
      <c r="Z56" s="4"/>
      <c r="AA56" s="46"/>
      <c r="AB56" s="46"/>
      <c r="AC56" s="67"/>
      <c r="AD56" s="68"/>
      <c r="AE56" s="48"/>
      <c r="AF56" s="4"/>
      <c r="AG56" s="46"/>
      <c r="AH56" s="46"/>
      <c r="AI56" s="67"/>
      <c r="AJ56" s="68"/>
      <c r="AK56" s="48"/>
      <c r="AL56" s="4"/>
      <c r="AM56" s="46"/>
      <c r="AN56" s="46"/>
      <c r="AO56" s="67"/>
      <c r="AP56" s="68"/>
      <c r="AQ56" s="48"/>
      <c r="AR56" s="4"/>
      <c r="AS56" s="46"/>
      <c r="AT56" s="46"/>
      <c r="AU56" s="70"/>
      <c r="AV56" s="71"/>
      <c r="AW56" s="71"/>
      <c r="AX56" s="1"/>
      <c r="AY56" s="1"/>
      <c r="AZ56" s="59"/>
      <c r="BO56" s="38"/>
    </row>
    <row r="57" spans="2:67" ht="13.8">
      <c r="B57" s="38"/>
      <c r="C57" s="63"/>
      <c r="D57" s="80"/>
      <c r="E57" s="81"/>
      <c r="F57" s="81"/>
      <c r="G57" s="81"/>
      <c r="H57" s="81"/>
      <c r="I57" s="82"/>
      <c r="J57" s="38"/>
      <c r="K57" s="65"/>
      <c r="L57" s="83"/>
      <c r="M57" s="66"/>
      <c r="N57" s="4"/>
      <c r="O57" s="46"/>
      <c r="P57" s="46"/>
      <c r="Q57" s="67"/>
      <c r="R57" s="221"/>
      <c r="S57" s="48"/>
      <c r="T57" s="69"/>
      <c r="U57" s="47"/>
      <c r="V57" s="46"/>
      <c r="W57" s="67"/>
      <c r="X57" s="68"/>
      <c r="Y57" s="48"/>
      <c r="Z57" s="4"/>
      <c r="AA57" s="46"/>
      <c r="AB57" s="46"/>
      <c r="AC57" s="67"/>
      <c r="AD57" s="68"/>
      <c r="AE57" s="48"/>
      <c r="AF57" s="4"/>
      <c r="AG57" s="46"/>
      <c r="AH57" s="46"/>
      <c r="AI57" s="67"/>
      <c r="AJ57" s="68"/>
      <c r="AK57" s="48"/>
      <c r="AL57" s="4"/>
      <c r="AM57" s="46"/>
      <c r="AN57" s="46"/>
      <c r="AO57" s="67"/>
      <c r="AP57" s="68"/>
      <c r="AQ57" s="48"/>
      <c r="AR57" s="4"/>
      <c r="AS57" s="46"/>
      <c r="AT57" s="46"/>
      <c r="AU57" s="70"/>
      <c r="AV57" s="71"/>
      <c r="AW57" s="71"/>
      <c r="AX57" s="1"/>
      <c r="AY57" s="1"/>
      <c r="AZ57" s="59"/>
      <c r="BO57" s="38"/>
    </row>
    <row r="58" spans="2:67" ht="13.8">
      <c r="B58" s="38"/>
      <c r="C58" s="63"/>
      <c r="D58" s="80"/>
      <c r="E58" s="81"/>
      <c r="F58" s="81"/>
      <c r="G58" s="81"/>
      <c r="H58" s="81"/>
      <c r="I58" s="82"/>
      <c r="J58" s="38"/>
      <c r="K58" s="65"/>
      <c r="L58" s="83"/>
      <c r="M58" s="66"/>
      <c r="N58" s="4"/>
      <c r="O58" s="46"/>
      <c r="P58" s="46"/>
      <c r="Q58" s="67"/>
      <c r="R58" s="221"/>
      <c r="S58" s="48"/>
      <c r="T58" s="69"/>
      <c r="U58" s="47"/>
      <c r="V58" s="46"/>
      <c r="W58" s="67"/>
      <c r="X58" s="68"/>
      <c r="Y58" s="48"/>
      <c r="Z58" s="4"/>
      <c r="AA58" s="46"/>
      <c r="AB58" s="46"/>
      <c r="AC58" s="67"/>
      <c r="AD58" s="68"/>
      <c r="AE58" s="48"/>
      <c r="AF58" s="4"/>
      <c r="AG58" s="46"/>
      <c r="AH58" s="46"/>
      <c r="AI58" s="67"/>
      <c r="AJ58" s="68"/>
      <c r="AK58" s="48"/>
      <c r="AL58" s="4"/>
      <c r="AM58" s="46"/>
      <c r="AN58" s="46"/>
      <c r="AO58" s="67"/>
      <c r="AP58" s="68"/>
      <c r="AQ58" s="48"/>
      <c r="AR58" s="4"/>
      <c r="AS58" s="46"/>
      <c r="AT58" s="46"/>
      <c r="AU58" s="70"/>
      <c r="AV58" s="71"/>
      <c r="AW58" s="71"/>
      <c r="AX58" s="1"/>
      <c r="AY58" s="1"/>
      <c r="AZ58" s="59"/>
      <c r="BO58" s="38"/>
    </row>
    <row r="59" spans="2:67" ht="13.8">
      <c r="B59" s="38"/>
      <c r="C59" s="63"/>
      <c r="D59" s="80"/>
      <c r="E59" s="81"/>
      <c r="F59" s="81"/>
      <c r="G59" s="81"/>
      <c r="H59" s="81"/>
      <c r="I59" s="82"/>
      <c r="J59" s="38"/>
      <c r="K59" s="65"/>
      <c r="L59" s="83"/>
      <c r="M59" s="66"/>
      <c r="N59" s="4"/>
      <c r="O59" s="46"/>
      <c r="P59" s="46"/>
      <c r="Q59" s="67"/>
      <c r="R59" s="221"/>
      <c r="S59" s="48"/>
      <c r="T59" s="69"/>
      <c r="U59" s="47"/>
      <c r="V59" s="46"/>
      <c r="W59" s="67"/>
      <c r="X59" s="68"/>
      <c r="Y59" s="48"/>
      <c r="Z59" s="4"/>
      <c r="AA59" s="46"/>
      <c r="AB59" s="46"/>
      <c r="AC59" s="67"/>
      <c r="AD59" s="68"/>
      <c r="AE59" s="48"/>
      <c r="AF59" s="4"/>
      <c r="AG59" s="46"/>
      <c r="AH59" s="46"/>
      <c r="AI59" s="67"/>
      <c r="AJ59" s="68"/>
      <c r="AK59" s="48"/>
      <c r="AL59" s="4"/>
      <c r="AM59" s="46"/>
      <c r="AN59" s="46"/>
      <c r="AO59" s="67"/>
      <c r="AP59" s="68"/>
      <c r="AQ59" s="48"/>
      <c r="AR59" s="4"/>
      <c r="AS59" s="46"/>
      <c r="AT59" s="46"/>
      <c r="AU59" s="70"/>
      <c r="AV59" s="71"/>
      <c r="AW59" s="71"/>
      <c r="AX59" s="1"/>
      <c r="AY59" s="1"/>
      <c r="AZ59" s="59"/>
      <c r="BO59" s="38"/>
    </row>
    <row r="60" spans="2:67" ht="13.8">
      <c r="B60" s="38"/>
      <c r="C60" s="63"/>
      <c r="D60" s="80"/>
      <c r="E60" s="81"/>
      <c r="F60" s="81"/>
      <c r="G60" s="81"/>
      <c r="H60" s="81"/>
      <c r="I60" s="82"/>
      <c r="J60" s="38"/>
      <c r="K60" s="65"/>
      <c r="L60" s="83"/>
      <c r="M60" s="66"/>
      <c r="N60" s="4"/>
      <c r="O60" s="46"/>
      <c r="P60" s="46"/>
      <c r="Q60" s="67"/>
      <c r="R60" s="221"/>
      <c r="S60" s="48"/>
      <c r="T60" s="69"/>
      <c r="U60" s="47"/>
      <c r="V60" s="46"/>
      <c r="W60" s="67"/>
      <c r="X60" s="68"/>
      <c r="Y60" s="48"/>
      <c r="Z60" s="4"/>
      <c r="AA60" s="46"/>
      <c r="AB60" s="46"/>
      <c r="AC60" s="67"/>
      <c r="AD60" s="68"/>
      <c r="AE60" s="48"/>
      <c r="AF60" s="4"/>
      <c r="AG60" s="46"/>
      <c r="AH60" s="46"/>
      <c r="AI60" s="67"/>
      <c r="AJ60" s="68"/>
      <c r="AK60" s="48"/>
      <c r="AL60" s="4"/>
      <c r="AM60" s="46"/>
      <c r="AN60" s="46"/>
      <c r="AO60" s="67"/>
      <c r="AP60" s="68"/>
      <c r="AQ60" s="48"/>
      <c r="AR60" s="4"/>
      <c r="AS60" s="46"/>
      <c r="AT60" s="46"/>
      <c r="AU60" s="70"/>
      <c r="AV60" s="71"/>
      <c r="AW60" s="71"/>
      <c r="AX60" s="1"/>
      <c r="AY60" s="1"/>
      <c r="AZ60" s="59"/>
      <c r="BO60" s="38"/>
    </row>
    <row r="61" spans="2:67" ht="13.8">
      <c r="B61" s="38"/>
      <c r="C61" s="63"/>
      <c r="D61" s="80"/>
      <c r="E61" s="81"/>
      <c r="F61" s="81"/>
      <c r="G61" s="81"/>
      <c r="H61" s="81"/>
      <c r="I61" s="82"/>
      <c r="J61" s="38"/>
      <c r="K61" s="65"/>
      <c r="L61" s="83"/>
      <c r="M61" s="66"/>
      <c r="N61" s="4"/>
      <c r="O61" s="46"/>
      <c r="P61" s="46"/>
      <c r="Q61" s="67"/>
      <c r="R61" s="221"/>
      <c r="S61" s="48"/>
      <c r="T61" s="69"/>
      <c r="U61" s="47"/>
      <c r="V61" s="46"/>
      <c r="W61" s="67"/>
      <c r="X61" s="68"/>
      <c r="Y61" s="48"/>
      <c r="Z61" s="4"/>
      <c r="AA61" s="46"/>
      <c r="AB61" s="46"/>
      <c r="AC61" s="67"/>
      <c r="AD61" s="68"/>
      <c r="AE61" s="48"/>
      <c r="AF61" s="4"/>
      <c r="AG61" s="46"/>
      <c r="AH61" s="46"/>
      <c r="AI61" s="67"/>
      <c r="AJ61" s="68"/>
      <c r="AK61" s="48"/>
      <c r="AL61" s="4"/>
      <c r="AM61" s="46"/>
      <c r="AN61" s="46"/>
      <c r="AO61" s="67"/>
      <c r="AP61" s="68"/>
      <c r="AQ61" s="48"/>
      <c r="AR61" s="4"/>
      <c r="AS61" s="46"/>
      <c r="AT61" s="46"/>
      <c r="AU61" s="70"/>
      <c r="AV61" s="71"/>
      <c r="AW61" s="71"/>
      <c r="AX61" s="1"/>
      <c r="AY61" s="1"/>
      <c r="AZ61" s="59"/>
      <c r="BO61" s="38"/>
    </row>
    <row r="62" spans="2:67" ht="13.8">
      <c r="B62" s="38"/>
      <c r="C62" s="63"/>
      <c r="D62" s="80"/>
      <c r="E62" s="81"/>
      <c r="F62" s="81"/>
      <c r="G62" s="81"/>
      <c r="H62" s="81"/>
      <c r="I62" s="82"/>
      <c r="J62" s="38"/>
      <c r="K62" s="65"/>
      <c r="L62" s="83"/>
      <c r="M62" s="66"/>
      <c r="N62" s="4"/>
      <c r="O62" s="46"/>
      <c r="P62" s="46"/>
      <c r="Q62" s="67"/>
      <c r="R62" s="221"/>
      <c r="S62" s="48"/>
      <c r="T62" s="69"/>
      <c r="U62" s="47"/>
      <c r="V62" s="46"/>
      <c r="W62" s="67"/>
      <c r="X62" s="68"/>
      <c r="Y62" s="48"/>
      <c r="Z62" s="4"/>
      <c r="AA62" s="46"/>
      <c r="AB62" s="46"/>
      <c r="AC62" s="67"/>
      <c r="AD62" s="68"/>
      <c r="AE62" s="48"/>
      <c r="AF62" s="4"/>
      <c r="AG62" s="46"/>
      <c r="AH62" s="46"/>
      <c r="AI62" s="67"/>
      <c r="AJ62" s="68"/>
      <c r="AK62" s="48"/>
      <c r="AL62" s="4"/>
      <c r="AM62" s="46"/>
      <c r="AN62" s="46"/>
      <c r="AO62" s="67"/>
      <c r="AP62" s="68"/>
      <c r="AQ62" s="48"/>
      <c r="AR62" s="4"/>
      <c r="AS62" s="46"/>
      <c r="AT62" s="46"/>
      <c r="AU62" s="70"/>
      <c r="AV62" s="71"/>
      <c r="AW62" s="71"/>
      <c r="AX62" s="1"/>
      <c r="AY62" s="1"/>
      <c r="AZ62" s="59"/>
      <c r="BO62" s="38"/>
    </row>
    <row r="63" spans="2:67" ht="13.8">
      <c r="B63" s="38"/>
      <c r="C63" s="63"/>
      <c r="D63" s="80"/>
      <c r="E63" s="81"/>
      <c r="F63" s="81"/>
      <c r="G63" s="81"/>
      <c r="H63" s="81"/>
      <c r="I63" s="82"/>
      <c r="J63" s="38"/>
      <c r="K63" s="65"/>
      <c r="L63" s="83"/>
      <c r="M63" s="66"/>
      <c r="N63" s="4"/>
      <c r="O63" s="46"/>
      <c r="P63" s="46"/>
      <c r="Q63" s="67"/>
      <c r="R63" s="221"/>
      <c r="S63" s="48"/>
      <c r="T63" s="69"/>
      <c r="U63" s="47"/>
      <c r="V63" s="46"/>
      <c r="W63" s="67"/>
      <c r="X63" s="68"/>
      <c r="Y63" s="48"/>
      <c r="Z63" s="4"/>
      <c r="AA63" s="46"/>
      <c r="AB63" s="46"/>
      <c r="AC63" s="67"/>
      <c r="AD63" s="68"/>
      <c r="AE63" s="48"/>
      <c r="AF63" s="4"/>
      <c r="AG63" s="46"/>
      <c r="AH63" s="46"/>
      <c r="AI63" s="67"/>
      <c r="AJ63" s="68"/>
      <c r="AK63" s="48"/>
      <c r="AL63" s="4"/>
      <c r="AM63" s="46"/>
      <c r="AN63" s="46"/>
      <c r="AO63" s="67"/>
      <c r="AP63" s="68"/>
      <c r="AQ63" s="48"/>
      <c r="AR63" s="4"/>
      <c r="AS63" s="46"/>
      <c r="AT63" s="46"/>
      <c r="AU63" s="70"/>
      <c r="AV63" s="71"/>
      <c r="AW63" s="71"/>
      <c r="AX63" s="1"/>
      <c r="AY63" s="1"/>
      <c r="AZ63" s="59"/>
      <c r="BO63" s="38"/>
    </row>
    <row r="64" spans="2:67" ht="13.8">
      <c r="B64" s="38"/>
      <c r="C64" s="63"/>
      <c r="D64" s="80"/>
      <c r="E64" s="81"/>
      <c r="F64" s="81"/>
      <c r="G64" s="81"/>
      <c r="H64" s="81"/>
      <c r="I64" s="82"/>
      <c r="J64" s="38"/>
      <c r="K64" s="65"/>
      <c r="L64" s="83"/>
      <c r="M64" s="66"/>
      <c r="N64" s="4"/>
      <c r="O64" s="46"/>
      <c r="P64" s="46"/>
      <c r="Q64" s="67"/>
      <c r="R64" s="221"/>
      <c r="S64" s="48"/>
      <c r="T64" s="69"/>
      <c r="U64" s="47"/>
      <c r="V64" s="46"/>
      <c r="W64" s="67"/>
      <c r="X64" s="68"/>
      <c r="Y64" s="48"/>
      <c r="Z64" s="4"/>
      <c r="AA64" s="46"/>
      <c r="AB64" s="46"/>
      <c r="AC64" s="67"/>
      <c r="AD64" s="68"/>
      <c r="AE64" s="48"/>
      <c r="AF64" s="4"/>
      <c r="AG64" s="46"/>
      <c r="AH64" s="46"/>
      <c r="AI64" s="67"/>
      <c r="AJ64" s="68"/>
      <c r="AK64" s="48"/>
      <c r="AL64" s="4"/>
      <c r="AM64" s="46"/>
      <c r="AN64" s="46"/>
      <c r="AO64" s="67"/>
      <c r="AP64" s="68"/>
      <c r="AQ64" s="48"/>
      <c r="AR64" s="4"/>
      <c r="AS64" s="46"/>
      <c r="AT64" s="46"/>
      <c r="AU64" s="70"/>
      <c r="AV64" s="71"/>
      <c r="AW64" s="71"/>
      <c r="AX64" s="1"/>
      <c r="AY64" s="1"/>
      <c r="AZ64" s="59"/>
      <c r="BO64" s="38"/>
    </row>
    <row r="65" spans="2:67" ht="13.8">
      <c r="B65" s="38"/>
      <c r="C65" s="63"/>
      <c r="D65" s="80"/>
      <c r="E65" s="81"/>
      <c r="F65" s="81"/>
      <c r="G65" s="81"/>
      <c r="H65" s="81"/>
      <c r="I65" s="82"/>
      <c r="J65" s="38"/>
      <c r="K65" s="65"/>
      <c r="L65" s="83"/>
      <c r="M65" s="66"/>
      <c r="N65" s="4"/>
      <c r="O65" s="46"/>
      <c r="P65" s="46"/>
      <c r="Q65" s="67"/>
      <c r="R65" s="221"/>
      <c r="S65" s="48"/>
      <c r="T65" s="69"/>
      <c r="U65" s="47"/>
      <c r="V65" s="46"/>
      <c r="W65" s="67"/>
      <c r="X65" s="68"/>
      <c r="Y65" s="48"/>
      <c r="Z65" s="4"/>
      <c r="AA65" s="46"/>
      <c r="AB65" s="46"/>
      <c r="AC65" s="67"/>
      <c r="AD65" s="68"/>
      <c r="AE65" s="48"/>
      <c r="AF65" s="4"/>
      <c r="AG65" s="46"/>
      <c r="AH65" s="46"/>
      <c r="AI65" s="67"/>
      <c r="AJ65" s="68"/>
      <c r="AK65" s="48"/>
      <c r="AL65" s="4"/>
      <c r="AM65" s="46"/>
      <c r="AN65" s="46"/>
      <c r="AO65" s="67"/>
      <c r="AP65" s="68"/>
      <c r="AQ65" s="48"/>
      <c r="AR65" s="4"/>
      <c r="AS65" s="46"/>
      <c r="AT65" s="46"/>
      <c r="AU65" s="70"/>
      <c r="AV65" s="71"/>
      <c r="AW65" s="71"/>
      <c r="AX65" s="1"/>
      <c r="AY65" s="1"/>
      <c r="AZ65" s="59"/>
      <c r="BO65" s="38"/>
    </row>
    <row r="66" spans="2:67" ht="13.8">
      <c r="B66" s="38"/>
      <c r="C66" s="63"/>
      <c r="D66" s="80"/>
      <c r="E66" s="81"/>
      <c r="F66" s="81"/>
      <c r="G66" s="81"/>
      <c r="H66" s="81"/>
      <c r="I66" s="82"/>
      <c r="J66" s="38"/>
      <c r="K66" s="65"/>
      <c r="L66" s="83"/>
      <c r="M66" s="66"/>
      <c r="N66" s="4"/>
      <c r="O66" s="46"/>
      <c r="P66" s="46"/>
      <c r="Q66" s="67"/>
      <c r="R66" s="221"/>
      <c r="S66" s="48"/>
      <c r="T66" s="69"/>
      <c r="U66" s="47"/>
      <c r="V66" s="46"/>
      <c r="W66" s="67"/>
      <c r="X66" s="68"/>
      <c r="Y66" s="48"/>
      <c r="Z66" s="4"/>
      <c r="AA66" s="46"/>
      <c r="AB66" s="46"/>
      <c r="AC66" s="67"/>
      <c r="AD66" s="68"/>
      <c r="AE66" s="48"/>
      <c r="AF66" s="4"/>
      <c r="AG66" s="46"/>
      <c r="AH66" s="46"/>
      <c r="AI66" s="67"/>
      <c r="AJ66" s="68"/>
      <c r="AK66" s="48"/>
      <c r="AL66" s="4"/>
      <c r="AM66" s="46"/>
      <c r="AN66" s="46"/>
      <c r="AO66" s="67"/>
      <c r="AP66" s="68"/>
      <c r="AQ66" s="48"/>
      <c r="AR66" s="4"/>
      <c r="AS66" s="46"/>
      <c r="AT66" s="46"/>
      <c r="AU66" s="70"/>
      <c r="AV66" s="71"/>
      <c r="AW66" s="71"/>
      <c r="AX66" s="1"/>
      <c r="AY66" s="1"/>
      <c r="AZ66" s="59"/>
      <c r="BO66" s="38"/>
    </row>
    <row r="67" spans="2:67" ht="13.8">
      <c r="B67" s="38"/>
      <c r="C67" s="63"/>
      <c r="D67" s="80"/>
      <c r="E67" s="81"/>
      <c r="F67" s="81"/>
      <c r="G67" s="81"/>
      <c r="H67" s="81"/>
      <c r="I67" s="82"/>
      <c r="J67" s="38"/>
      <c r="K67" s="65"/>
      <c r="L67" s="83"/>
      <c r="M67" s="66"/>
      <c r="N67" s="4"/>
      <c r="O67" s="46"/>
      <c r="P67" s="46"/>
      <c r="Q67" s="67"/>
      <c r="R67" s="221"/>
      <c r="S67" s="48"/>
      <c r="T67" s="69"/>
      <c r="U67" s="47"/>
      <c r="V67" s="46"/>
      <c r="W67" s="67"/>
      <c r="X67" s="68"/>
      <c r="Y67" s="48"/>
      <c r="Z67" s="4"/>
      <c r="AA67" s="46"/>
      <c r="AB67" s="46"/>
      <c r="AC67" s="67"/>
      <c r="AD67" s="68"/>
      <c r="AE67" s="48"/>
      <c r="AF67" s="4"/>
      <c r="AG67" s="46"/>
      <c r="AH67" s="46"/>
      <c r="AI67" s="67"/>
      <c r="AJ67" s="68"/>
      <c r="AK67" s="48"/>
      <c r="AL67" s="4"/>
      <c r="AM67" s="46"/>
      <c r="AN67" s="46"/>
      <c r="AO67" s="67"/>
      <c r="AP67" s="68"/>
      <c r="AQ67" s="48"/>
      <c r="AR67" s="4"/>
      <c r="AS67" s="46"/>
      <c r="AT67" s="46"/>
      <c r="AU67" s="70"/>
      <c r="AV67" s="71"/>
      <c r="AW67" s="71"/>
      <c r="AX67" s="1"/>
      <c r="AY67" s="1"/>
      <c r="AZ67" s="59"/>
      <c r="BO67" s="38"/>
    </row>
    <row r="68" spans="2:67" ht="13.8">
      <c r="B68" s="38"/>
      <c r="C68" s="63"/>
      <c r="D68" s="80"/>
      <c r="E68" s="81"/>
      <c r="F68" s="81"/>
      <c r="G68" s="81"/>
      <c r="H68" s="81"/>
      <c r="I68" s="82"/>
      <c r="J68" s="38"/>
      <c r="K68" s="65"/>
      <c r="L68" s="83"/>
      <c r="M68" s="66"/>
      <c r="N68" s="4"/>
      <c r="O68" s="46"/>
      <c r="P68" s="46"/>
      <c r="Q68" s="67"/>
      <c r="R68" s="221"/>
      <c r="S68" s="48"/>
      <c r="T68" s="69"/>
      <c r="U68" s="47"/>
      <c r="V68" s="46"/>
      <c r="W68" s="67"/>
      <c r="X68" s="68"/>
      <c r="Y68" s="48"/>
      <c r="Z68" s="4"/>
      <c r="AA68" s="46"/>
      <c r="AB68" s="46"/>
      <c r="AC68" s="67"/>
      <c r="AD68" s="68"/>
      <c r="AE68" s="48"/>
      <c r="AF68" s="4"/>
      <c r="AG68" s="46"/>
      <c r="AH68" s="46"/>
      <c r="AI68" s="67"/>
      <c r="AJ68" s="68"/>
      <c r="AK68" s="48"/>
      <c r="AL68" s="4"/>
      <c r="AM68" s="46"/>
      <c r="AN68" s="46"/>
      <c r="AO68" s="67"/>
      <c r="AP68" s="68"/>
      <c r="AQ68" s="48"/>
      <c r="AR68" s="4"/>
      <c r="AS68" s="46"/>
      <c r="AT68" s="46"/>
      <c r="AU68" s="70"/>
      <c r="AV68" s="71"/>
      <c r="AW68" s="71"/>
      <c r="AX68" s="1"/>
      <c r="AY68" s="1"/>
      <c r="AZ68" s="59"/>
      <c r="BO68" s="38"/>
    </row>
    <row r="69" spans="2:67" ht="13.8">
      <c r="B69" s="38"/>
      <c r="C69" s="63"/>
      <c r="D69" s="80"/>
      <c r="E69" s="81"/>
      <c r="F69" s="81"/>
      <c r="G69" s="81"/>
      <c r="H69" s="81"/>
      <c r="I69" s="82"/>
      <c r="J69" s="38"/>
      <c r="K69" s="65"/>
      <c r="L69" s="83"/>
      <c r="M69" s="66"/>
      <c r="N69" s="4"/>
      <c r="O69" s="46"/>
      <c r="P69" s="46"/>
      <c r="Q69" s="67"/>
      <c r="R69" s="221"/>
      <c r="S69" s="48"/>
      <c r="T69" s="69"/>
      <c r="U69" s="47"/>
      <c r="V69" s="46"/>
      <c r="W69" s="67"/>
      <c r="X69" s="68"/>
      <c r="Y69" s="48"/>
      <c r="Z69" s="4"/>
      <c r="AA69" s="46"/>
      <c r="AB69" s="46"/>
      <c r="AC69" s="67"/>
      <c r="AD69" s="68"/>
      <c r="AE69" s="48"/>
      <c r="AF69" s="4"/>
      <c r="AG69" s="46"/>
      <c r="AH69" s="46"/>
      <c r="AI69" s="67"/>
      <c r="AJ69" s="68"/>
      <c r="AK69" s="48"/>
      <c r="AL69" s="4"/>
      <c r="AM69" s="46"/>
      <c r="AN69" s="46"/>
      <c r="AO69" s="67"/>
      <c r="AP69" s="68"/>
      <c r="AQ69" s="48"/>
      <c r="AR69" s="4"/>
      <c r="AS69" s="46"/>
      <c r="AT69" s="46"/>
      <c r="AU69" s="70"/>
      <c r="AV69" s="71"/>
      <c r="AW69" s="71"/>
      <c r="AX69" s="1"/>
      <c r="AY69" s="1"/>
      <c r="AZ69" s="59"/>
      <c r="BO69" s="38"/>
    </row>
    <row r="70" spans="2:67" ht="13.8">
      <c r="B70" s="38"/>
      <c r="C70" s="63"/>
      <c r="D70" s="80"/>
      <c r="E70" s="81"/>
      <c r="F70" s="81"/>
      <c r="G70" s="81"/>
      <c r="H70" s="81"/>
      <c r="I70" s="82"/>
      <c r="J70" s="38"/>
      <c r="K70" s="65"/>
      <c r="L70" s="83"/>
      <c r="M70" s="66"/>
      <c r="N70" s="4"/>
      <c r="O70" s="46"/>
      <c r="P70" s="46"/>
      <c r="Q70" s="67"/>
      <c r="R70" s="221"/>
      <c r="S70" s="48"/>
      <c r="T70" s="69"/>
      <c r="U70" s="47"/>
      <c r="V70" s="46"/>
      <c r="W70" s="67"/>
      <c r="X70" s="68"/>
      <c r="Y70" s="48"/>
      <c r="Z70" s="4"/>
      <c r="AA70" s="46"/>
      <c r="AB70" s="46"/>
      <c r="AC70" s="67"/>
      <c r="AD70" s="68"/>
      <c r="AE70" s="48"/>
      <c r="AF70" s="4"/>
      <c r="AG70" s="46"/>
      <c r="AH70" s="46"/>
      <c r="AI70" s="67"/>
      <c r="AJ70" s="68"/>
      <c r="AK70" s="48"/>
      <c r="AL70" s="4"/>
      <c r="AM70" s="46"/>
      <c r="AN70" s="46"/>
      <c r="AO70" s="67"/>
      <c r="AP70" s="68"/>
      <c r="AQ70" s="48"/>
      <c r="AR70" s="4"/>
      <c r="AS70" s="46"/>
      <c r="AT70" s="46"/>
      <c r="AU70" s="70"/>
      <c r="AV70" s="71"/>
      <c r="AW70" s="71"/>
      <c r="AX70" s="1"/>
      <c r="AY70" s="1"/>
      <c r="AZ70" s="59"/>
      <c r="BO70" s="38"/>
    </row>
    <row r="71" spans="2:67" ht="13.8">
      <c r="B71" s="38"/>
      <c r="C71" s="63"/>
      <c r="D71" s="80"/>
      <c r="E71" s="81"/>
      <c r="F71" s="81"/>
      <c r="G71" s="81"/>
      <c r="H71" s="81"/>
      <c r="I71" s="82"/>
      <c r="J71" s="38"/>
      <c r="K71" s="65"/>
      <c r="L71" s="83"/>
      <c r="M71" s="66"/>
      <c r="N71" s="4"/>
      <c r="O71" s="46"/>
      <c r="P71" s="46"/>
      <c r="Q71" s="67"/>
      <c r="R71" s="221"/>
      <c r="S71" s="48"/>
      <c r="T71" s="69"/>
      <c r="U71" s="47"/>
      <c r="V71" s="46"/>
      <c r="W71" s="67"/>
      <c r="X71" s="68"/>
      <c r="Y71" s="48"/>
      <c r="Z71" s="4"/>
      <c r="AA71" s="46"/>
      <c r="AB71" s="46"/>
      <c r="AC71" s="67"/>
      <c r="AD71" s="68"/>
      <c r="AE71" s="48"/>
      <c r="AF71" s="4"/>
      <c r="AG71" s="46"/>
      <c r="AH71" s="46"/>
      <c r="AI71" s="67"/>
      <c r="AJ71" s="68"/>
      <c r="AK71" s="48"/>
      <c r="AL71" s="4"/>
      <c r="AM71" s="46"/>
      <c r="AN71" s="46"/>
      <c r="AO71" s="67"/>
      <c r="AP71" s="68"/>
      <c r="AQ71" s="48"/>
      <c r="AR71" s="4"/>
      <c r="AS71" s="46"/>
      <c r="AT71" s="46"/>
      <c r="AU71" s="70"/>
      <c r="AV71" s="71"/>
      <c r="AW71" s="71"/>
      <c r="AX71" s="1"/>
      <c r="AY71" s="1"/>
      <c r="AZ71" s="59"/>
      <c r="BO71" s="38"/>
    </row>
    <row r="72" spans="2:67" ht="13.8">
      <c r="B72" s="38"/>
      <c r="C72" s="63"/>
      <c r="D72" s="80"/>
      <c r="E72" s="81"/>
      <c r="F72" s="81"/>
      <c r="G72" s="81"/>
      <c r="H72" s="81"/>
      <c r="I72" s="82"/>
      <c r="J72" s="38"/>
      <c r="K72" s="65"/>
      <c r="L72" s="83"/>
      <c r="M72" s="66"/>
      <c r="N72" s="4"/>
      <c r="O72" s="46"/>
      <c r="P72" s="46"/>
      <c r="Q72" s="67"/>
      <c r="R72" s="221"/>
      <c r="S72" s="48"/>
      <c r="T72" s="69"/>
      <c r="U72" s="47"/>
      <c r="V72" s="46"/>
      <c r="W72" s="67"/>
      <c r="X72" s="68"/>
      <c r="Y72" s="48"/>
      <c r="Z72" s="4"/>
      <c r="AA72" s="46"/>
      <c r="AB72" s="46"/>
      <c r="AC72" s="67"/>
      <c r="AD72" s="68"/>
      <c r="AE72" s="48"/>
      <c r="AF72" s="4"/>
      <c r="AG72" s="46"/>
      <c r="AH72" s="46"/>
      <c r="AI72" s="67"/>
      <c r="AJ72" s="68"/>
      <c r="AK72" s="48"/>
      <c r="AL72" s="4"/>
      <c r="AM72" s="46"/>
      <c r="AN72" s="46"/>
      <c r="AO72" s="67"/>
      <c r="AP72" s="68"/>
      <c r="AQ72" s="48"/>
      <c r="AR72" s="4"/>
      <c r="AS72" s="46"/>
      <c r="AT72" s="46"/>
      <c r="AU72" s="70"/>
      <c r="AV72" s="71"/>
      <c r="AW72" s="71"/>
      <c r="AX72" s="1"/>
      <c r="AY72" s="1"/>
      <c r="AZ72" s="59"/>
      <c r="BO72" s="38"/>
    </row>
    <row r="73" spans="2:67" ht="13.8">
      <c r="B73" s="38"/>
      <c r="C73" s="63"/>
      <c r="D73" s="80"/>
      <c r="E73" s="81"/>
      <c r="F73" s="81"/>
      <c r="G73" s="81"/>
      <c r="H73" s="81"/>
      <c r="I73" s="82"/>
      <c r="J73" s="38"/>
      <c r="K73" s="65"/>
      <c r="L73" s="83"/>
      <c r="M73" s="66"/>
      <c r="N73" s="4"/>
      <c r="O73" s="46"/>
      <c r="P73" s="46"/>
      <c r="Q73" s="67"/>
      <c r="R73" s="221"/>
      <c r="S73" s="48"/>
      <c r="T73" s="69"/>
      <c r="U73" s="47"/>
      <c r="V73" s="46"/>
      <c r="W73" s="67"/>
      <c r="X73" s="68"/>
      <c r="Y73" s="48"/>
      <c r="Z73" s="4"/>
      <c r="AA73" s="46"/>
      <c r="AB73" s="46"/>
      <c r="AC73" s="67"/>
      <c r="AD73" s="68"/>
      <c r="AE73" s="48"/>
      <c r="AF73" s="4"/>
      <c r="AG73" s="46"/>
      <c r="AH73" s="46"/>
      <c r="AI73" s="67"/>
      <c r="AJ73" s="68"/>
      <c r="AK73" s="48"/>
      <c r="AL73" s="4"/>
      <c r="AM73" s="46"/>
      <c r="AN73" s="46"/>
      <c r="AO73" s="67"/>
      <c r="AP73" s="68"/>
      <c r="AQ73" s="48"/>
      <c r="AR73" s="4"/>
      <c r="AS73" s="46"/>
      <c r="AT73" s="46"/>
      <c r="AU73" s="70"/>
      <c r="AV73" s="71"/>
      <c r="AW73" s="71"/>
      <c r="AX73" s="1"/>
      <c r="AY73" s="1"/>
      <c r="AZ73" s="59"/>
      <c r="BO73" s="38"/>
    </row>
    <row r="74" spans="2:67" ht="13.8">
      <c r="B74" s="38"/>
      <c r="C74" s="63"/>
      <c r="D74" s="80"/>
      <c r="E74" s="81"/>
      <c r="F74" s="81"/>
      <c r="G74" s="81"/>
      <c r="H74" s="81"/>
      <c r="I74" s="82"/>
      <c r="J74" s="38"/>
      <c r="K74" s="65"/>
      <c r="L74" s="83"/>
      <c r="M74" s="66"/>
      <c r="N74" s="4"/>
      <c r="O74" s="46"/>
      <c r="P74" s="46"/>
      <c r="Q74" s="67"/>
      <c r="R74" s="221"/>
      <c r="S74" s="48"/>
      <c r="T74" s="69"/>
      <c r="U74" s="47"/>
      <c r="V74" s="46"/>
      <c r="W74" s="67"/>
      <c r="X74" s="68"/>
      <c r="Y74" s="48"/>
      <c r="Z74" s="4"/>
      <c r="AA74" s="46"/>
      <c r="AB74" s="46"/>
      <c r="AC74" s="67"/>
      <c r="AD74" s="68"/>
      <c r="AE74" s="48"/>
      <c r="AF74" s="4"/>
      <c r="AG74" s="46"/>
      <c r="AH74" s="46"/>
      <c r="AI74" s="67"/>
      <c r="AJ74" s="68"/>
      <c r="AK74" s="48"/>
      <c r="AL74" s="4"/>
      <c r="AM74" s="46"/>
      <c r="AN74" s="46"/>
      <c r="AO74" s="67"/>
      <c r="AP74" s="68"/>
      <c r="AQ74" s="48"/>
      <c r="AR74" s="4"/>
      <c r="AS74" s="46"/>
      <c r="AT74" s="46"/>
      <c r="AU74" s="70"/>
      <c r="AV74" s="71"/>
      <c r="AW74" s="71"/>
      <c r="AX74" s="1"/>
      <c r="AY74" s="1"/>
      <c r="AZ74" s="59"/>
      <c r="BO74" s="38"/>
    </row>
    <row r="75" spans="2:67" ht="13.8">
      <c r="B75" s="38"/>
      <c r="C75" s="63"/>
      <c r="D75" s="80"/>
      <c r="E75" s="81"/>
      <c r="F75" s="81"/>
      <c r="G75" s="81"/>
      <c r="H75" s="81"/>
      <c r="I75" s="82"/>
      <c r="J75" s="38"/>
      <c r="K75" s="65"/>
      <c r="L75" s="83"/>
      <c r="M75" s="66"/>
      <c r="N75" s="4"/>
      <c r="O75" s="46"/>
      <c r="P75" s="46"/>
      <c r="Q75" s="67"/>
      <c r="R75" s="221"/>
      <c r="S75" s="48"/>
      <c r="T75" s="69"/>
      <c r="U75" s="47"/>
      <c r="V75" s="46"/>
      <c r="W75" s="67"/>
      <c r="X75" s="68"/>
      <c r="Y75" s="48"/>
      <c r="Z75" s="4"/>
      <c r="AA75" s="46"/>
      <c r="AB75" s="46"/>
      <c r="AC75" s="67"/>
      <c r="AD75" s="68"/>
      <c r="AE75" s="48"/>
      <c r="AF75" s="4"/>
      <c r="AG75" s="46"/>
      <c r="AH75" s="46"/>
      <c r="AI75" s="67"/>
      <c r="AJ75" s="68"/>
      <c r="AK75" s="48"/>
      <c r="AL75" s="4"/>
      <c r="AM75" s="46"/>
      <c r="AN75" s="46"/>
      <c r="AO75" s="67"/>
      <c r="AP75" s="68"/>
      <c r="AQ75" s="48"/>
      <c r="AR75" s="4"/>
      <c r="AS75" s="46"/>
      <c r="AT75" s="46"/>
      <c r="AU75" s="70"/>
      <c r="AV75" s="71"/>
      <c r="AW75" s="71"/>
      <c r="AX75" s="1"/>
      <c r="AY75" s="1"/>
      <c r="AZ75" s="59"/>
      <c r="BO75" s="38"/>
    </row>
    <row r="76" spans="2:67" ht="13.8">
      <c r="B76" s="38"/>
      <c r="C76" s="63"/>
      <c r="D76" s="80"/>
      <c r="E76" s="81"/>
      <c r="F76" s="81"/>
      <c r="G76" s="81"/>
      <c r="H76" s="81"/>
      <c r="I76" s="82"/>
      <c r="J76" s="38"/>
      <c r="K76" s="65"/>
      <c r="L76" s="83"/>
      <c r="M76" s="66"/>
      <c r="N76" s="4"/>
      <c r="O76" s="46"/>
      <c r="P76" s="46"/>
      <c r="Q76" s="67"/>
      <c r="R76" s="221"/>
      <c r="S76" s="48"/>
      <c r="T76" s="69"/>
      <c r="U76" s="47"/>
      <c r="V76" s="46"/>
      <c r="W76" s="67"/>
      <c r="X76" s="68"/>
      <c r="Y76" s="48"/>
      <c r="Z76" s="4"/>
      <c r="AA76" s="46"/>
      <c r="AB76" s="46"/>
      <c r="AC76" s="67"/>
      <c r="AD76" s="68"/>
      <c r="AE76" s="48"/>
      <c r="AF76" s="4"/>
      <c r="AG76" s="46"/>
      <c r="AH76" s="46"/>
      <c r="AI76" s="67"/>
      <c r="AJ76" s="68"/>
      <c r="AK76" s="48"/>
      <c r="AL76" s="4"/>
      <c r="AM76" s="46"/>
      <c r="AN76" s="46"/>
      <c r="AO76" s="67"/>
      <c r="AP76" s="68"/>
      <c r="AQ76" s="48"/>
      <c r="AR76" s="4"/>
      <c r="AS76" s="46"/>
      <c r="AT76" s="46"/>
      <c r="AU76" s="70"/>
      <c r="AV76" s="71"/>
      <c r="AW76" s="71"/>
      <c r="AX76" s="1"/>
      <c r="AY76" s="1"/>
      <c r="AZ76" s="59"/>
      <c r="BO76" s="38"/>
    </row>
    <row r="77" spans="2:67" ht="13.8">
      <c r="B77" s="38"/>
      <c r="C77" s="63"/>
      <c r="D77" s="80"/>
      <c r="E77" s="81"/>
      <c r="F77" s="81"/>
      <c r="G77" s="81"/>
      <c r="H77" s="81"/>
      <c r="I77" s="82"/>
      <c r="J77" s="38"/>
      <c r="K77" s="65"/>
      <c r="L77" s="83"/>
      <c r="M77" s="66"/>
      <c r="N77" s="4"/>
      <c r="O77" s="46"/>
      <c r="P77" s="46"/>
      <c r="Q77" s="67"/>
      <c r="R77" s="221"/>
      <c r="S77" s="48"/>
      <c r="T77" s="69"/>
      <c r="U77" s="47"/>
      <c r="V77" s="46"/>
      <c r="W77" s="67"/>
      <c r="X77" s="68"/>
      <c r="Y77" s="48"/>
      <c r="Z77" s="4"/>
      <c r="AA77" s="46"/>
      <c r="AB77" s="46"/>
      <c r="AC77" s="67"/>
      <c r="AD77" s="68"/>
      <c r="AE77" s="48"/>
      <c r="AF77" s="4"/>
      <c r="AG77" s="46"/>
      <c r="AH77" s="46"/>
      <c r="AI77" s="67"/>
      <c r="AJ77" s="68"/>
      <c r="AK77" s="48"/>
      <c r="AL77" s="4"/>
      <c r="AM77" s="46"/>
      <c r="AN77" s="46"/>
      <c r="AO77" s="67"/>
      <c r="AP77" s="68"/>
      <c r="AQ77" s="48"/>
      <c r="AR77" s="4"/>
      <c r="AS77" s="46"/>
      <c r="AT77" s="46"/>
      <c r="AU77" s="70"/>
      <c r="AV77" s="71"/>
      <c r="AW77" s="71"/>
      <c r="AX77" s="1"/>
      <c r="AY77" s="1"/>
      <c r="AZ77" s="59"/>
      <c r="BO77" s="38"/>
    </row>
    <row r="78" spans="2:67" ht="13.8">
      <c r="B78" s="38"/>
      <c r="C78" s="63"/>
      <c r="D78" s="80"/>
      <c r="E78" s="81"/>
      <c r="F78" s="81"/>
      <c r="G78" s="81"/>
      <c r="H78" s="81"/>
      <c r="I78" s="82"/>
      <c r="J78" s="38"/>
      <c r="K78" s="65"/>
      <c r="L78" s="83"/>
      <c r="M78" s="66"/>
      <c r="N78" s="4"/>
      <c r="O78" s="46"/>
      <c r="P78" s="46"/>
      <c r="Q78" s="67"/>
      <c r="R78" s="221"/>
      <c r="S78" s="48"/>
      <c r="T78" s="69"/>
      <c r="U78" s="47"/>
      <c r="V78" s="46"/>
      <c r="W78" s="67"/>
      <c r="X78" s="68"/>
      <c r="Y78" s="48"/>
      <c r="Z78" s="4"/>
      <c r="AA78" s="46"/>
      <c r="AB78" s="46"/>
      <c r="AC78" s="67"/>
      <c r="AD78" s="68"/>
      <c r="AE78" s="48"/>
      <c r="AF78" s="4"/>
      <c r="AG78" s="46"/>
      <c r="AH78" s="46"/>
      <c r="AI78" s="67"/>
      <c r="AJ78" s="68"/>
      <c r="AK78" s="48"/>
      <c r="AL78" s="4"/>
      <c r="AM78" s="46"/>
      <c r="AN78" s="46"/>
      <c r="AO78" s="67"/>
      <c r="AP78" s="68"/>
      <c r="AQ78" s="48"/>
      <c r="AR78" s="4"/>
      <c r="AS78" s="46"/>
      <c r="AT78" s="46"/>
      <c r="AU78" s="70"/>
      <c r="AV78" s="71"/>
      <c r="AW78" s="71"/>
      <c r="AX78" s="1"/>
      <c r="AY78" s="1"/>
      <c r="AZ78" s="59"/>
      <c r="BO78" s="38"/>
    </row>
    <row r="79" spans="2:67" ht="13.8">
      <c r="B79" s="38"/>
      <c r="C79" s="63"/>
      <c r="D79" s="80"/>
      <c r="E79" s="81"/>
      <c r="F79" s="81"/>
      <c r="G79" s="81"/>
      <c r="H79" s="81"/>
      <c r="I79" s="82"/>
      <c r="J79" s="38"/>
      <c r="K79" s="65"/>
      <c r="L79" s="83"/>
      <c r="M79" s="66"/>
      <c r="N79" s="4"/>
      <c r="O79" s="46"/>
      <c r="P79" s="46"/>
      <c r="Q79" s="67"/>
      <c r="R79" s="221"/>
      <c r="S79" s="48"/>
      <c r="T79" s="69"/>
      <c r="U79" s="47"/>
      <c r="V79" s="46"/>
      <c r="W79" s="67"/>
      <c r="X79" s="68"/>
      <c r="Y79" s="48"/>
      <c r="Z79" s="4"/>
      <c r="AA79" s="46"/>
      <c r="AB79" s="46"/>
      <c r="AC79" s="67"/>
      <c r="AD79" s="68"/>
      <c r="AE79" s="48"/>
      <c r="AF79" s="4"/>
      <c r="AG79" s="46"/>
      <c r="AH79" s="46"/>
      <c r="AI79" s="67"/>
      <c r="AJ79" s="68"/>
      <c r="AK79" s="48"/>
      <c r="AL79" s="4"/>
      <c r="AM79" s="46"/>
      <c r="AN79" s="46"/>
      <c r="AO79" s="67"/>
      <c r="AP79" s="68"/>
      <c r="AQ79" s="48"/>
      <c r="AR79" s="4"/>
      <c r="AS79" s="46"/>
      <c r="AT79" s="46"/>
      <c r="AU79" s="70"/>
      <c r="AV79" s="71"/>
      <c r="AW79" s="71"/>
      <c r="AX79" s="1"/>
      <c r="AY79" s="1"/>
      <c r="AZ79" s="59"/>
      <c r="BO79" s="38"/>
    </row>
    <row r="80" spans="2:67" ht="13.8">
      <c r="B80" s="38"/>
      <c r="C80" s="63"/>
      <c r="D80" s="80"/>
      <c r="E80" s="81"/>
      <c r="F80" s="81"/>
      <c r="G80" s="81"/>
      <c r="H80" s="81"/>
      <c r="I80" s="82"/>
      <c r="J80" s="38"/>
      <c r="K80" s="65"/>
      <c r="L80" s="83"/>
      <c r="M80" s="66"/>
      <c r="N80" s="4"/>
      <c r="O80" s="46"/>
      <c r="P80" s="46"/>
      <c r="Q80" s="67"/>
      <c r="R80" s="221"/>
      <c r="S80" s="48"/>
      <c r="T80" s="69"/>
      <c r="U80" s="47"/>
      <c r="V80" s="46"/>
      <c r="W80" s="67"/>
      <c r="X80" s="68"/>
      <c r="Y80" s="48"/>
      <c r="Z80" s="4"/>
      <c r="AA80" s="46"/>
      <c r="AB80" s="46"/>
      <c r="AC80" s="67"/>
      <c r="AD80" s="68"/>
      <c r="AE80" s="48"/>
      <c r="AF80" s="4"/>
      <c r="AG80" s="46"/>
      <c r="AH80" s="46"/>
      <c r="AI80" s="67"/>
      <c r="AJ80" s="68"/>
      <c r="AK80" s="48"/>
      <c r="AL80" s="4"/>
      <c r="AM80" s="46"/>
      <c r="AN80" s="46"/>
      <c r="AO80" s="67"/>
      <c r="AP80" s="68"/>
      <c r="AQ80" s="48"/>
      <c r="AR80" s="4"/>
      <c r="AS80" s="46"/>
      <c r="AT80" s="46"/>
      <c r="AU80" s="70"/>
      <c r="AV80" s="71"/>
      <c r="AW80" s="71"/>
      <c r="AX80" s="1"/>
      <c r="AY80" s="1"/>
      <c r="AZ80" s="59"/>
      <c r="BO80" s="38"/>
    </row>
    <row r="81" spans="2:67" ht="13.8">
      <c r="B81" s="38"/>
      <c r="C81" s="63"/>
      <c r="D81" s="80"/>
      <c r="E81" s="81"/>
      <c r="F81" s="81"/>
      <c r="G81" s="81"/>
      <c r="H81" s="81"/>
      <c r="I81" s="82"/>
      <c r="J81" s="38"/>
      <c r="K81" s="65"/>
      <c r="L81" s="83"/>
      <c r="M81" s="66"/>
      <c r="N81" s="4"/>
      <c r="O81" s="46"/>
      <c r="P81" s="46"/>
      <c r="Q81" s="67"/>
      <c r="R81" s="221"/>
      <c r="S81" s="48"/>
      <c r="T81" s="69"/>
      <c r="U81" s="47"/>
      <c r="V81" s="46"/>
      <c r="W81" s="67"/>
      <c r="X81" s="68"/>
      <c r="Y81" s="48"/>
      <c r="Z81" s="4"/>
      <c r="AA81" s="46"/>
      <c r="AB81" s="46"/>
      <c r="AC81" s="67"/>
      <c r="AD81" s="68"/>
      <c r="AE81" s="48"/>
      <c r="AF81" s="4"/>
      <c r="AG81" s="46"/>
      <c r="AH81" s="46"/>
      <c r="AI81" s="67"/>
      <c r="AJ81" s="68"/>
      <c r="AK81" s="48"/>
      <c r="AL81" s="4"/>
      <c r="AM81" s="46"/>
      <c r="AN81" s="46"/>
      <c r="AO81" s="67"/>
      <c r="AP81" s="68"/>
      <c r="AQ81" s="48"/>
      <c r="AR81" s="4"/>
      <c r="AS81" s="46"/>
      <c r="AT81" s="46"/>
      <c r="AU81" s="70"/>
      <c r="AV81" s="71"/>
      <c r="AW81" s="71"/>
      <c r="AX81" s="1"/>
      <c r="AY81" s="1"/>
      <c r="AZ81" s="59"/>
      <c r="BO81" s="38"/>
    </row>
    <row r="82" spans="2:67" ht="13.8">
      <c r="B82" s="38"/>
      <c r="C82" s="63"/>
      <c r="D82" s="80"/>
      <c r="E82" s="81"/>
      <c r="F82" s="81"/>
      <c r="G82" s="81"/>
      <c r="H82" s="81"/>
      <c r="I82" s="82"/>
      <c r="J82" s="38"/>
      <c r="K82" s="65"/>
      <c r="L82" s="83"/>
      <c r="M82" s="66"/>
      <c r="N82" s="4"/>
      <c r="O82" s="46"/>
      <c r="P82" s="46"/>
      <c r="Q82" s="67"/>
      <c r="R82" s="221"/>
      <c r="S82" s="48"/>
      <c r="T82" s="69"/>
      <c r="U82" s="47"/>
      <c r="V82" s="46"/>
      <c r="W82" s="67"/>
      <c r="X82" s="68"/>
      <c r="Y82" s="48"/>
      <c r="Z82" s="4"/>
      <c r="AA82" s="46"/>
      <c r="AB82" s="46"/>
      <c r="AC82" s="67"/>
      <c r="AD82" s="68"/>
      <c r="AE82" s="48"/>
      <c r="AF82" s="4"/>
      <c r="AG82" s="46"/>
      <c r="AH82" s="46"/>
      <c r="AI82" s="67"/>
      <c r="AJ82" s="68"/>
      <c r="AK82" s="48"/>
      <c r="AL82" s="4"/>
      <c r="AM82" s="46"/>
      <c r="AN82" s="46"/>
      <c r="AO82" s="67"/>
      <c r="AP82" s="68"/>
      <c r="AQ82" s="48"/>
      <c r="AR82" s="4"/>
      <c r="AS82" s="46"/>
      <c r="AT82" s="46"/>
      <c r="AU82" s="70"/>
      <c r="AV82" s="71"/>
      <c r="AW82" s="71"/>
      <c r="AX82" s="1"/>
      <c r="AY82" s="1"/>
      <c r="AZ82" s="59"/>
      <c r="BO82" s="38"/>
    </row>
    <row r="83" spans="2:67" ht="13.8">
      <c r="B83" s="38"/>
      <c r="C83" s="63"/>
      <c r="D83" s="80"/>
      <c r="E83" s="81"/>
      <c r="F83" s="81"/>
      <c r="G83" s="81"/>
      <c r="H83" s="81"/>
      <c r="I83" s="82"/>
      <c r="J83" s="38"/>
      <c r="K83" s="65"/>
      <c r="L83" s="83"/>
      <c r="M83" s="66"/>
      <c r="N83" s="4"/>
      <c r="O83" s="46"/>
      <c r="P83" s="46"/>
      <c r="Q83" s="67"/>
      <c r="R83" s="221"/>
      <c r="S83" s="48"/>
      <c r="T83" s="69"/>
      <c r="U83" s="47"/>
      <c r="V83" s="46"/>
      <c r="W83" s="67"/>
      <c r="X83" s="68"/>
      <c r="Y83" s="48"/>
      <c r="Z83" s="4"/>
      <c r="AA83" s="46"/>
      <c r="AB83" s="46"/>
      <c r="AC83" s="67"/>
      <c r="AD83" s="68"/>
      <c r="AE83" s="48"/>
      <c r="AF83" s="4"/>
      <c r="AG83" s="46"/>
      <c r="AH83" s="46"/>
      <c r="AI83" s="67"/>
      <c r="AJ83" s="68"/>
      <c r="AK83" s="48"/>
      <c r="AL83" s="4"/>
      <c r="AM83" s="46"/>
      <c r="AN83" s="46"/>
      <c r="AO83" s="67"/>
      <c r="AP83" s="68"/>
      <c r="AQ83" s="48"/>
      <c r="AR83" s="4"/>
      <c r="AS83" s="46"/>
      <c r="AT83" s="46"/>
      <c r="AU83" s="70"/>
      <c r="AV83" s="71"/>
      <c r="AW83" s="71"/>
      <c r="AX83" s="1"/>
      <c r="AY83" s="1"/>
      <c r="AZ83" s="59"/>
      <c r="BO83" s="38"/>
    </row>
    <row r="84" spans="2:67" ht="13.8">
      <c r="B84" s="38"/>
      <c r="C84" s="63"/>
      <c r="D84" s="80"/>
      <c r="E84" s="81"/>
      <c r="F84" s="81"/>
      <c r="G84" s="81"/>
      <c r="H84" s="81"/>
      <c r="I84" s="82"/>
      <c r="J84" s="38"/>
      <c r="K84" s="65"/>
      <c r="L84" s="83"/>
      <c r="M84" s="66"/>
      <c r="N84" s="4"/>
      <c r="O84" s="46"/>
      <c r="P84" s="46"/>
      <c r="Q84" s="67"/>
      <c r="R84" s="221"/>
      <c r="S84" s="48"/>
      <c r="T84" s="69"/>
      <c r="U84" s="47"/>
      <c r="V84" s="46"/>
      <c r="W84" s="67"/>
      <c r="X84" s="68"/>
      <c r="Y84" s="48"/>
      <c r="Z84" s="4"/>
      <c r="AA84" s="46"/>
      <c r="AB84" s="46"/>
      <c r="AC84" s="67"/>
      <c r="AD84" s="68"/>
      <c r="AE84" s="48"/>
      <c r="AF84" s="4"/>
      <c r="AG84" s="46"/>
      <c r="AH84" s="46"/>
      <c r="AI84" s="67"/>
      <c r="AJ84" s="68"/>
      <c r="AK84" s="48"/>
      <c r="AL84" s="4"/>
      <c r="AM84" s="46"/>
      <c r="AN84" s="46"/>
      <c r="AO84" s="67"/>
      <c r="AP84" s="68"/>
      <c r="AQ84" s="48"/>
      <c r="AR84" s="4"/>
      <c r="AS84" s="46"/>
      <c r="AT84" s="46"/>
      <c r="AU84" s="70"/>
      <c r="AV84" s="71"/>
      <c r="AW84" s="71"/>
      <c r="AX84" s="1"/>
      <c r="AY84" s="1"/>
      <c r="AZ84" s="59"/>
      <c r="BO84" s="38"/>
    </row>
    <row r="85" spans="2:67" ht="13.8">
      <c r="B85" s="38"/>
      <c r="C85" s="63"/>
      <c r="D85" s="80"/>
      <c r="E85" s="81"/>
      <c r="F85" s="81"/>
      <c r="G85" s="81"/>
      <c r="H85" s="81"/>
      <c r="I85" s="82"/>
      <c r="J85" s="38"/>
      <c r="K85" s="65"/>
      <c r="L85" s="83"/>
      <c r="M85" s="66"/>
      <c r="N85" s="4"/>
      <c r="O85" s="46"/>
      <c r="P85" s="46"/>
      <c r="Q85" s="67"/>
      <c r="R85" s="221"/>
      <c r="S85" s="48"/>
      <c r="T85" s="69"/>
      <c r="U85" s="47"/>
      <c r="V85" s="46"/>
      <c r="W85" s="67"/>
      <c r="X85" s="68"/>
      <c r="Y85" s="48"/>
      <c r="Z85" s="4"/>
      <c r="AA85" s="46"/>
      <c r="AB85" s="46"/>
      <c r="AC85" s="67"/>
      <c r="AD85" s="68"/>
      <c r="AE85" s="48"/>
      <c r="AF85" s="4"/>
      <c r="AG85" s="46"/>
      <c r="AH85" s="46"/>
      <c r="AI85" s="67"/>
      <c r="AJ85" s="68"/>
      <c r="AK85" s="48"/>
      <c r="AL85" s="4"/>
      <c r="AM85" s="46"/>
      <c r="AN85" s="46"/>
      <c r="AO85" s="67"/>
      <c r="AP85" s="68"/>
      <c r="AQ85" s="48"/>
      <c r="AR85" s="4"/>
      <c r="AS85" s="46"/>
      <c r="AT85" s="46"/>
      <c r="AU85" s="70"/>
      <c r="AV85" s="71"/>
      <c r="AW85" s="71"/>
      <c r="AX85" s="1"/>
      <c r="AY85" s="1"/>
      <c r="AZ85" s="59"/>
      <c r="BO85" s="38"/>
    </row>
    <row r="86" spans="2:67" ht="13.8">
      <c r="B86" s="38"/>
      <c r="C86" s="63"/>
      <c r="D86" s="80"/>
      <c r="E86" s="81"/>
      <c r="F86" s="81"/>
      <c r="G86" s="81"/>
      <c r="H86" s="81"/>
      <c r="I86" s="82"/>
      <c r="J86" s="38"/>
      <c r="K86" s="65"/>
      <c r="L86" s="83"/>
      <c r="M86" s="66"/>
      <c r="N86" s="4"/>
      <c r="O86" s="46"/>
      <c r="P86" s="46"/>
      <c r="Q86" s="67"/>
      <c r="R86" s="221"/>
      <c r="S86" s="48"/>
      <c r="T86" s="69"/>
      <c r="U86" s="47"/>
      <c r="V86" s="46"/>
      <c r="W86" s="67"/>
      <c r="X86" s="68"/>
      <c r="Y86" s="48"/>
      <c r="Z86" s="4"/>
      <c r="AA86" s="46"/>
      <c r="AB86" s="46"/>
      <c r="AC86" s="67"/>
      <c r="AD86" s="68"/>
      <c r="AE86" s="48"/>
      <c r="AF86" s="4"/>
      <c r="AG86" s="46"/>
      <c r="AH86" s="46"/>
      <c r="AI86" s="67"/>
      <c r="AJ86" s="68"/>
      <c r="AK86" s="48"/>
      <c r="AL86" s="4"/>
      <c r="AM86" s="46"/>
      <c r="AN86" s="46"/>
      <c r="AO86" s="67"/>
      <c r="AP86" s="68"/>
      <c r="AQ86" s="48"/>
      <c r="AR86" s="4"/>
      <c r="AS86" s="46"/>
      <c r="AT86" s="46"/>
      <c r="AU86" s="70"/>
      <c r="AV86" s="71"/>
      <c r="AW86" s="71"/>
      <c r="AX86" s="1"/>
      <c r="AY86" s="1"/>
      <c r="AZ86" s="59"/>
      <c r="BO86" s="38"/>
    </row>
    <row r="87" spans="2:67" ht="13.8">
      <c r="B87" s="38"/>
      <c r="C87" s="63"/>
      <c r="D87" s="80"/>
      <c r="E87" s="81"/>
      <c r="F87" s="81"/>
      <c r="G87" s="81"/>
      <c r="H87" s="81"/>
      <c r="I87" s="82"/>
      <c r="J87" s="38"/>
      <c r="K87" s="65"/>
      <c r="L87" s="83"/>
      <c r="M87" s="66"/>
      <c r="N87" s="4"/>
      <c r="O87" s="46"/>
      <c r="P87" s="46"/>
      <c r="Q87" s="67"/>
      <c r="R87" s="221"/>
      <c r="S87" s="48"/>
      <c r="T87" s="69"/>
      <c r="U87" s="47"/>
      <c r="V87" s="46"/>
      <c r="W87" s="67"/>
      <c r="X87" s="68"/>
      <c r="Y87" s="48"/>
      <c r="Z87" s="4"/>
      <c r="AA87" s="46"/>
      <c r="AB87" s="46"/>
      <c r="AC87" s="67"/>
      <c r="AD87" s="68"/>
      <c r="AE87" s="48"/>
      <c r="AF87" s="4"/>
      <c r="AG87" s="46"/>
      <c r="AH87" s="46"/>
      <c r="AI87" s="67"/>
      <c r="AJ87" s="68"/>
      <c r="AK87" s="48"/>
      <c r="AL87" s="4"/>
      <c r="AM87" s="46"/>
      <c r="AN87" s="46"/>
      <c r="AO87" s="67"/>
      <c r="AP87" s="68"/>
      <c r="AQ87" s="48"/>
      <c r="AR87" s="4"/>
      <c r="AS87" s="46"/>
      <c r="AT87" s="46"/>
      <c r="AU87" s="70"/>
      <c r="AV87" s="71"/>
      <c r="AW87" s="71"/>
      <c r="AX87" s="1"/>
      <c r="AY87" s="1"/>
      <c r="AZ87" s="59"/>
      <c r="BO87" s="38"/>
    </row>
    <row r="88" spans="2:67" ht="13.8">
      <c r="B88" s="38"/>
      <c r="C88" s="63"/>
      <c r="D88" s="80"/>
      <c r="E88" s="81"/>
      <c r="F88" s="81"/>
      <c r="G88" s="81"/>
      <c r="H88" s="81"/>
      <c r="I88" s="82"/>
      <c r="J88" s="38"/>
      <c r="K88" s="65"/>
      <c r="L88" s="83"/>
      <c r="M88" s="66"/>
      <c r="N88" s="4"/>
      <c r="O88" s="46"/>
      <c r="P88" s="46"/>
      <c r="Q88" s="67"/>
      <c r="R88" s="221"/>
      <c r="S88" s="48"/>
      <c r="T88" s="69"/>
      <c r="U88" s="47"/>
      <c r="V88" s="46"/>
      <c r="W88" s="67"/>
      <c r="X88" s="68"/>
      <c r="Y88" s="48"/>
      <c r="Z88" s="4"/>
      <c r="AA88" s="46"/>
      <c r="AB88" s="46"/>
      <c r="AC88" s="67"/>
      <c r="AD88" s="68"/>
      <c r="AE88" s="48"/>
      <c r="AF88" s="4"/>
      <c r="AG88" s="46"/>
      <c r="AH88" s="46"/>
      <c r="AI88" s="67"/>
      <c r="AJ88" s="68"/>
      <c r="AK88" s="48"/>
      <c r="AL88" s="4"/>
      <c r="AM88" s="46"/>
      <c r="AN88" s="46"/>
      <c r="AO88" s="67"/>
      <c r="AP88" s="68"/>
      <c r="AQ88" s="48"/>
      <c r="AR88" s="4"/>
      <c r="AS88" s="46"/>
      <c r="AT88" s="46"/>
      <c r="AU88" s="70"/>
      <c r="AV88" s="71"/>
      <c r="AW88" s="71"/>
      <c r="AX88" s="1"/>
      <c r="AY88" s="1"/>
      <c r="AZ88" s="59"/>
      <c r="BO88" s="38"/>
    </row>
    <row r="89" spans="2:67" ht="13.8">
      <c r="B89" s="38"/>
      <c r="C89" s="63"/>
      <c r="D89" s="80"/>
      <c r="E89" s="81"/>
      <c r="F89" s="81"/>
      <c r="G89" s="81"/>
      <c r="H89" s="81"/>
      <c r="I89" s="82"/>
      <c r="J89" s="38"/>
      <c r="K89" s="65"/>
      <c r="L89" s="83"/>
      <c r="M89" s="66"/>
      <c r="N89" s="4"/>
      <c r="O89" s="46"/>
      <c r="P89" s="46"/>
      <c r="Q89" s="67"/>
      <c r="R89" s="221"/>
      <c r="S89" s="48"/>
      <c r="T89" s="69"/>
      <c r="U89" s="47"/>
      <c r="V89" s="46"/>
      <c r="W89" s="67"/>
      <c r="X89" s="68"/>
      <c r="Y89" s="48"/>
      <c r="Z89" s="4"/>
      <c r="AA89" s="46"/>
      <c r="AB89" s="46"/>
      <c r="AC89" s="67"/>
      <c r="AD89" s="68"/>
      <c r="AE89" s="48"/>
      <c r="AF89" s="4"/>
      <c r="AG89" s="46"/>
      <c r="AH89" s="46"/>
      <c r="AI89" s="67"/>
      <c r="AJ89" s="68"/>
      <c r="AK89" s="48"/>
      <c r="AL89" s="4"/>
      <c r="AM89" s="46"/>
      <c r="AN89" s="46"/>
      <c r="AO89" s="67"/>
      <c r="AP89" s="68"/>
      <c r="AQ89" s="48"/>
      <c r="AR89" s="4"/>
      <c r="AS89" s="46"/>
      <c r="AT89" s="46"/>
      <c r="AU89" s="70"/>
      <c r="AV89" s="71"/>
      <c r="AW89" s="71"/>
      <c r="AX89" s="1"/>
      <c r="AY89" s="1"/>
      <c r="AZ89" s="59"/>
      <c r="BO89" s="38"/>
    </row>
    <row r="90" spans="2:67" ht="13.8">
      <c r="B90" s="38"/>
      <c r="C90" s="63"/>
      <c r="D90" s="80"/>
      <c r="E90" s="81"/>
      <c r="F90" s="81"/>
      <c r="G90" s="81"/>
      <c r="H90" s="81"/>
      <c r="I90" s="82"/>
      <c r="J90" s="38"/>
      <c r="K90" s="65"/>
      <c r="L90" s="83"/>
      <c r="M90" s="66"/>
      <c r="N90" s="4"/>
      <c r="O90" s="46"/>
      <c r="P90" s="46"/>
      <c r="Q90" s="67"/>
      <c r="R90" s="221"/>
      <c r="S90" s="48"/>
      <c r="T90" s="69"/>
      <c r="U90" s="47"/>
      <c r="V90" s="46"/>
      <c r="W90" s="67"/>
      <c r="X90" s="68"/>
      <c r="Y90" s="48"/>
      <c r="Z90" s="4"/>
      <c r="AA90" s="46"/>
      <c r="AB90" s="46"/>
      <c r="AC90" s="67"/>
      <c r="AD90" s="68"/>
      <c r="AE90" s="48"/>
      <c r="AF90" s="4"/>
      <c r="AG90" s="46"/>
      <c r="AH90" s="46"/>
      <c r="AI90" s="67"/>
      <c r="AJ90" s="68"/>
      <c r="AK90" s="48"/>
      <c r="AL90" s="4"/>
      <c r="AM90" s="46"/>
      <c r="AN90" s="46"/>
      <c r="AO90" s="67"/>
      <c r="AP90" s="68"/>
      <c r="AQ90" s="48"/>
      <c r="AR90" s="4"/>
      <c r="AS90" s="46"/>
      <c r="AT90" s="46"/>
      <c r="AU90" s="70"/>
      <c r="AV90" s="71"/>
      <c r="AW90" s="71"/>
      <c r="AX90" s="1"/>
      <c r="AY90" s="1"/>
      <c r="AZ90" s="59"/>
      <c r="BO90" s="38"/>
    </row>
    <row r="91" spans="2:67" ht="13.8">
      <c r="B91" s="38"/>
      <c r="C91" s="63"/>
      <c r="D91" s="80"/>
      <c r="E91" s="81"/>
      <c r="F91" s="81"/>
      <c r="G91" s="81"/>
      <c r="H91" s="81"/>
      <c r="I91" s="82"/>
      <c r="J91" s="38"/>
      <c r="K91" s="65"/>
      <c r="L91" s="83"/>
      <c r="M91" s="66"/>
      <c r="N91" s="4"/>
      <c r="O91" s="46"/>
      <c r="P91" s="46"/>
      <c r="Q91" s="67"/>
      <c r="R91" s="221"/>
      <c r="S91" s="48"/>
      <c r="T91" s="69"/>
      <c r="U91" s="47"/>
      <c r="V91" s="46"/>
      <c r="W91" s="67"/>
      <c r="X91" s="68"/>
      <c r="Y91" s="48"/>
      <c r="Z91" s="4"/>
      <c r="AA91" s="46"/>
      <c r="AB91" s="46"/>
      <c r="AC91" s="67"/>
      <c r="AD91" s="68"/>
      <c r="AE91" s="48"/>
      <c r="AF91" s="4"/>
      <c r="AG91" s="46"/>
      <c r="AH91" s="46"/>
      <c r="AI91" s="67"/>
      <c r="AJ91" s="68"/>
      <c r="AK91" s="48"/>
      <c r="AL91" s="4"/>
      <c r="AM91" s="46"/>
      <c r="AN91" s="46"/>
      <c r="AO91" s="67"/>
      <c r="AP91" s="68"/>
      <c r="AQ91" s="48"/>
      <c r="AR91" s="4"/>
      <c r="AS91" s="46"/>
      <c r="AT91" s="46"/>
      <c r="AU91" s="70"/>
      <c r="AV91" s="71"/>
      <c r="AW91" s="71"/>
      <c r="AX91" s="1"/>
      <c r="AY91" s="1"/>
      <c r="AZ91" s="59"/>
      <c r="BO91" s="38"/>
    </row>
    <row r="92" spans="2:67" ht="13.8">
      <c r="B92" s="38"/>
      <c r="C92" s="63"/>
      <c r="D92" s="80"/>
      <c r="E92" s="81"/>
      <c r="F92" s="81"/>
      <c r="G92" s="81"/>
      <c r="H92" s="81"/>
      <c r="I92" s="82"/>
      <c r="J92" s="38"/>
      <c r="K92" s="65"/>
      <c r="L92" s="83"/>
      <c r="M92" s="66"/>
      <c r="N92" s="4"/>
      <c r="O92" s="46"/>
      <c r="P92" s="46"/>
      <c r="Q92" s="67"/>
      <c r="R92" s="221"/>
      <c r="S92" s="48"/>
      <c r="T92" s="69"/>
      <c r="U92" s="47"/>
      <c r="V92" s="46"/>
      <c r="W92" s="67"/>
      <c r="X92" s="68"/>
      <c r="Y92" s="48"/>
      <c r="Z92" s="4"/>
      <c r="AA92" s="46"/>
      <c r="AB92" s="46"/>
      <c r="AC92" s="67"/>
      <c r="AD92" s="68"/>
      <c r="AE92" s="48"/>
      <c r="AF92" s="4"/>
      <c r="AG92" s="46"/>
      <c r="AH92" s="46"/>
      <c r="AI92" s="67"/>
      <c r="AJ92" s="68"/>
      <c r="AK92" s="48"/>
      <c r="AL92" s="4"/>
      <c r="AM92" s="46"/>
      <c r="AN92" s="46"/>
      <c r="AO92" s="67"/>
      <c r="AP92" s="68"/>
      <c r="AQ92" s="48"/>
      <c r="AR92" s="4"/>
      <c r="AS92" s="46"/>
      <c r="AT92" s="46"/>
      <c r="AU92" s="70"/>
      <c r="AV92" s="71"/>
      <c r="AW92" s="71"/>
      <c r="AX92" s="1"/>
      <c r="AY92" s="1"/>
      <c r="AZ92" s="59"/>
      <c r="BO92" s="38"/>
    </row>
    <row r="93" spans="2:67" ht="13.8">
      <c r="B93" s="38"/>
      <c r="C93" s="63"/>
      <c r="D93" s="80"/>
      <c r="E93" s="81"/>
      <c r="F93" s="81"/>
      <c r="G93" s="81"/>
      <c r="H93" s="81"/>
      <c r="I93" s="82"/>
      <c r="J93" s="38"/>
      <c r="K93" s="65"/>
      <c r="L93" s="83"/>
      <c r="M93" s="66"/>
      <c r="N93" s="4"/>
      <c r="O93" s="46"/>
      <c r="P93" s="46"/>
      <c r="Q93" s="67"/>
      <c r="R93" s="221"/>
      <c r="S93" s="48"/>
      <c r="T93" s="69"/>
      <c r="U93" s="47"/>
      <c r="V93" s="46"/>
      <c r="W93" s="67"/>
      <c r="X93" s="68"/>
      <c r="Y93" s="48"/>
      <c r="Z93" s="4"/>
      <c r="AA93" s="46"/>
      <c r="AB93" s="46"/>
      <c r="AC93" s="67"/>
      <c r="AD93" s="68"/>
      <c r="AE93" s="48"/>
      <c r="AF93" s="4"/>
      <c r="AG93" s="46"/>
      <c r="AH93" s="46"/>
      <c r="AI93" s="67"/>
      <c r="AJ93" s="68"/>
      <c r="AK93" s="48"/>
      <c r="AL93" s="4"/>
      <c r="AM93" s="46"/>
      <c r="AN93" s="46"/>
      <c r="AO93" s="67"/>
      <c r="AP93" s="68"/>
      <c r="AQ93" s="48"/>
      <c r="AR93" s="4"/>
      <c r="AS93" s="46"/>
      <c r="AT93" s="46"/>
      <c r="AU93" s="70"/>
      <c r="AV93" s="71"/>
      <c r="AW93" s="71"/>
      <c r="AX93" s="1"/>
      <c r="AY93" s="1"/>
      <c r="AZ93" s="59"/>
      <c r="BO93" s="38"/>
    </row>
    <row r="94" spans="2:67" ht="13.8">
      <c r="B94" s="38"/>
      <c r="C94" s="63"/>
      <c r="D94" s="80"/>
      <c r="E94" s="81"/>
      <c r="F94" s="81"/>
      <c r="G94" s="81"/>
      <c r="H94" s="81"/>
      <c r="I94" s="82"/>
      <c r="J94" s="38"/>
      <c r="K94" s="65"/>
      <c r="L94" s="83"/>
      <c r="M94" s="66"/>
      <c r="N94" s="4"/>
      <c r="O94" s="46"/>
      <c r="P94" s="46"/>
      <c r="Q94" s="67"/>
      <c r="R94" s="221"/>
      <c r="S94" s="48"/>
      <c r="T94" s="69"/>
      <c r="U94" s="47"/>
      <c r="V94" s="46"/>
      <c r="W94" s="67"/>
      <c r="X94" s="68"/>
      <c r="Y94" s="48"/>
      <c r="Z94" s="4"/>
      <c r="AA94" s="46"/>
      <c r="AB94" s="46"/>
      <c r="AC94" s="67"/>
      <c r="AD94" s="68"/>
      <c r="AE94" s="48"/>
      <c r="AF94" s="4"/>
      <c r="AG94" s="46"/>
      <c r="AH94" s="46"/>
      <c r="AI94" s="67"/>
      <c r="AJ94" s="68"/>
      <c r="AK94" s="48"/>
      <c r="AL94" s="4"/>
      <c r="AM94" s="46"/>
      <c r="AN94" s="46"/>
      <c r="AO94" s="67"/>
      <c r="AP94" s="68"/>
      <c r="AQ94" s="48"/>
      <c r="AR94" s="4"/>
      <c r="AS94" s="46"/>
      <c r="AT94" s="46"/>
      <c r="AU94" s="70"/>
      <c r="AV94" s="71"/>
      <c r="AW94" s="71"/>
      <c r="AX94" s="1"/>
      <c r="AY94" s="1"/>
      <c r="AZ94" s="59"/>
      <c r="BO94" s="38"/>
    </row>
    <row r="95" spans="2:67" ht="13.8">
      <c r="B95" s="38"/>
      <c r="C95" s="63"/>
      <c r="D95" s="80"/>
      <c r="E95" s="81"/>
      <c r="F95" s="81"/>
      <c r="G95" s="81"/>
      <c r="H95" s="81"/>
      <c r="I95" s="82"/>
      <c r="J95" s="38"/>
      <c r="K95" s="65"/>
      <c r="L95" s="83"/>
      <c r="M95" s="66"/>
      <c r="N95" s="4"/>
      <c r="O95" s="46"/>
      <c r="P95" s="46"/>
      <c r="Q95" s="67"/>
      <c r="R95" s="221"/>
      <c r="S95" s="48"/>
      <c r="T95" s="69"/>
      <c r="U95" s="47"/>
      <c r="V95" s="46"/>
      <c r="W95" s="67"/>
      <c r="X95" s="68"/>
      <c r="Y95" s="48"/>
      <c r="Z95" s="4"/>
      <c r="AA95" s="46"/>
      <c r="AB95" s="46"/>
      <c r="AC95" s="67"/>
      <c r="AD95" s="68"/>
      <c r="AE95" s="48"/>
      <c r="AF95" s="4"/>
      <c r="AG95" s="46"/>
      <c r="AH95" s="46"/>
      <c r="AI95" s="67"/>
      <c r="AJ95" s="68"/>
      <c r="AK95" s="48"/>
      <c r="AL95" s="4"/>
      <c r="AM95" s="46"/>
      <c r="AN95" s="46"/>
      <c r="AO95" s="67"/>
      <c r="AP95" s="68"/>
      <c r="AQ95" s="48"/>
      <c r="AR95" s="4"/>
      <c r="AS95" s="46"/>
      <c r="AT95" s="46"/>
      <c r="AU95" s="70"/>
      <c r="AV95" s="71"/>
      <c r="AW95" s="71"/>
      <c r="AX95" s="1"/>
      <c r="AY95" s="1"/>
      <c r="AZ95" s="59"/>
      <c r="BO95" s="38"/>
    </row>
    <row r="96" spans="2:67" ht="13.8">
      <c r="B96" s="38"/>
      <c r="C96" s="63"/>
      <c r="D96" s="80"/>
      <c r="E96" s="81"/>
      <c r="F96" s="81"/>
      <c r="G96" s="81"/>
      <c r="H96" s="81"/>
      <c r="I96" s="82"/>
      <c r="J96" s="38"/>
      <c r="K96" s="65"/>
      <c r="L96" s="83"/>
      <c r="M96" s="66"/>
      <c r="N96" s="4"/>
      <c r="O96" s="46"/>
      <c r="P96" s="46"/>
      <c r="Q96" s="67"/>
      <c r="R96" s="221"/>
      <c r="S96" s="48"/>
      <c r="T96" s="69"/>
      <c r="U96" s="47"/>
      <c r="V96" s="46"/>
      <c r="W96" s="67"/>
      <c r="X96" s="68"/>
      <c r="Y96" s="48"/>
      <c r="Z96" s="4"/>
      <c r="AA96" s="46"/>
      <c r="AB96" s="46"/>
      <c r="AC96" s="67"/>
      <c r="AD96" s="68"/>
      <c r="AE96" s="48"/>
      <c r="AF96" s="4"/>
      <c r="AG96" s="46"/>
      <c r="AH96" s="46"/>
      <c r="AI96" s="67"/>
      <c r="AJ96" s="68"/>
      <c r="AK96" s="48"/>
      <c r="AL96" s="4"/>
      <c r="AM96" s="46"/>
      <c r="AN96" s="46"/>
      <c r="AO96" s="67"/>
      <c r="AP96" s="68"/>
      <c r="AQ96" s="48"/>
      <c r="AR96" s="4"/>
      <c r="AS96" s="46"/>
      <c r="AT96" s="46"/>
      <c r="AU96" s="70"/>
      <c r="AV96" s="71"/>
      <c r="AW96" s="71"/>
      <c r="AX96" s="1"/>
      <c r="AY96" s="1"/>
      <c r="AZ96" s="59"/>
      <c r="BO96" s="38"/>
    </row>
    <row r="97" spans="2:67" ht="13.8">
      <c r="B97" s="38"/>
      <c r="C97" s="63"/>
      <c r="D97" s="80"/>
      <c r="E97" s="81"/>
      <c r="F97" s="81"/>
      <c r="G97" s="81"/>
      <c r="H97" s="81"/>
      <c r="I97" s="82"/>
      <c r="J97" s="38"/>
      <c r="K97" s="65"/>
      <c r="L97" s="83"/>
      <c r="M97" s="66"/>
      <c r="N97" s="4"/>
      <c r="O97" s="46"/>
      <c r="P97" s="46"/>
      <c r="Q97" s="67"/>
      <c r="R97" s="221"/>
      <c r="S97" s="48"/>
      <c r="T97" s="69"/>
      <c r="U97" s="47"/>
      <c r="V97" s="46"/>
      <c r="W97" s="67"/>
      <c r="X97" s="68"/>
      <c r="Y97" s="48"/>
      <c r="Z97" s="4"/>
      <c r="AA97" s="46"/>
      <c r="AB97" s="46"/>
      <c r="AC97" s="67"/>
      <c r="AD97" s="68"/>
      <c r="AE97" s="48"/>
      <c r="AF97" s="4"/>
      <c r="AG97" s="46"/>
      <c r="AH97" s="46"/>
      <c r="AI97" s="67"/>
      <c r="AJ97" s="68"/>
      <c r="AK97" s="48"/>
      <c r="AL97" s="4"/>
      <c r="AM97" s="46"/>
      <c r="AN97" s="46"/>
      <c r="AO97" s="67"/>
      <c r="AP97" s="68"/>
      <c r="AQ97" s="48"/>
      <c r="AR97" s="4"/>
      <c r="AS97" s="46"/>
      <c r="AT97" s="46"/>
      <c r="AU97" s="70"/>
      <c r="AV97" s="71"/>
      <c r="AW97" s="71"/>
      <c r="AX97" s="1"/>
      <c r="AY97" s="1"/>
      <c r="AZ97" s="59"/>
      <c r="BO97" s="38"/>
    </row>
    <row r="98" spans="2:67" ht="13.8">
      <c r="B98" s="38"/>
      <c r="C98" s="63"/>
      <c r="D98" s="80"/>
      <c r="E98" s="81"/>
      <c r="F98" s="81"/>
      <c r="G98" s="81"/>
      <c r="H98" s="81"/>
      <c r="I98" s="82"/>
      <c r="J98" s="38"/>
      <c r="K98" s="65"/>
      <c r="L98" s="83"/>
      <c r="M98" s="66"/>
      <c r="N98" s="4"/>
      <c r="O98" s="46"/>
      <c r="P98" s="46"/>
      <c r="Q98" s="67"/>
      <c r="R98" s="221"/>
      <c r="S98" s="48"/>
      <c r="T98" s="69"/>
      <c r="U98" s="47"/>
      <c r="V98" s="46"/>
      <c r="W98" s="67"/>
      <c r="X98" s="68"/>
      <c r="Y98" s="48"/>
      <c r="Z98" s="4"/>
      <c r="AA98" s="46"/>
      <c r="AB98" s="46"/>
      <c r="AC98" s="67"/>
      <c r="AD98" s="68"/>
      <c r="AE98" s="48"/>
      <c r="AF98" s="4"/>
      <c r="AG98" s="46"/>
      <c r="AH98" s="46"/>
      <c r="AI98" s="67"/>
      <c r="AJ98" s="68"/>
      <c r="AK98" s="48"/>
      <c r="AL98" s="4"/>
      <c r="AM98" s="46"/>
      <c r="AN98" s="46"/>
      <c r="AO98" s="67"/>
      <c r="AP98" s="68"/>
      <c r="AQ98" s="48"/>
      <c r="AR98" s="4"/>
      <c r="AS98" s="46"/>
      <c r="AT98" s="46"/>
      <c r="AU98" s="70"/>
      <c r="AV98" s="71"/>
      <c r="AW98" s="71"/>
      <c r="AX98" s="1"/>
      <c r="AY98" s="1"/>
      <c r="AZ98" s="59"/>
      <c r="BO98" s="38"/>
    </row>
    <row r="99" spans="2:67" ht="13.8">
      <c r="B99" s="38"/>
      <c r="C99" s="63"/>
      <c r="D99" s="80"/>
      <c r="E99" s="81"/>
      <c r="F99" s="81"/>
      <c r="G99" s="81"/>
      <c r="H99" s="81"/>
      <c r="I99" s="82"/>
      <c r="J99" s="38"/>
      <c r="K99" s="65"/>
      <c r="L99" s="83"/>
      <c r="M99" s="66"/>
      <c r="N99" s="4"/>
      <c r="O99" s="46"/>
      <c r="P99" s="46"/>
      <c r="Q99" s="67"/>
      <c r="R99" s="221"/>
      <c r="S99" s="48"/>
      <c r="T99" s="69"/>
      <c r="U99" s="47"/>
      <c r="V99" s="46"/>
      <c r="W99" s="67"/>
      <c r="X99" s="68"/>
      <c r="Y99" s="48"/>
      <c r="Z99" s="4"/>
      <c r="AA99" s="46"/>
      <c r="AB99" s="46"/>
      <c r="AC99" s="67"/>
      <c r="AD99" s="68"/>
      <c r="AE99" s="48"/>
      <c r="AF99" s="4"/>
      <c r="AG99" s="46"/>
      <c r="AH99" s="46"/>
      <c r="AI99" s="67"/>
      <c r="AJ99" s="68"/>
      <c r="AK99" s="48"/>
      <c r="AL99" s="4"/>
      <c r="AM99" s="46"/>
      <c r="AN99" s="46"/>
      <c r="AO99" s="67"/>
      <c r="AP99" s="68"/>
      <c r="AQ99" s="48"/>
      <c r="AR99" s="4"/>
      <c r="AS99" s="46"/>
      <c r="AT99" s="46"/>
      <c r="AU99" s="70"/>
      <c r="AV99" s="71"/>
      <c r="AW99" s="71"/>
      <c r="AX99" s="1"/>
      <c r="AY99" s="1"/>
      <c r="AZ99" s="59"/>
      <c r="BO99" s="38"/>
    </row>
    <row r="100" spans="2:67" ht="13.8">
      <c r="B100" s="38"/>
      <c r="C100" s="63"/>
      <c r="D100" s="80"/>
      <c r="E100" s="81"/>
      <c r="F100" s="81"/>
      <c r="G100" s="81"/>
      <c r="H100" s="81"/>
      <c r="I100" s="82"/>
      <c r="J100" s="38"/>
      <c r="K100" s="65"/>
      <c r="L100" s="83"/>
      <c r="M100" s="66"/>
      <c r="N100" s="4"/>
      <c r="O100" s="46"/>
      <c r="P100" s="46"/>
      <c r="Q100" s="67"/>
      <c r="R100" s="221"/>
      <c r="S100" s="48"/>
      <c r="T100" s="69"/>
      <c r="U100" s="47"/>
      <c r="V100" s="46"/>
      <c r="W100" s="67"/>
      <c r="X100" s="68"/>
      <c r="Y100" s="48"/>
      <c r="Z100" s="4"/>
      <c r="AA100" s="46"/>
      <c r="AB100" s="46"/>
      <c r="AC100" s="67"/>
      <c r="AD100" s="68"/>
      <c r="AE100" s="48"/>
      <c r="AF100" s="4"/>
      <c r="AG100" s="46"/>
      <c r="AH100" s="46"/>
      <c r="AI100" s="67"/>
      <c r="AJ100" s="68"/>
      <c r="AK100" s="48"/>
      <c r="AL100" s="4"/>
      <c r="AM100" s="46"/>
      <c r="AN100" s="46"/>
      <c r="AO100" s="67"/>
      <c r="AP100" s="68"/>
      <c r="AQ100" s="48"/>
      <c r="AR100" s="4"/>
      <c r="AS100" s="46"/>
      <c r="AT100" s="46"/>
      <c r="AU100" s="70"/>
      <c r="AV100" s="71"/>
      <c r="AW100" s="71"/>
      <c r="AX100" s="1"/>
      <c r="AY100" s="1"/>
      <c r="AZ100" s="59"/>
      <c r="BO100" s="38"/>
    </row>
    <row r="101" spans="2:67" ht="13.8">
      <c r="B101" s="38"/>
      <c r="C101" s="63"/>
      <c r="D101" s="80"/>
      <c r="E101" s="81"/>
      <c r="F101" s="81"/>
      <c r="G101" s="81"/>
      <c r="H101" s="81"/>
      <c r="I101" s="82"/>
      <c r="J101" s="38"/>
      <c r="K101" s="65"/>
      <c r="L101" s="83"/>
      <c r="M101" s="66"/>
      <c r="N101" s="4"/>
      <c r="O101" s="46"/>
      <c r="P101" s="46"/>
      <c r="Q101" s="67"/>
      <c r="R101" s="221"/>
      <c r="S101" s="48"/>
      <c r="T101" s="69"/>
      <c r="U101" s="47"/>
      <c r="V101" s="46"/>
      <c r="W101" s="67"/>
      <c r="X101" s="68"/>
      <c r="Y101" s="48"/>
      <c r="Z101" s="4"/>
      <c r="AA101" s="46"/>
      <c r="AB101" s="46"/>
      <c r="AC101" s="67"/>
      <c r="AD101" s="68"/>
      <c r="AE101" s="48"/>
      <c r="AF101" s="4"/>
      <c r="AG101" s="46"/>
      <c r="AH101" s="46"/>
      <c r="AI101" s="67"/>
      <c r="AJ101" s="68"/>
      <c r="AK101" s="48"/>
      <c r="AL101" s="4"/>
      <c r="AM101" s="46"/>
      <c r="AN101" s="46"/>
      <c r="AO101" s="67"/>
      <c r="AP101" s="68"/>
      <c r="AQ101" s="48"/>
      <c r="AR101" s="4"/>
      <c r="AS101" s="46"/>
      <c r="AT101" s="46"/>
      <c r="AU101" s="70"/>
      <c r="AV101" s="71"/>
      <c r="AW101" s="71"/>
      <c r="AX101" s="1"/>
      <c r="AY101" s="1"/>
      <c r="AZ101" s="59"/>
      <c r="BO101" s="38"/>
    </row>
    <row r="102" spans="2:67" ht="13.8">
      <c r="B102" s="38"/>
      <c r="C102" s="63"/>
      <c r="D102" s="80"/>
      <c r="E102" s="81"/>
      <c r="F102" s="81"/>
      <c r="G102" s="81"/>
      <c r="H102" s="81"/>
      <c r="I102" s="82"/>
      <c r="J102" s="38"/>
      <c r="K102" s="65"/>
      <c r="L102" s="83"/>
      <c r="M102" s="66"/>
      <c r="N102" s="4"/>
      <c r="O102" s="46"/>
      <c r="P102" s="46"/>
      <c r="Q102" s="67"/>
      <c r="R102" s="221"/>
      <c r="S102" s="48"/>
      <c r="T102" s="69"/>
      <c r="U102" s="47"/>
      <c r="V102" s="46"/>
      <c r="W102" s="67"/>
      <c r="X102" s="68"/>
      <c r="Y102" s="48"/>
      <c r="Z102" s="4"/>
      <c r="AA102" s="46"/>
      <c r="AB102" s="46"/>
      <c r="AC102" s="67"/>
      <c r="AD102" s="68"/>
      <c r="AE102" s="48"/>
      <c r="AF102" s="4"/>
      <c r="AG102" s="46"/>
      <c r="AH102" s="46"/>
      <c r="AI102" s="67"/>
      <c r="AJ102" s="68"/>
      <c r="AK102" s="48"/>
      <c r="AL102" s="4"/>
      <c r="AM102" s="46"/>
      <c r="AN102" s="46"/>
      <c r="AO102" s="67"/>
      <c r="AP102" s="68"/>
      <c r="AQ102" s="48"/>
      <c r="AR102" s="4"/>
      <c r="AS102" s="46"/>
      <c r="AT102" s="46"/>
      <c r="AU102" s="70"/>
      <c r="AV102" s="71"/>
      <c r="AW102" s="71"/>
      <c r="AX102" s="1"/>
      <c r="AY102" s="1"/>
      <c r="AZ102" s="59"/>
      <c r="BO102" s="38"/>
    </row>
    <row r="103" spans="2:67" ht="13.8">
      <c r="B103" s="38"/>
      <c r="C103" s="63"/>
      <c r="D103" s="80"/>
      <c r="E103" s="81"/>
      <c r="F103" s="81"/>
      <c r="G103" s="81"/>
      <c r="H103" s="81"/>
      <c r="I103" s="82"/>
      <c r="J103" s="38"/>
      <c r="K103" s="65"/>
      <c r="L103" s="83"/>
      <c r="M103" s="66"/>
      <c r="N103" s="4"/>
      <c r="O103" s="46"/>
      <c r="P103" s="46"/>
      <c r="Q103" s="67"/>
      <c r="R103" s="221"/>
      <c r="S103" s="48"/>
      <c r="T103" s="69"/>
      <c r="U103" s="47"/>
      <c r="V103" s="46"/>
      <c r="W103" s="67"/>
      <c r="X103" s="68"/>
      <c r="Y103" s="48"/>
      <c r="Z103" s="4"/>
      <c r="AA103" s="46"/>
      <c r="AB103" s="46"/>
      <c r="AC103" s="67"/>
      <c r="AD103" s="68"/>
      <c r="AE103" s="48"/>
      <c r="AF103" s="4"/>
      <c r="AG103" s="46"/>
      <c r="AH103" s="46"/>
      <c r="AI103" s="67"/>
      <c r="AJ103" s="68"/>
      <c r="AK103" s="48"/>
      <c r="AL103" s="4"/>
      <c r="AM103" s="46"/>
      <c r="AN103" s="46"/>
      <c r="AO103" s="67"/>
      <c r="AP103" s="68"/>
      <c r="AQ103" s="48"/>
      <c r="AR103" s="4"/>
      <c r="AS103" s="46"/>
      <c r="AT103" s="46"/>
      <c r="AU103" s="70"/>
      <c r="AV103" s="71"/>
      <c r="AW103" s="71"/>
      <c r="AX103" s="1"/>
      <c r="AY103" s="1"/>
      <c r="AZ103" s="59"/>
      <c r="BO103" s="38"/>
    </row>
    <row r="104" spans="2:67" ht="13.8">
      <c r="B104" s="38"/>
      <c r="C104" s="63"/>
      <c r="D104" s="80"/>
      <c r="E104" s="81"/>
      <c r="F104" s="81"/>
      <c r="G104" s="81"/>
      <c r="H104" s="81"/>
      <c r="I104" s="82"/>
      <c r="J104" s="38"/>
      <c r="K104" s="65"/>
      <c r="L104" s="83"/>
      <c r="M104" s="66"/>
      <c r="N104" s="4"/>
      <c r="O104" s="46"/>
      <c r="P104" s="46"/>
      <c r="Q104" s="67"/>
      <c r="R104" s="221"/>
      <c r="S104" s="48"/>
      <c r="T104" s="69"/>
      <c r="U104" s="47"/>
      <c r="V104" s="46"/>
      <c r="W104" s="67"/>
      <c r="X104" s="68"/>
      <c r="Y104" s="48"/>
      <c r="Z104" s="4"/>
      <c r="AA104" s="46"/>
      <c r="AB104" s="46"/>
      <c r="AC104" s="67"/>
      <c r="AD104" s="68"/>
      <c r="AE104" s="48"/>
      <c r="AF104" s="4"/>
      <c r="AG104" s="46"/>
      <c r="AH104" s="46"/>
      <c r="AI104" s="67"/>
      <c r="AJ104" s="68"/>
      <c r="AK104" s="48"/>
      <c r="AL104" s="4"/>
      <c r="AM104" s="46"/>
      <c r="AN104" s="46"/>
      <c r="AO104" s="67"/>
      <c r="AP104" s="68"/>
      <c r="AQ104" s="48"/>
      <c r="AR104" s="4"/>
      <c r="AS104" s="46"/>
      <c r="AT104" s="46"/>
      <c r="AU104" s="70"/>
      <c r="AV104" s="71"/>
      <c r="AW104" s="71"/>
      <c r="AX104" s="1"/>
      <c r="AY104" s="1"/>
      <c r="AZ104" s="59"/>
      <c r="BO104" s="38"/>
    </row>
    <row r="105" spans="2:67" ht="13.8">
      <c r="B105" s="38"/>
      <c r="C105" s="63"/>
      <c r="D105" s="80"/>
      <c r="E105" s="81"/>
      <c r="F105" s="81"/>
      <c r="G105" s="81"/>
      <c r="H105" s="81"/>
      <c r="I105" s="82"/>
      <c r="J105" s="38"/>
      <c r="K105" s="65"/>
      <c r="L105" s="83"/>
      <c r="M105" s="66"/>
      <c r="N105" s="4"/>
      <c r="O105" s="46"/>
      <c r="P105" s="46"/>
      <c r="Q105" s="67"/>
      <c r="R105" s="221"/>
      <c r="S105" s="48"/>
      <c r="T105" s="69"/>
      <c r="U105" s="47"/>
      <c r="V105" s="46"/>
      <c r="W105" s="67"/>
      <c r="X105" s="68"/>
      <c r="Y105" s="48"/>
      <c r="Z105" s="4"/>
      <c r="AA105" s="46"/>
      <c r="AB105" s="46"/>
      <c r="AC105" s="67"/>
      <c r="AD105" s="68"/>
      <c r="AE105" s="48"/>
      <c r="AF105" s="4"/>
      <c r="AG105" s="46"/>
      <c r="AH105" s="46"/>
      <c r="AI105" s="67"/>
      <c r="AJ105" s="68"/>
      <c r="AK105" s="48"/>
      <c r="AL105" s="4"/>
      <c r="AM105" s="46"/>
      <c r="AN105" s="46"/>
      <c r="AO105" s="67"/>
      <c r="AP105" s="68"/>
      <c r="AQ105" s="48"/>
      <c r="AR105" s="4"/>
      <c r="AS105" s="46"/>
      <c r="AT105" s="46"/>
      <c r="AU105" s="70"/>
      <c r="AV105" s="71"/>
      <c r="AW105" s="71"/>
      <c r="AX105" s="1"/>
      <c r="AY105" s="1"/>
      <c r="AZ105" s="59"/>
      <c r="BO105" s="38"/>
    </row>
    <row r="106" spans="2:67" ht="13.8">
      <c r="B106" s="38"/>
      <c r="C106" s="63"/>
      <c r="D106" s="80"/>
      <c r="E106" s="81"/>
      <c r="F106" s="81"/>
      <c r="G106" s="81"/>
      <c r="H106" s="81"/>
      <c r="I106" s="82"/>
      <c r="J106" s="38"/>
      <c r="K106" s="65"/>
      <c r="L106" s="83"/>
      <c r="M106" s="66"/>
      <c r="N106" s="4"/>
      <c r="O106" s="46"/>
      <c r="P106" s="46"/>
      <c r="Q106" s="67"/>
      <c r="R106" s="221"/>
      <c r="S106" s="48"/>
      <c r="T106" s="69"/>
      <c r="U106" s="47"/>
      <c r="V106" s="46"/>
      <c r="W106" s="67"/>
      <c r="X106" s="68"/>
      <c r="Y106" s="48"/>
      <c r="Z106" s="4"/>
      <c r="AA106" s="46"/>
      <c r="AB106" s="46"/>
      <c r="AC106" s="67"/>
      <c r="AD106" s="68"/>
      <c r="AE106" s="48"/>
      <c r="AF106" s="4"/>
      <c r="AG106" s="46"/>
      <c r="AH106" s="46"/>
      <c r="AI106" s="67"/>
      <c r="AJ106" s="68"/>
      <c r="AK106" s="48"/>
      <c r="AL106" s="4"/>
      <c r="AM106" s="46"/>
      <c r="AN106" s="46"/>
      <c r="AO106" s="67"/>
      <c r="AP106" s="68"/>
      <c r="AQ106" s="48"/>
      <c r="AR106" s="4"/>
      <c r="AS106" s="46"/>
      <c r="AT106" s="46"/>
      <c r="AU106" s="70"/>
      <c r="AV106" s="71"/>
      <c r="AW106" s="71"/>
      <c r="AX106" s="1"/>
      <c r="AY106" s="1"/>
      <c r="AZ106" s="59"/>
      <c r="BO106" s="38"/>
    </row>
    <row r="107" spans="2:67" ht="13.8">
      <c r="B107" s="38"/>
      <c r="C107" s="63"/>
      <c r="D107" s="80"/>
      <c r="E107" s="81"/>
      <c r="F107" s="81"/>
      <c r="G107" s="81"/>
      <c r="H107" s="81"/>
      <c r="I107" s="82"/>
      <c r="J107" s="38"/>
      <c r="K107" s="65"/>
      <c r="L107" s="83"/>
      <c r="M107" s="66"/>
      <c r="N107" s="4"/>
      <c r="O107" s="46"/>
      <c r="P107" s="46"/>
      <c r="Q107" s="67"/>
      <c r="R107" s="221"/>
      <c r="S107" s="48"/>
      <c r="T107" s="69"/>
      <c r="U107" s="47"/>
      <c r="V107" s="46"/>
      <c r="W107" s="67"/>
      <c r="X107" s="68"/>
      <c r="Y107" s="48"/>
      <c r="Z107" s="4"/>
      <c r="AA107" s="46"/>
      <c r="AB107" s="46"/>
      <c r="AC107" s="67"/>
      <c r="AD107" s="68"/>
      <c r="AE107" s="48"/>
      <c r="AF107" s="4"/>
      <c r="AG107" s="46"/>
      <c r="AH107" s="46"/>
      <c r="AI107" s="67"/>
      <c r="AJ107" s="68"/>
      <c r="AK107" s="48"/>
      <c r="AL107" s="4"/>
      <c r="AM107" s="46"/>
      <c r="AN107" s="46"/>
      <c r="AO107" s="67"/>
      <c r="AP107" s="68"/>
      <c r="AQ107" s="48"/>
      <c r="AR107" s="4"/>
      <c r="AS107" s="46"/>
      <c r="AT107" s="46"/>
      <c r="AU107" s="70"/>
      <c r="AV107" s="71"/>
      <c r="AW107" s="71"/>
      <c r="AX107" s="1"/>
      <c r="AY107" s="1"/>
      <c r="AZ107" s="59"/>
      <c r="BO107" s="38"/>
    </row>
    <row r="108" spans="2:67" ht="13.8">
      <c r="B108" s="38"/>
      <c r="C108" s="63"/>
      <c r="D108" s="80"/>
      <c r="E108" s="81"/>
      <c r="F108" s="81"/>
      <c r="G108" s="81"/>
      <c r="H108" s="81"/>
      <c r="I108" s="82"/>
      <c r="J108" s="38"/>
      <c r="K108" s="65"/>
      <c r="L108" s="83"/>
      <c r="M108" s="66"/>
      <c r="N108" s="4"/>
      <c r="O108" s="46"/>
      <c r="P108" s="46"/>
      <c r="Q108" s="67"/>
      <c r="R108" s="221"/>
      <c r="S108" s="48"/>
      <c r="T108" s="69"/>
      <c r="U108" s="47"/>
      <c r="V108" s="46"/>
      <c r="W108" s="67"/>
      <c r="X108" s="68"/>
      <c r="Y108" s="48"/>
      <c r="Z108" s="4"/>
      <c r="AA108" s="46"/>
      <c r="AB108" s="46"/>
      <c r="AC108" s="67"/>
      <c r="AD108" s="68"/>
      <c r="AE108" s="48"/>
      <c r="AF108" s="4"/>
      <c r="AG108" s="46"/>
      <c r="AH108" s="46"/>
      <c r="AI108" s="67"/>
      <c r="AJ108" s="68"/>
      <c r="AK108" s="48"/>
      <c r="AL108" s="4"/>
      <c r="AM108" s="46"/>
      <c r="AN108" s="46"/>
      <c r="AO108" s="67"/>
      <c r="AP108" s="68"/>
      <c r="AQ108" s="48"/>
      <c r="AR108" s="4"/>
      <c r="AS108" s="46"/>
      <c r="AT108" s="46"/>
      <c r="AU108" s="70"/>
      <c r="AV108" s="71"/>
      <c r="AW108" s="71"/>
      <c r="AX108" s="1"/>
      <c r="AY108" s="1"/>
      <c r="AZ108" s="59"/>
      <c r="BO108" s="38"/>
    </row>
    <row r="109" spans="2:67" ht="13.8">
      <c r="B109" s="38"/>
      <c r="C109" s="63"/>
      <c r="D109" s="80"/>
      <c r="E109" s="81"/>
      <c r="F109" s="81"/>
      <c r="G109" s="81"/>
      <c r="H109" s="81"/>
      <c r="I109" s="82"/>
      <c r="J109" s="38"/>
      <c r="K109" s="65"/>
      <c r="L109" s="83"/>
      <c r="M109" s="66"/>
      <c r="N109" s="4"/>
      <c r="O109" s="46"/>
      <c r="P109" s="46"/>
      <c r="Q109" s="67"/>
      <c r="R109" s="221"/>
      <c r="S109" s="48"/>
      <c r="T109" s="69"/>
      <c r="U109" s="47"/>
      <c r="V109" s="46"/>
      <c r="W109" s="67"/>
      <c r="X109" s="68"/>
      <c r="Y109" s="48"/>
      <c r="Z109" s="4"/>
      <c r="AA109" s="46"/>
      <c r="AB109" s="46"/>
      <c r="AC109" s="67"/>
      <c r="AD109" s="68"/>
      <c r="AE109" s="48"/>
      <c r="AF109" s="4"/>
      <c r="AG109" s="46"/>
      <c r="AH109" s="46"/>
      <c r="AI109" s="67"/>
      <c r="AJ109" s="68"/>
      <c r="AK109" s="48"/>
      <c r="AL109" s="4"/>
      <c r="AM109" s="46"/>
      <c r="AN109" s="46"/>
      <c r="AO109" s="67"/>
      <c r="AP109" s="68"/>
      <c r="AQ109" s="48"/>
      <c r="AR109" s="4"/>
      <c r="AS109" s="46"/>
      <c r="AT109" s="46"/>
      <c r="AU109" s="70"/>
      <c r="AV109" s="71"/>
      <c r="AW109" s="71"/>
      <c r="AX109" s="1"/>
      <c r="AY109" s="1"/>
      <c r="AZ109" s="59"/>
      <c r="BO109" s="38"/>
    </row>
    <row r="110" spans="2:67" ht="13.8">
      <c r="B110" s="38"/>
      <c r="C110" s="63"/>
      <c r="D110" s="80"/>
      <c r="E110" s="81"/>
      <c r="F110" s="81"/>
      <c r="G110" s="81"/>
      <c r="H110" s="81"/>
      <c r="I110" s="82"/>
      <c r="J110" s="38"/>
      <c r="K110" s="65"/>
      <c r="L110" s="83"/>
      <c r="M110" s="66"/>
      <c r="N110" s="4"/>
      <c r="O110" s="46"/>
      <c r="P110" s="46"/>
      <c r="Q110" s="67"/>
      <c r="R110" s="221"/>
      <c r="S110" s="48"/>
      <c r="T110" s="69"/>
      <c r="U110" s="47"/>
      <c r="V110" s="46"/>
      <c r="W110" s="67"/>
      <c r="X110" s="68"/>
      <c r="Y110" s="48"/>
      <c r="Z110" s="4"/>
      <c r="AA110" s="46"/>
      <c r="AB110" s="46"/>
      <c r="AC110" s="67"/>
      <c r="AD110" s="68"/>
      <c r="AE110" s="48"/>
      <c r="AF110" s="4"/>
      <c r="AG110" s="46"/>
      <c r="AH110" s="46"/>
      <c r="AI110" s="67"/>
      <c r="AJ110" s="68"/>
      <c r="AK110" s="48"/>
      <c r="AL110" s="4"/>
      <c r="AM110" s="46"/>
      <c r="AN110" s="46"/>
      <c r="AO110" s="67"/>
      <c r="AP110" s="68"/>
      <c r="AQ110" s="48"/>
      <c r="AR110" s="4"/>
      <c r="AS110" s="46"/>
      <c r="AT110" s="46"/>
      <c r="AU110" s="70"/>
      <c r="AV110" s="71"/>
      <c r="AW110" s="71"/>
      <c r="AX110" s="1"/>
      <c r="AY110" s="1"/>
      <c r="AZ110" s="59"/>
      <c r="BO110" s="38"/>
    </row>
    <row r="111" spans="2:67" ht="13.8">
      <c r="B111" s="38"/>
      <c r="C111" s="63"/>
      <c r="D111" s="80"/>
      <c r="E111" s="81"/>
      <c r="F111" s="81"/>
      <c r="G111" s="81"/>
      <c r="H111" s="81"/>
      <c r="I111" s="82"/>
      <c r="J111" s="38"/>
      <c r="K111" s="65"/>
      <c r="L111" s="83"/>
      <c r="M111" s="66"/>
      <c r="N111" s="4"/>
      <c r="O111" s="46"/>
      <c r="P111" s="46"/>
      <c r="Q111" s="67"/>
      <c r="R111" s="221"/>
      <c r="S111" s="48"/>
      <c r="T111" s="69"/>
      <c r="U111" s="47"/>
      <c r="V111" s="46"/>
      <c r="W111" s="67"/>
      <c r="X111" s="68"/>
      <c r="Y111" s="48"/>
      <c r="Z111" s="4"/>
      <c r="AA111" s="46"/>
      <c r="AB111" s="46"/>
      <c r="AC111" s="67"/>
      <c r="AD111" s="68"/>
      <c r="AE111" s="48"/>
      <c r="AF111" s="4"/>
      <c r="AG111" s="46"/>
      <c r="AH111" s="46"/>
      <c r="AI111" s="67"/>
      <c r="AJ111" s="68"/>
      <c r="AK111" s="48"/>
      <c r="AL111" s="4"/>
      <c r="AM111" s="46"/>
      <c r="AN111" s="46"/>
      <c r="AO111" s="67"/>
      <c r="AP111" s="68"/>
      <c r="AQ111" s="48"/>
      <c r="AR111" s="4"/>
      <c r="AS111" s="46"/>
      <c r="AT111" s="46"/>
      <c r="AU111" s="70"/>
      <c r="AV111" s="71"/>
      <c r="AW111" s="71"/>
      <c r="AX111" s="1"/>
      <c r="AY111" s="1"/>
      <c r="AZ111" s="59"/>
      <c r="BO111" s="38"/>
    </row>
    <row r="112" spans="2:67" ht="13.8">
      <c r="B112" s="38"/>
      <c r="C112" s="63"/>
      <c r="D112" s="80"/>
      <c r="E112" s="81"/>
      <c r="F112" s="81"/>
      <c r="G112" s="81"/>
      <c r="H112" s="81"/>
      <c r="I112" s="82"/>
      <c r="J112" s="38"/>
      <c r="K112" s="65"/>
      <c r="L112" s="83"/>
      <c r="M112" s="66"/>
      <c r="N112" s="4"/>
      <c r="O112" s="46"/>
      <c r="P112" s="46"/>
      <c r="Q112" s="67"/>
      <c r="R112" s="221"/>
      <c r="S112" s="48"/>
      <c r="T112" s="69"/>
      <c r="U112" s="47"/>
      <c r="V112" s="46"/>
      <c r="W112" s="67"/>
      <c r="X112" s="68"/>
      <c r="Y112" s="48"/>
      <c r="Z112" s="4"/>
      <c r="AA112" s="46"/>
      <c r="AB112" s="46"/>
      <c r="AC112" s="67"/>
      <c r="AD112" s="68"/>
      <c r="AE112" s="48"/>
      <c r="AF112" s="4"/>
      <c r="AG112" s="46"/>
      <c r="AH112" s="46"/>
      <c r="AI112" s="67"/>
      <c r="AJ112" s="68"/>
      <c r="AK112" s="48"/>
      <c r="AL112" s="4"/>
      <c r="AM112" s="46"/>
      <c r="AN112" s="46"/>
      <c r="AO112" s="67"/>
      <c r="AP112" s="68"/>
      <c r="AQ112" s="48"/>
      <c r="AR112" s="4"/>
      <c r="AS112" s="46"/>
      <c r="AT112" s="46"/>
      <c r="AU112" s="70"/>
      <c r="AV112" s="71"/>
      <c r="AW112" s="71"/>
      <c r="AX112" s="1"/>
      <c r="AY112" s="1"/>
      <c r="AZ112" s="59"/>
      <c r="BO112" s="38"/>
    </row>
    <row r="113" spans="2:67" ht="13.8">
      <c r="B113" s="38"/>
      <c r="C113" s="63"/>
      <c r="D113" s="80"/>
      <c r="E113" s="81"/>
      <c r="F113" s="81"/>
      <c r="G113" s="81"/>
      <c r="H113" s="81"/>
      <c r="I113" s="82"/>
      <c r="J113" s="38"/>
      <c r="K113" s="65"/>
      <c r="L113" s="83"/>
      <c r="M113" s="66"/>
      <c r="N113" s="4"/>
      <c r="O113" s="46"/>
      <c r="P113" s="46"/>
      <c r="Q113" s="67"/>
      <c r="R113" s="221"/>
      <c r="S113" s="48"/>
      <c r="T113" s="69"/>
      <c r="U113" s="47"/>
      <c r="V113" s="46"/>
      <c r="W113" s="67"/>
      <c r="X113" s="68"/>
      <c r="Y113" s="48"/>
      <c r="Z113" s="4"/>
      <c r="AA113" s="46"/>
      <c r="AB113" s="46"/>
      <c r="AC113" s="67"/>
      <c r="AD113" s="68"/>
      <c r="AE113" s="48"/>
      <c r="AF113" s="4"/>
      <c r="AG113" s="46"/>
      <c r="AH113" s="46"/>
      <c r="AI113" s="67"/>
      <c r="AJ113" s="68"/>
      <c r="AK113" s="48"/>
      <c r="AL113" s="4"/>
      <c r="AM113" s="46"/>
      <c r="AN113" s="46"/>
      <c r="AO113" s="67"/>
      <c r="AP113" s="68"/>
      <c r="AQ113" s="48"/>
      <c r="AR113" s="4"/>
      <c r="AS113" s="46"/>
      <c r="AT113" s="46"/>
      <c r="AU113" s="70"/>
      <c r="AV113" s="71"/>
      <c r="AW113" s="71"/>
      <c r="AX113" s="1"/>
      <c r="AY113" s="1"/>
      <c r="AZ113" s="59"/>
      <c r="BO113" s="38"/>
    </row>
    <row r="114" spans="2:67" ht="13.8">
      <c r="B114" s="38"/>
      <c r="C114" s="63"/>
      <c r="D114" s="80"/>
      <c r="E114" s="81"/>
      <c r="F114" s="81"/>
      <c r="G114" s="81"/>
      <c r="H114" s="81"/>
      <c r="I114" s="82"/>
      <c r="J114" s="38"/>
      <c r="K114" s="65"/>
      <c r="L114" s="83"/>
      <c r="M114" s="66"/>
      <c r="N114" s="4"/>
      <c r="O114" s="46"/>
      <c r="P114" s="46"/>
      <c r="Q114" s="67"/>
      <c r="R114" s="221"/>
      <c r="S114" s="48"/>
      <c r="T114" s="69"/>
      <c r="U114" s="47"/>
      <c r="V114" s="46"/>
      <c r="W114" s="67"/>
      <c r="X114" s="68"/>
      <c r="Y114" s="48"/>
      <c r="Z114" s="4"/>
      <c r="AA114" s="46"/>
      <c r="AB114" s="46"/>
      <c r="AC114" s="67"/>
      <c r="AD114" s="68"/>
      <c r="AE114" s="48"/>
      <c r="AF114" s="4"/>
      <c r="AG114" s="46"/>
      <c r="AH114" s="46"/>
      <c r="AI114" s="67"/>
      <c r="AJ114" s="68"/>
      <c r="AK114" s="48"/>
      <c r="AL114" s="4"/>
      <c r="AM114" s="46"/>
      <c r="AN114" s="46"/>
      <c r="AO114" s="67"/>
      <c r="AP114" s="68"/>
      <c r="AQ114" s="48"/>
      <c r="AR114" s="4"/>
      <c r="AS114" s="46"/>
      <c r="AT114" s="46"/>
      <c r="AU114" s="70"/>
      <c r="AV114" s="71"/>
      <c r="AW114" s="71"/>
      <c r="AX114" s="1"/>
      <c r="AY114" s="1"/>
      <c r="AZ114" s="59"/>
      <c r="BO114" s="38"/>
    </row>
    <row r="115" spans="2:67" ht="13.8">
      <c r="B115" s="38"/>
      <c r="C115" s="63"/>
      <c r="D115" s="80"/>
      <c r="E115" s="81"/>
      <c r="F115" s="81"/>
      <c r="G115" s="81"/>
      <c r="H115" s="81"/>
      <c r="I115" s="82"/>
      <c r="J115" s="38"/>
      <c r="K115" s="65"/>
      <c r="L115" s="83"/>
      <c r="M115" s="66"/>
      <c r="N115" s="4"/>
      <c r="O115" s="46"/>
      <c r="P115" s="46"/>
      <c r="Q115" s="67"/>
      <c r="R115" s="221"/>
      <c r="S115" s="48"/>
      <c r="T115" s="69"/>
      <c r="U115" s="47"/>
      <c r="V115" s="46"/>
      <c r="W115" s="67"/>
      <c r="X115" s="68"/>
      <c r="Y115" s="48"/>
      <c r="Z115" s="4"/>
      <c r="AA115" s="46"/>
      <c r="AB115" s="46"/>
      <c r="AC115" s="67"/>
      <c r="AD115" s="68"/>
      <c r="AE115" s="48"/>
      <c r="AF115" s="4"/>
      <c r="AG115" s="46"/>
      <c r="AH115" s="46"/>
      <c r="AI115" s="67"/>
      <c r="AJ115" s="68"/>
      <c r="AK115" s="48"/>
      <c r="AL115" s="4"/>
      <c r="AM115" s="46"/>
      <c r="AN115" s="46"/>
      <c r="AO115" s="67"/>
      <c r="AP115" s="68"/>
      <c r="AQ115" s="48"/>
      <c r="AR115" s="4"/>
      <c r="AS115" s="46"/>
      <c r="AT115" s="46"/>
      <c r="AU115" s="70"/>
      <c r="AV115" s="71"/>
      <c r="AW115" s="71"/>
      <c r="AX115" s="1"/>
      <c r="AY115" s="1"/>
      <c r="AZ115" s="59"/>
      <c r="BO115" s="38"/>
    </row>
    <row r="116" spans="2:67" ht="13.8">
      <c r="B116" s="38"/>
      <c r="C116" s="63"/>
      <c r="D116" s="80"/>
      <c r="E116" s="81"/>
      <c r="F116" s="81"/>
      <c r="G116" s="81"/>
      <c r="H116" s="81"/>
      <c r="I116" s="82"/>
      <c r="J116" s="38"/>
      <c r="K116" s="65"/>
      <c r="L116" s="83"/>
      <c r="M116" s="66"/>
      <c r="N116" s="4"/>
      <c r="O116" s="46"/>
      <c r="P116" s="46"/>
      <c r="Q116" s="67"/>
      <c r="R116" s="221"/>
      <c r="S116" s="48"/>
      <c r="T116" s="69"/>
      <c r="U116" s="47"/>
      <c r="V116" s="46"/>
      <c r="W116" s="67"/>
      <c r="X116" s="68"/>
      <c r="Y116" s="48"/>
      <c r="Z116" s="4"/>
      <c r="AA116" s="46"/>
      <c r="AB116" s="46"/>
      <c r="AC116" s="67"/>
      <c r="AD116" s="68"/>
      <c r="AE116" s="48"/>
      <c r="AF116" s="4"/>
      <c r="AG116" s="46"/>
      <c r="AH116" s="46"/>
      <c r="AI116" s="67"/>
      <c r="AJ116" s="68"/>
      <c r="AK116" s="48"/>
      <c r="AL116" s="4"/>
      <c r="AM116" s="46"/>
      <c r="AN116" s="46"/>
      <c r="AO116" s="67"/>
      <c r="AP116" s="68"/>
      <c r="AQ116" s="48"/>
      <c r="AR116" s="4"/>
      <c r="AS116" s="46"/>
      <c r="AT116" s="46"/>
      <c r="AU116" s="70"/>
      <c r="AV116" s="71"/>
      <c r="AW116" s="71"/>
      <c r="AX116" s="1"/>
      <c r="AY116" s="1"/>
      <c r="AZ116" s="59"/>
      <c r="BO116" s="38"/>
    </row>
    <row r="117" spans="2:67" ht="13.8">
      <c r="B117" s="38"/>
      <c r="C117" s="63"/>
      <c r="D117" s="80"/>
      <c r="E117" s="81"/>
      <c r="F117" s="81"/>
      <c r="G117" s="81"/>
      <c r="H117" s="81"/>
      <c r="I117" s="82"/>
      <c r="J117" s="38"/>
      <c r="K117" s="65"/>
      <c r="L117" s="83"/>
      <c r="M117" s="66"/>
      <c r="N117" s="4"/>
      <c r="O117" s="46"/>
      <c r="P117" s="46"/>
      <c r="Q117" s="67"/>
      <c r="R117" s="221"/>
      <c r="S117" s="48"/>
      <c r="T117" s="69"/>
      <c r="U117" s="47"/>
      <c r="V117" s="46"/>
      <c r="W117" s="67"/>
      <c r="X117" s="68"/>
      <c r="Y117" s="48"/>
      <c r="Z117" s="4"/>
      <c r="AA117" s="46"/>
      <c r="AB117" s="46"/>
      <c r="AC117" s="67"/>
      <c r="AD117" s="68"/>
      <c r="AE117" s="48"/>
      <c r="AF117" s="4"/>
      <c r="AG117" s="46"/>
      <c r="AH117" s="46"/>
      <c r="AI117" s="67"/>
      <c r="AJ117" s="68"/>
      <c r="AK117" s="48"/>
      <c r="AL117" s="4"/>
      <c r="AM117" s="46"/>
      <c r="AN117" s="46"/>
      <c r="AO117" s="67"/>
      <c r="AP117" s="68"/>
      <c r="AQ117" s="48"/>
      <c r="AR117" s="4"/>
      <c r="AS117" s="46"/>
      <c r="AT117" s="46"/>
      <c r="AU117" s="70"/>
      <c r="AV117" s="71"/>
      <c r="AW117" s="71"/>
      <c r="AX117" s="1"/>
      <c r="AY117" s="1"/>
      <c r="AZ117" s="59"/>
      <c r="BO117" s="38"/>
    </row>
    <row r="118" spans="2:67" ht="13.8">
      <c r="B118" s="38"/>
      <c r="C118" s="63"/>
      <c r="D118" s="80"/>
      <c r="E118" s="81"/>
      <c r="F118" s="81"/>
      <c r="G118" s="81"/>
      <c r="H118" s="81"/>
      <c r="I118" s="82"/>
      <c r="J118" s="38"/>
      <c r="K118" s="65"/>
      <c r="L118" s="83"/>
      <c r="M118" s="66"/>
      <c r="N118" s="4"/>
      <c r="O118" s="46"/>
      <c r="P118" s="46"/>
      <c r="Q118" s="67"/>
      <c r="R118" s="221"/>
      <c r="S118" s="48"/>
      <c r="T118" s="69"/>
      <c r="U118" s="47"/>
      <c r="V118" s="46"/>
      <c r="W118" s="67"/>
      <c r="X118" s="68"/>
      <c r="Y118" s="48"/>
      <c r="Z118" s="4"/>
      <c r="AA118" s="46"/>
      <c r="AB118" s="46"/>
      <c r="AC118" s="67"/>
      <c r="AD118" s="68"/>
      <c r="AE118" s="48"/>
      <c r="AF118" s="4"/>
      <c r="AG118" s="46"/>
      <c r="AH118" s="46"/>
      <c r="AI118" s="67"/>
      <c r="AJ118" s="68"/>
      <c r="AK118" s="48"/>
      <c r="AL118" s="4"/>
      <c r="AM118" s="46"/>
      <c r="AN118" s="46"/>
      <c r="AO118" s="67"/>
      <c r="AP118" s="68"/>
      <c r="AQ118" s="48"/>
      <c r="AR118" s="4"/>
      <c r="AS118" s="46"/>
      <c r="AT118" s="46"/>
      <c r="AU118" s="70"/>
      <c r="AV118" s="71"/>
      <c r="AW118" s="71"/>
      <c r="AX118" s="1"/>
      <c r="AY118" s="1"/>
      <c r="AZ118" s="59"/>
      <c r="BO118" s="38"/>
    </row>
    <row r="119" spans="2:67" ht="13.8">
      <c r="B119" s="38"/>
      <c r="C119" s="63"/>
      <c r="D119" s="80"/>
      <c r="E119" s="81"/>
      <c r="F119" s="81"/>
      <c r="G119" s="81"/>
      <c r="H119" s="81"/>
      <c r="I119" s="82"/>
      <c r="J119" s="38"/>
      <c r="K119" s="65"/>
      <c r="L119" s="83"/>
      <c r="M119" s="66"/>
      <c r="N119" s="4"/>
      <c r="O119" s="46"/>
      <c r="P119" s="46"/>
      <c r="Q119" s="67"/>
      <c r="R119" s="221"/>
      <c r="S119" s="48"/>
      <c r="T119" s="69"/>
      <c r="U119" s="47"/>
      <c r="V119" s="46"/>
      <c r="W119" s="67"/>
      <c r="X119" s="68"/>
      <c r="Y119" s="48"/>
      <c r="Z119" s="4"/>
      <c r="AA119" s="46"/>
      <c r="AB119" s="46"/>
      <c r="AC119" s="67"/>
      <c r="AD119" s="68"/>
      <c r="AE119" s="48"/>
      <c r="AF119" s="4"/>
      <c r="AG119" s="46"/>
      <c r="AH119" s="46"/>
      <c r="AI119" s="67"/>
      <c r="AJ119" s="68"/>
      <c r="AK119" s="48"/>
      <c r="AL119" s="4"/>
      <c r="AM119" s="46"/>
      <c r="AN119" s="46"/>
      <c r="AO119" s="67"/>
      <c r="AP119" s="68"/>
      <c r="AQ119" s="48"/>
      <c r="AR119" s="4"/>
      <c r="AS119" s="46"/>
      <c r="AT119" s="46"/>
      <c r="AU119" s="70"/>
      <c r="AV119" s="71"/>
      <c r="AW119" s="71"/>
      <c r="AX119" s="1"/>
      <c r="AY119" s="1"/>
      <c r="AZ119" s="59"/>
      <c r="BO119" s="38"/>
    </row>
    <row r="120" spans="2:67" ht="13.8">
      <c r="B120" s="38"/>
      <c r="C120" s="63"/>
      <c r="D120" s="80"/>
      <c r="E120" s="81"/>
      <c r="F120" s="81"/>
      <c r="G120" s="81"/>
      <c r="H120" s="81"/>
      <c r="I120" s="82"/>
      <c r="J120" s="38"/>
      <c r="K120" s="65"/>
      <c r="L120" s="83"/>
      <c r="M120" s="66"/>
      <c r="N120" s="4"/>
      <c r="O120" s="46"/>
      <c r="P120" s="46"/>
      <c r="Q120" s="67"/>
      <c r="R120" s="221"/>
      <c r="S120" s="48"/>
      <c r="T120" s="69"/>
      <c r="U120" s="47"/>
      <c r="V120" s="46"/>
      <c r="W120" s="67"/>
      <c r="X120" s="68"/>
      <c r="Y120" s="48"/>
      <c r="Z120" s="4"/>
      <c r="AA120" s="46"/>
      <c r="AB120" s="46"/>
      <c r="AC120" s="67"/>
      <c r="AD120" s="68"/>
      <c r="AE120" s="48"/>
      <c r="AF120" s="4"/>
      <c r="AG120" s="46"/>
      <c r="AH120" s="46"/>
      <c r="AI120" s="67"/>
      <c r="AJ120" s="68"/>
      <c r="AK120" s="48"/>
      <c r="AL120" s="4"/>
      <c r="AM120" s="46"/>
      <c r="AN120" s="46"/>
      <c r="AO120" s="67"/>
      <c r="AP120" s="68"/>
      <c r="AQ120" s="48"/>
      <c r="AR120" s="4"/>
      <c r="AS120" s="46"/>
      <c r="AT120" s="46"/>
      <c r="AU120" s="70"/>
      <c r="AV120" s="71"/>
      <c r="AW120" s="71"/>
      <c r="AX120" s="1"/>
      <c r="AY120" s="1"/>
      <c r="AZ120" s="59"/>
      <c r="BO120" s="38"/>
    </row>
    <row r="121" spans="2:67" ht="13.8">
      <c r="B121" s="38"/>
      <c r="C121" s="63"/>
      <c r="D121" s="80"/>
      <c r="E121" s="81"/>
      <c r="F121" s="81"/>
      <c r="G121" s="81"/>
      <c r="H121" s="81"/>
      <c r="I121" s="82"/>
      <c r="J121" s="38"/>
      <c r="K121" s="65"/>
      <c r="L121" s="83"/>
      <c r="M121" s="66"/>
      <c r="N121" s="4"/>
      <c r="O121" s="46"/>
      <c r="P121" s="46"/>
      <c r="Q121" s="67"/>
      <c r="R121" s="221"/>
      <c r="S121" s="48"/>
      <c r="T121" s="69"/>
      <c r="U121" s="47"/>
      <c r="V121" s="46"/>
      <c r="W121" s="67"/>
      <c r="X121" s="68"/>
      <c r="Y121" s="48"/>
      <c r="Z121" s="4"/>
      <c r="AA121" s="46"/>
      <c r="AB121" s="46"/>
      <c r="AC121" s="67"/>
      <c r="AD121" s="68"/>
      <c r="AE121" s="48"/>
      <c r="AF121" s="4"/>
      <c r="AG121" s="46"/>
      <c r="AH121" s="46"/>
      <c r="AI121" s="67"/>
      <c r="AJ121" s="68"/>
      <c r="AK121" s="48"/>
      <c r="AL121" s="4"/>
      <c r="AM121" s="46"/>
      <c r="AN121" s="46"/>
      <c r="AO121" s="67"/>
      <c r="AP121" s="68"/>
      <c r="AQ121" s="48"/>
      <c r="AR121" s="4"/>
      <c r="AS121" s="46"/>
      <c r="AT121" s="46"/>
      <c r="AU121" s="70"/>
      <c r="AV121" s="71"/>
      <c r="AW121" s="71"/>
      <c r="AX121" s="1"/>
      <c r="AY121" s="1"/>
      <c r="AZ121" s="59"/>
      <c r="BO121" s="38"/>
    </row>
    <row r="122" spans="2:67" ht="13.8">
      <c r="B122" s="38"/>
      <c r="C122" s="63"/>
      <c r="D122" s="80"/>
      <c r="E122" s="81"/>
      <c r="F122" s="81"/>
      <c r="G122" s="81"/>
      <c r="H122" s="81"/>
      <c r="I122" s="82"/>
      <c r="J122" s="38"/>
      <c r="K122" s="65"/>
      <c r="L122" s="83"/>
      <c r="M122" s="66"/>
      <c r="N122" s="4"/>
      <c r="O122" s="46"/>
      <c r="P122" s="46"/>
      <c r="Q122" s="67"/>
      <c r="R122" s="221"/>
      <c r="S122" s="48"/>
      <c r="T122" s="69"/>
      <c r="U122" s="47"/>
      <c r="V122" s="46"/>
      <c r="W122" s="67"/>
      <c r="X122" s="68"/>
      <c r="Y122" s="48"/>
      <c r="Z122" s="4"/>
      <c r="AA122" s="46"/>
      <c r="AB122" s="46"/>
      <c r="AC122" s="67"/>
      <c r="AD122" s="68"/>
      <c r="AE122" s="48"/>
      <c r="AF122" s="4"/>
      <c r="AG122" s="46"/>
      <c r="AH122" s="46"/>
      <c r="AI122" s="67"/>
      <c r="AJ122" s="68"/>
      <c r="AK122" s="48"/>
      <c r="AL122" s="4"/>
      <c r="AM122" s="46"/>
      <c r="AN122" s="46"/>
      <c r="AO122" s="67"/>
      <c r="AP122" s="68"/>
      <c r="AQ122" s="48"/>
      <c r="AR122" s="4"/>
      <c r="AS122" s="46"/>
      <c r="AT122" s="46"/>
      <c r="AU122" s="70"/>
      <c r="AV122" s="71"/>
      <c r="AW122" s="71"/>
      <c r="AX122" s="1"/>
      <c r="AY122" s="1"/>
      <c r="AZ122" s="59"/>
      <c r="BO122" s="38"/>
    </row>
    <row r="123" spans="2:67" ht="13.8">
      <c r="B123" s="38"/>
      <c r="C123" s="63"/>
      <c r="D123" s="80"/>
      <c r="E123" s="81"/>
      <c r="F123" s="81"/>
      <c r="G123" s="81"/>
      <c r="H123" s="81"/>
      <c r="I123" s="82"/>
      <c r="J123" s="38"/>
      <c r="K123" s="65"/>
      <c r="L123" s="83"/>
      <c r="M123" s="66"/>
      <c r="N123" s="4"/>
      <c r="O123" s="46"/>
      <c r="P123" s="46"/>
      <c r="Q123" s="67"/>
      <c r="R123" s="221"/>
      <c r="S123" s="48"/>
      <c r="T123" s="69"/>
      <c r="U123" s="47"/>
      <c r="V123" s="46"/>
      <c r="W123" s="67"/>
      <c r="X123" s="68"/>
      <c r="Y123" s="48"/>
      <c r="Z123" s="4"/>
      <c r="AA123" s="46"/>
      <c r="AB123" s="46"/>
      <c r="AC123" s="67"/>
      <c r="AD123" s="68"/>
      <c r="AE123" s="48"/>
      <c r="AF123" s="4"/>
      <c r="AG123" s="46"/>
      <c r="AH123" s="46"/>
      <c r="AI123" s="67"/>
      <c r="AJ123" s="68"/>
      <c r="AK123" s="48"/>
      <c r="AL123" s="4"/>
      <c r="AM123" s="46"/>
      <c r="AN123" s="46"/>
      <c r="AO123" s="67"/>
      <c r="AP123" s="68"/>
      <c r="AQ123" s="48"/>
      <c r="AR123" s="4"/>
      <c r="AS123" s="46"/>
      <c r="AT123" s="46"/>
      <c r="AU123" s="70"/>
      <c r="AV123" s="71"/>
      <c r="AW123" s="71"/>
      <c r="AX123" s="1"/>
      <c r="AY123" s="1"/>
      <c r="AZ123" s="59"/>
      <c r="BO123" s="38"/>
    </row>
    <row r="124" spans="2:67" ht="13.8">
      <c r="B124" s="38"/>
      <c r="C124" s="63"/>
      <c r="D124" s="80"/>
      <c r="E124" s="81"/>
      <c r="F124" s="81"/>
      <c r="G124" s="81"/>
      <c r="H124" s="81"/>
      <c r="I124" s="82"/>
      <c r="J124" s="38"/>
      <c r="K124" s="65"/>
      <c r="L124" s="83"/>
      <c r="M124" s="66"/>
      <c r="N124" s="4"/>
      <c r="O124" s="46"/>
      <c r="P124" s="46"/>
      <c r="Q124" s="67"/>
      <c r="R124" s="221"/>
      <c r="S124" s="48"/>
      <c r="T124" s="69"/>
      <c r="U124" s="47"/>
      <c r="V124" s="46"/>
      <c r="W124" s="67"/>
      <c r="X124" s="68"/>
      <c r="Y124" s="48"/>
      <c r="Z124" s="4"/>
      <c r="AA124" s="46"/>
      <c r="AB124" s="46"/>
      <c r="AC124" s="67"/>
      <c r="AD124" s="68"/>
      <c r="AE124" s="48"/>
      <c r="AF124" s="4"/>
      <c r="AG124" s="46"/>
      <c r="AH124" s="46"/>
      <c r="AI124" s="67"/>
      <c r="AJ124" s="68"/>
      <c r="AK124" s="48"/>
      <c r="AL124" s="4"/>
      <c r="AM124" s="46"/>
      <c r="AN124" s="46"/>
      <c r="AO124" s="67"/>
      <c r="AP124" s="68"/>
      <c r="AQ124" s="48"/>
      <c r="AR124" s="4"/>
      <c r="AS124" s="46"/>
      <c r="AT124" s="46"/>
      <c r="AU124" s="70"/>
      <c r="AV124" s="71"/>
      <c r="AW124" s="71"/>
      <c r="AX124" s="1"/>
      <c r="AY124" s="1"/>
      <c r="AZ124" s="59"/>
      <c r="BO124" s="38"/>
    </row>
    <row r="125" spans="2:67" ht="13.8">
      <c r="B125" s="38"/>
      <c r="C125" s="63"/>
      <c r="D125" s="80"/>
      <c r="E125" s="81"/>
      <c r="F125" s="81"/>
      <c r="G125" s="81"/>
      <c r="H125" s="81"/>
      <c r="I125" s="82"/>
      <c r="J125" s="38"/>
      <c r="K125" s="65"/>
      <c r="L125" s="83"/>
      <c r="M125" s="66"/>
      <c r="N125" s="4"/>
      <c r="O125" s="46"/>
      <c r="P125" s="46"/>
      <c r="Q125" s="67"/>
      <c r="R125" s="221"/>
      <c r="S125" s="48"/>
      <c r="T125" s="69"/>
      <c r="U125" s="47"/>
      <c r="V125" s="46"/>
      <c r="W125" s="67"/>
      <c r="X125" s="68"/>
      <c r="Y125" s="48"/>
      <c r="Z125" s="4"/>
      <c r="AA125" s="46"/>
      <c r="AB125" s="46"/>
      <c r="AC125" s="67"/>
      <c r="AD125" s="68"/>
      <c r="AE125" s="48"/>
      <c r="AF125" s="4"/>
      <c r="AG125" s="46"/>
      <c r="AH125" s="46"/>
      <c r="AI125" s="67"/>
      <c r="AJ125" s="68"/>
      <c r="AK125" s="48"/>
      <c r="AL125" s="4"/>
      <c r="AM125" s="46"/>
      <c r="AN125" s="46"/>
      <c r="AO125" s="67"/>
      <c r="AP125" s="68"/>
      <c r="AQ125" s="48"/>
      <c r="AR125" s="4"/>
      <c r="AS125" s="46"/>
      <c r="AT125" s="46"/>
      <c r="AU125" s="70"/>
      <c r="AV125" s="71"/>
      <c r="AW125" s="71"/>
      <c r="AX125" s="1"/>
      <c r="AY125" s="1"/>
      <c r="AZ125" s="59"/>
      <c r="BO125" s="38"/>
    </row>
    <row r="126" spans="2:67" ht="13.8">
      <c r="B126" s="38"/>
      <c r="C126" s="63"/>
      <c r="D126" s="80"/>
      <c r="E126" s="81"/>
      <c r="F126" s="81"/>
      <c r="G126" s="81"/>
      <c r="H126" s="81"/>
      <c r="I126" s="82"/>
      <c r="J126" s="38"/>
      <c r="K126" s="65"/>
      <c r="L126" s="83"/>
      <c r="M126" s="66"/>
      <c r="N126" s="4"/>
      <c r="O126" s="46"/>
      <c r="P126" s="46"/>
      <c r="Q126" s="67"/>
      <c r="R126" s="221"/>
      <c r="S126" s="48"/>
      <c r="T126" s="69"/>
      <c r="U126" s="47"/>
      <c r="V126" s="46"/>
      <c r="W126" s="67"/>
      <c r="X126" s="68"/>
      <c r="Y126" s="48"/>
      <c r="Z126" s="4"/>
      <c r="AA126" s="46"/>
      <c r="AB126" s="46"/>
      <c r="AC126" s="67"/>
      <c r="AD126" s="68"/>
      <c r="AE126" s="48"/>
      <c r="AF126" s="4"/>
      <c r="AG126" s="46"/>
      <c r="AH126" s="46"/>
      <c r="AI126" s="67"/>
      <c r="AJ126" s="68"/>
      <c r="AK126" s="48"/>
      <c r="AL126" s="4"/>
      <c r="AM126" s="46"/>
      <c r="AN126" s="46"/>
      <c r="AO126" s="67"/>
      <c r="AP126" s="68"/>
      <c r="AQ126" s="48"/>
      <c r="AR126" s="4"/>
      <c r="AS126" s="46"/>
      <c r="AT126" s="46"/>
      <c r="AU126" s="70"/>
      <c r="AV126" s="71"/>
      <c r="AW126" s="71"/>
      <c r="AX126" s="1"/>
      <c r="AY126" s="1"/>
      <c r="AZ126" s="59"/>
      <c r="BO126" s="38"/>
    </row>
    <row r="127" spans="2:67" ht="13.8">
      <c r="B127" s="38"/>
      <c r="C127" s="63"/>
      <c r="D127" s="80"/>
      <c r="E127" s="81"/>
      <c r="F127" s="81"/>
      <c r="G127" s="81"/>
      <c r="H127" s="81"/>
      <c r="I127" s="82"/>
      <c r="J127" s="38"/>
      <c r="K127" s="65"/>
      <c r="L127" s="83"/>
      <c r="M127" s="66"/>
      <c r="N127" s="4"/>
      <c r="O127" s="46"/>
      <c r="P127" s="46"/>
      <c r="Q127" s="67"/>
      <c r="R127" s="221"/>
      <c r="S127" s="48"/>
      <c r="T127" s="69"/>
      <c r="U127" s="47"/>
      <c r="V127" s="46"/>
      <c r="W127" s="67"/>
      <c r="X127" s="68"/>
      <c r="Y127" s="48"/>
      <c r="Z127" s="4"/>
      <c r="AA127" s="46"/>
      <c r="AB127" s="46"/>
      <c r="AC127" s="67"/>
      <c r="AD127" s="68"/>
      <c r="AE127" s="48"/>
      <c r="AF127" s="4"/>
      <c r="AG127" s="46"/>
      <c r="AH127" s="46"/>
      <c r="AI127" s="67"/>
      <c r="AJ127" s="68"/>
      <c r="AK127" s="48"/>
      <c r="AL127" s="4"/>
      <c r="AM127" s="46"/>
      <c r="AN127" s="46"/>
      <c r="AO127" s="67"/>
      <c r="AP127" s="68"/>
      <c r="AQ127" s="48"/>
      <c r="AR127" s="4"/>
      <c r="AS127" s="46"/>
      <c r="AT127" s="46"/>
      <c r="AU127" s="70"/>
      <c r="AV127" s="71"/>
      <c r="AW127" s="71"/>
      <c r="AX127" s="1"/>
      <c r="AY127" s="1"/>
      <c r="AZ127" s="59"/>
      <c r="BO127" s="38"/>
    </row>
    <row r="128" spans="2:67" ht="13.8">
      <c r="B128" s="38"/>
      <c r="C128" s="63"/>
      <c r="D128" s="80"/>
      <c r="E128" s="81"/>
      <c r="F128" s="81"/>
      <c r="G128" s="81"/>
      <c r="H128" s="81"/>
      <c r="I128" s="82"/>
      <c r="J128" s="38"/>
      <c r="K128" s="65"/>
      <c r="L128" s="83"/>
      <c r="M128" s="66"/>
      <c r="N128" s="4"/>
      <c r="O128" s="46"/>
      <c r="P128" s="46"/>
      <c r="Q128" s="67"/>
      <c r="R128" s="221"/>
      <c r="S128" s="48"/>
      <c r="T128" s="69"/>
      <c r="U128" s="47"/>
      <c r="V128" s="46"/>
      <c r="W128" s="67"/>
      <c r="X128" s="68"/>
      <c r="Y128" s="48"/>
      <c r="Z128" s="4"/>
      <c r="AA128" s="46"/>
      <c r="AB128" s="46"/>
      <c r="AC128" s="67"/>
      <c r="AD128" s="68"/>
      <c r="AE128" s="48"/>
      <c r="AF128" s="4"/>
      <c r="AG128" s="46"/>
      <c r="AH128" s="46"/>
      <c r="AI128" s="67"/>
      <c r="AJ128" s="68"/>
      <c r="AK128" s="48"/>
      <c r="AL128" s="4"/>
      <c r="AM128" s="46"/>
      <c r="AN128" s="46"/>
      <c r="AO128" s="67"/>
      <c r="AP128" s="68"/>
      <c r="AQ128" s="48"/>
      <c r="AR128" s="4"/>
      <c r="AS128" s="46"/>
      <c r="AT128" s="46"/>
      <c r="AU128" s="70"/>
      <c r="AV128" s="71"/>
      <c r="AW128" s="71"/>
      <c r="AX128" s="1"/>
      <c r="AY128" s="1"/>
      <c r="AZ128" s="59"/>
      <c r="BO128" s="38"/>
    </row>
    <row r="129" spans="2:67" ht="13.8">
      <c r="B129" s="38"/>
      <c r="C129" s="63"/>
      <c r="D129" s="80"/>
      <c r="E129" s="81"/>
      <c r="F129" s="81"/>
      <c r="G129" s="81"/>
      <c r="H129" s="81"/>
      <c r="I129" s="82"/>
      <c r="J129" s="38"/>
      <c r="K129" s="65"/>
      <c r="L129" s="83"/>
      <c r="M129" s="66"/>
      <c r="N129" s="4"/>
      <c r="O129" s="46"/>
      <c r="P129" s="46"/>
      <c r="Q129" s="67"/>
      <c r="R129" s="221"/>
      <c r="S129" s="48"/>
      <c r="T129" s="69"/>
      <c r="U129" s="47"/>
      <c r="V129" s="46"/>
      <c r="W129" s="67"/>
      <c r="X129" s="68"/>
      <c r="Y129" s="48"/>
      <c r="Z129" s="4"/>
      <c r="AA129" s="46"/>
      <c r="AB129" s="46"/>
      <c r="AC129" s="67"/>
      <c r="AD129" s="68"/>
      <c r="AE129" s="48"/>
      <c r="AF129" s="4"/>
      <c r="AG129" s="46"/>
      <c r="AH129" s="46"/>
      <c r="AI129" s="67"/>
      <c r="AJ129" s="68"/>
      <c r="AK129" s="48"/>
      <c r="AL129" s="4"/>
      <c r="AM129" s="46"/>
      <c r="AN129" s="46"/>
      <c r="AO129" s="67"/>
      <c r="AP129" s="68"/>
      <c r="AQ129" s="48"/>
      <c r="AR129" s="4"/>
      <c r="AS129" s="46"/>
      <c r="AT129" s="46"/>
      <c r="AU129" s="70"/>
      <c r="AV129" s="71"/>
      <c r="AW129" s="71"/>
      <c r="AX129" s="1"/>
      <c r="AY129" s="1"/>
      <c r="AZ129" s="59"/>
      <c r="BO129" s="38"/>
    </row>
    <row r="130" spans="2:67" ht="13.8">
      <c r="B130" s="38"/>
      <c r="C130" s="63"/>
      <c r="D130" s="80"/>
      <c r="E130" s="81"/>
      <c r="F130" s="81"/>
      <c r="G130" s="81"/>
      <c r="H130" s="81"/>
      <c r="I130" s="82"/>
      <c r="J130" s="38"/>
      <c r="K130" s="65"/>
      <c r="L130" s="83"/>
      <c r="M130" s="66"/>
      <c r="N130" s="4"/>
      <c r="O130" s="46"/>
      <c r="P130" s="46"/>
      <c r="Q130" s="67"/>
      <c r="R130" s="221"/>
      <c r="S130" s="48"/>
      <c r="T130" s="69"/>
      <c r="U130" s="47"/>
      <c r="V130" s="46"/>
      <c r="W130" s="67"/>
      <c r="X130" s="68"/>
      <c r="Y130" s="48"/>
      <c r="Z130" s="4"/>
      <c r="AA130" s="46"/>
      <c r="AB130" s="46"/>
      <c r="AC130" s="67"/>
      <c r="AD130" s="68"/>
      <c r="AE130" s="48"/>
      <c r="AF130" s="4"/>
      <c r="AG130" s="46"/>
      <c r="AH130" s="46"/>
      <c r="AI130" s="67"/>
      <c r="AJ130" s="68"/>
      <c r="AK130" s="48"/>
      <c r="AL130" s="4"/>
      <c r="AM130" s="46"/>
      <c r="AN130" s="46"/>
      <c r="AO130" s="67"/>
      <c r="AP130" s="68"/>
      <c r="AQ130" s="48"/>
      <c r="AR130" s="4"/>
      <c r="AS130" s="46"/>
      <c r="AT130" s="46"/>
      <c r="AU130" s="70"/>
      <c r="AV130" s="71"/>
      <c r="AW130" s="71"/>
      <c r="AX130" s="1"/>
      <c r="AY130" s="1"/>
      <c r="AZ130" s="59"/>
      <c r="BO130" s="38"/>
    </row>
    <row r="131" spans="2:67" ht="13.8">
      <c r="B131" s="38"/>
      <c r="C131" s="63"/>
      <c r="D131" s="80"/>
      <c r="E131" s="81"/>
      <c r="F131" s="81"/>
      <c r="G131" s="81"/>
      <c r="H131" s="81"/>
      <c r="I131" s="82"/>
      <c r="J131" s="38"/>
      <c r="K131" s="65"/>
      <c r="L131" s="83"/>
      <c r="M131" s="66"/>
      <c r="N131" s="4"/>
      <c r="O131" s="46"/>
      <c r="P131" s="46"/>
      <c r="Q131" s="67"/>
      <c r="R131" s="221"/>
      <c r="S131" s="48"/>
      <c r="T131" s="69"/>
      <c r="U131" s="47"/>
      <c r="V131" s="46"/>
      <c r="W131" s="67"/>
      <c r="X131" s="68"/>
      <c r="Y131" s="48"/>
      <c r="Z131" s="4"/>
      <c r="AA131" s="46"/>
      <c r="AB131" s="46"/>
      <c r="AC131" s="67"/>
      <c r="AD131" s="68"/>
      <c r="AE131" s="48"/>
      <c r="AF131" s="4"/>
      <c r="AG131" s="46"/>
      <c r="AH131" s="46"/>
      <c r="AI131" s="67"/>
      <c r="AJ131" s="68"/>
      <c r="AK131" s="48"/>
      <c r="AL131" s="4"/>
      <c r="AM131" s="46"/>
      <c r="AN131" s="46"/>
      <c r="AO131" s="67"/>
      <c r="AP131" s="68"/>
      <c r="AQ131" s="48"/>
      <c r="AR131" s="4"/>
      <c r="AS131" s="46"/>
      <c r="AT131" s="46"/>
      <c r="AU131" s="70"/>
      <c r="AV131" s="71"/>
      <c r="AW131" s="71"/>
      <c r="AX131" s="1"/>
      <c r="AY131" s="1"/>
      <c r="AZ131" s="59"/>
      <c r="BO131" s="38"/>
    </row>
    <row r="132" spans="2:67" ht="13.8">
      <c r="B132" s="38"/>
      <c r="C132" s="63"/>
      <c r="D132" s="80"/>
      <c r="E132" s="81"/>
      <c r="F132" s="81"/>
      <c r="G132" s="81"/>
      <c r="H132" s="81"/>
      <c r="I132" s="82"/>
      <c r="J132" s="38"/>
      <c r="K132" s="65"/>
      <c r="L132" s="83"/>
      <c r="M132" s="66"/>
      <c r="N132" s="4"/>
      <c r="O132" s="46"/>
      <c r="P132" s="46"/>
      <c r="Q132" s="67"/>
      <c r="R132" s="221"/>
      <c r="S132" s="48"/>
      <c r="T132" s="69"/>
      <c r="U132" s="47"/>
      <c r="V132" s="46"/>
      <c r="W132" s="67"/>
      <c r="X132" s="68"/>
      <c r="Y132" s="48"/>
      <c r="Z132" s="4"/>
      <c r="AA132" s="46"/>
      <c r="AB132" s="46"/>
      <c r="AC132" s="67"/>
      <c r="AD132" s="68"/>
      <c r="AE132" s="48"/>
      <c r="AF132" s="4"/>
      <c r="AG132" s="46"/>
      <c r="AH132" s="46"/>
      <c r="AI132" s="67"/>
      <c r="AJ132" s="68"/>
      <c r="AK132" s="48"/>
      <c r="AL132" s="4"/>
      <c r="AM132" s="46"/>
      <c r="AN132" s="46"/>
      <c r="AO132" s="67"/>
      <c r="AP132" s="68"/>
      <c r="AQ132" s="48"/>
      <c r="AR132" s="4"/>
      <c r="AS132" s="46"/>
      <c r="AT132" s="46"/>
      <c r="AU132" s="70"/>
      <c r="AV132" s="71"/>
      <c r="AW132" s="71"/>
      <c r="AX132" s="1"/>
      <c r="AY132" s="1"/>
      <c r="AZ132" s="59"/>
      <c r="BO132" s="38"/>
    </row>
    <row r="133" spans="2:67" ht="13.8">
      <c r="B133" s="38"/>
      <c r="C133" s="63"/>
      <c r="D133" s="80"/>
      <c r="E133" s="81"/>
      <c r="F133" s="81"/>
      <c r="G133" s="81"/>
      <c r="H133" s="81"/>
      <c r="I133" s="82"/>
      <c r="J133" s="38"/>
      <c r="K133" s="65"/>
      <c r="L133" s="83"/>
      <c r="M133" s="66"/>
      <c r="N133" s="4"/>
      <c r="O133" s="46"/>
      <c r="P133" s="46"/>
      <c r="Q133" s="67"/>
      <c r="R133" s="221"/>
      <c r="S133" s="48"/>
      <c r="T133" s="69"/>
      <c r="U133" s="47"/>
      <c r="V133" s="46"/>
      <c r="W133" s="67"/>
      <c r="X133" s="68"/>
      <c r="Y133" s="48"/>
      <c r="Z133" s="4"/>
      <c r="AA133" s="46"/>
      <c r="AB133" s="46"/>
      <c r="AC133" s="67"/>
      <c r="AD133" s="68"/>
      <c r="AE133" s="48"/>
      <c r="AF133" s="4"/>
      <c r="AG133" s="46"/>
      <c r="AH133" s="46"/>
      <c r="AI133" s="67"/>
      <c r="AJ133" s="68"/>
      <c r="AK133" s="48"/>
      <c r="AL133" s="4"/>
      <c r="AM133" s="46"/>
      <c r="AN133" s="46"/>
      <c r="AO133" s="67"/>
      <c r="AP133" s="68"/>
      <c r="AQ133" s="48"/>
      <c r="AR133" s="4"/>
      <c r="AS133" s="46"/>
      <c r="AT133" s="46"/>
      <c r="AU133" s="70"/>
      <c r="AV133" s="71"/>
      <c r="AW133" s="71"/>
      <c r="AX133" s="1"/>
      <c r="AY133" s="1"/>
      <c r="AZ133" s="59"/>
      <c r="BO133" s="38"/>
    </row>
    <row r="134" spans="2:67" ht="13.8">
      <c r="B134" s="38"/>
      <c r="C134" s="63"/>
      <c r="D134" s="80"/>
      <c r="E134" s="81"/>
      <c r="F134" s="81"/>
      <c r="G134" s="81"/>
      <c r="H134" s="81"/>
      <c r="I134" s="82"/>
      <c r="J134" s="38"/>
      <c r="K134" s="65"/>
      <c r="L134" s="83"/>
      <c r="M134" s="66"/>
      <c r="N134" s="4"/>
      <c r="O134" s="46"/>
      <c r="P134" s="46"/>
      <c r="Q134" s="67"/>
      <c r="R134" s="221"/>
      <c r="S134" s="48"/>
      <c r="T134" s="69"/>
      <c r="U134" s="47"/>
      <c r="V134" s="46"/>
      <c r="W134" s="67"/>
      <c r="X134" s="68"/>
      <c r="Y134" s="48"/>
      <c r="Z134" s="4"/>
      <c r="AA134" s="46"/>
      <c r="AB134" s="46"/>
      <c r="AC134" s="67"/>
      <c r="AD134" s="68"/>
      <c r="AE134" s="48"/>
      <c r="AF134" s="4"/>
      <c r="AG134" s="46"/>
      <c r="AH134" s="46"/>
      <c r="AI134" s="67"/>
      <c r="AJ134" s="68"/>
      <c r="AK134" s="48"/>
      <c r="AL134" s="4"/>
      <c r="AM134" s="46"/>
      <c r="AN134" s="46"/>
      <c r="AO134" s="67"/>
      <c r="AP134" s="68"/>
      <c r="AQ134" s="48"/>
      <c r="AR134" s="4"/>
      <c r="AS134" s="46"/>
      <c r="AT134" s="46"/>
      <c r="AU134" s="70"/>
      <c r="AV134" s="71"/>
      <c r="AW134" s="71"/>
      <c r="AX134" s="1"/>
      <c r="AY134" s="1"/>
      <c r="AZ134" s="59"/>
      <c r="BO134" s="38"/>
    </row>
    <row r="135" spans="2:67" ht="13.8">
      <c r="B135" s="38"/>
      <c r="C135" s="63"/>
      <c r="D135" s="80"/>
      <c r="E135" s="81"/>
      <c r="F135" s="81"/>
      <c r="G135" s="81"/>
      <c r="H135" s="81"/>
      <c r="I135" s="82"/>
      <c r="J135" s="38"/>
      <c r="K135" s="65"/>
      <c r="L135" s="83"/>
      <c r="M135" s="66"/>
      <c r="N135" s="4"/>
      <c r="O135" s="46"/>
      <c r="P135" s="46"/>
      <c r="Q135" s="67"/>
      <c r="R135" s="221"/>
      <c r="S135" s="48"/>
      <c r="T135" s="69"/>
      <c r="U135" s="47"/>
      <c r="V135" s="46"/>
      <c r="W135" s="67"/>
      <c r="X135" s="68"/>
      <c r="Y135" s="48"/>
      <c r="Z135" s="4"/>
      <c r="AA135" s="46"/>
      <c r="AB135" s="46"/>
      <c r="AC135" s="67"/>
      <c r="AD135" s="68"/>
      <c r="AE135" s="48"/>
      <c r="AF135" s="4"/>
      <c r="AG135" s="46"/>
      <c r="AH135" s="46"/>
      <c r="AI135" s="67"/>
      <c r="AJ135" s="68"/>
      <c r="AK135" s="48"/>
      <c r="AL135" s="4"/>
      <c r="AM135" s="46"/>
      <c r="AN135" s="46"/>
      <c r="AO135" s="67"/>
      <c r="AP135" s="68"/>
      <c r="AQ135" s="48"/>
      <c r="AR135" s="4"/>
      <c r="AS135" s="46"/>
      <c r="AT135" s="46"/>
      <c r="AU135" s="70"/>
      <c r="AV135" s="71"/>
      <c r="AW135" s="71"/>
      <c r="AX135" s="1"/>
      <c r="AY135" s="1"/>
      <c r="AZ135" s="59"/>
      <c r="BO135" s="38"/>
    </row>
    <row r="136" spans="2:67" ht="13.8">
      <c r="B136" s="38"/>
      <c r="C136" s="63"/>
      <c r="D136" s="80"/>
      <c r="E136" s="81"/>
      <c r="F136" s="81"/>
      <c r="G136" s="81"/>
      <c r="H136" s="81"/>
      <c r="I136" s="82"/>
      <c r="J136" s="38"/>
      <c r="K136" s="65"/>
      <c r="L136" s="83"/>
      <c r="M136" s="66"/>
      <c r="N136" s="4"/>
      <c r="O136" s="46"/>
      <c r="P136" s="46"/>
      <c r="Q136" s="67"/>
      <c r="R136" s="221"/>
      <c r="S136" s="48"/>
      <c r="T136" s="69"/>
      <c r="U136" s="47"/>
      <c r="V136" s="46"/>
      <c r="W136" s="67"/>
      <c r="X136" s="68"/>
      <c r="Y136" s="48"/>
      <c r="Z136" s="4"/>
      <c r="AA136" s="46"/>
      <c r="AB136" s="46"/>
      <c r="AC136" s="67"/>
      <c r="AD136" s="68"/>
      <c r="AE136" s="48"/>
      <c r="AF136" s="4"/>
      <c r="AG136" s="46"/>
      <c r="AH136" s="46"/>
      <c r="AI136" s="67"/>
      <c r="AJ136" s="68"/>
      <c r="AK136" s="48"/>
      <c r="AL136" s="4"/>
      <c r="AM136" s="46"/>
      <c r="AN136" s="46"/>
      <c r="AO136" s="67"/>
      <c r="AP136" s="68"/>
      <c r="AQ136" s="48"/>
      <c r="AR136" s="4"/>
      <c r="AS136" s="46"/>
      <c r="AT136" s="46"/>
      <c r="AU136" s="70"/>
      <c r="AV136" s="71"/>
      <c r="AW136" s="71"/>
      <c r="AX136" s="1"/>
      <c r="AY136" s="1"/>
      <c r="AZ136" s="59"/>
      <c r="BO136" s="38"/>
    </row>
    <row r="137" spans="2:67" ht="13.8">
      <c r="B137" s="38"/>
      <c r="C137" s="63"/>
      <c r="D137" s="80"/>
      <c r="E137" s="81"/>
      <c r="F137" s="81"/>
      <c r="G137" s="81"/>
      <c r="H137" s="81"/>
      <c r="I137" s="82"/>
      <c r="J137" s="38"/>
      <c r="K137" s="65"/>
      <c r="L137" s="83"/>
      <c r="M137" s="66"/>
      <c r="N137" s="4"/>
      <c r="O137" s="46"/>
      <c r="P137" s="46"/>
      <c r="Q137" s="67"/>
      <c r="R137" s="221"/>
      <c r="S137" s="48"/>
      <c r="T137" s="69"/>
      <c r="U137" s="47"/>
      <c r="V137" s="46"/>
      <c r="W137" s="67"/>
      <c r="X137" s="68"/>
      <c r="Y137" s="48"/>
      <c r="Z137" s="4"/>
      <c r="AA137" s="46"/>
      <c r="AB137" s="46"/>
      <c r="AC137" s="67"/>
      <c r="AD137" s="68"/>
      <c r="AE137" s="48"/>
      <c r="AF137" s="4"/>
      <c r="AG137" s="46"/>
      <c r="AH137" s="46"/>
      <c r="AI137" s="67"/>
      <c r="AJ137" s="68"/>
      <c r="AK137" s="48"/>
      <c r="AL137" s="4"/>
      <c r="AM137" s="46"/>
      <c r="AN137" s="46"/>
      <c r="AO137" s="67"/>
      <c r="AP137" s="68"/>
      <c r="AQ137" s="48"/>
      <c r="AR137" s="4"/>
      <c r="AS137" s="46"/>
      <c r="AT137" s="46"/>
      <c r="AU137" s="70"/>
      <c r="AV137" s="71"/>
      <c r="AW137" s="71"/>
      <c r="AX137" s="1"/>
      <c r="AY137" s="1"/>
      <c r="AZ137" s="59"/>
      <c r="BO137" s="38"/>
    </row>
    <row r="138" spans="2:67" ht="13.8">
      <c r="B138" s="38"/>
      <c r="C138" s="63"/>
      <c r="D138" s="80"/>
      <c r="E138" s="81"/>
      <c r="F138" s="81"/>
      <c r="G138" s="81"/>
      <c r="H138" s="81"/>
      <c r="I138" s="82"/>
      <c r="J138" s="38"/>
      <c r="K138" s="65"/>
      <c r="L138" s="83"/>
      <c r="M138" s="66"/>
      <c r="N138" s="4"/>
      <c r="O138" s="46"/>
      <c r="P138" s="46"/>
      <c r="Q138" s="67"/>
      <c r="R138" s="221"/>
      <c r="S138" s="48"/>
      <c r="T138" s="69"/>
      <c r="U138" s="47"/>
      <c r="V138" s="46"/>
      <c r="W138" s="67"/>
      <c r="X138" s="68"/>
      <c r="Y138" s="48"/>
      <c r="Z138" s="4"/>
      <c r="AA138" s="46"/>
      <c r="AB138" s="46"/>
      <c r="AC138" s="67"/>
      <c r="AD138" s="68"/>
      <c r="AE138" s="48"/>
      <c r="AF138" s="4"/>
      <c r="AG138" s="46"/>
      <c r="AH138" s="46"/>
      <c r="AI138" s="67"/>
      <c r="AJ138" s="68"/>
      <c r="AK138" s="48"/>
      <c r="AL138" s="4"/>
      <c r="AM138" s="46"/>
      <c r="AN138" s="46"/>
      <c r="AO138" s="67"/>
      <c r="AP138" s="68"/>
      <c r="AQ138" s="48"/>
      <c r="AR138" s="4"/>
      <c r="AS138" s="46"/>
      <c r="AT138" s="46"/>
      <c r="AU138" s="70"/>
      <c r="AV138" s="71"/>
      <c r="AW138" s="71"/>
      <c r="AX138" s="1"/>
      <c r="AY138" s="1"/>
      <c r="AZ138" s="59"/>
      <c r="BO138" s="38"/>
    </row>
    <row r="139" spans="2:67" ht="13.8">
      <c r="B139" s="38"/>
      <c r="C139" s="63"/>
      <c r="D139" s="80"/>
      <c r="E139" s="81"/>
      <c r="F139" s="81"/>
      <c r="G139" s="81"/>
      <c r="H139" s="81"/>
      <c r="I139" s="82"/>
      <c r="J139" s="38"/>
      <c r="K139" s="65"/>
      <c r="L139" s="83"/>
      <c r="M139" s="66"/>
      <c r="N139" s="4"/>
      <c r="O139" s="46"/>
      <c r="P139" s="46"/>
      <c r="Q139" s="67"/>
      <c r="R139" s="221"/>
      <c r="S139" s="48"/>
      <c r="T139" s="69"/>
      <c r="U139" s="47"/>
      <c r="V139" s="46"/>
      <c r="W139" s="67"/>
      <c r="X139" s="68"/>
      <c r="Y139" s="48"/>
      <c r="Z139" s="4"/>
      <c r="AA139" s="46"/>
      <c r="AB139" s="46"/>
      <c r="AC139" s="67"/>
      <c r="AD139" s="68"/>
      <c r="AE139" s="48"/>
      <c r="AF139" s="4"/>
      <c r="AG139" s="46"/>
      <c r="AH139" s="46"/>
      <c r="AI139" s="67"/>
      <c r="AJ139" s="68"/>
      <c r="AK139" s="48"/>
      <c r="AL139" s="4"/>
      <c r="AM139" s="46"/>
      <c r="AN139" s="46"/>
      <c r="AO139" s="67"/>
      <c r="AP139" s="68"/>
      <c r="AQ139" s="48"/>
      <c r="AR139" s="4"/>
      <c r="AS139" s="46"/>
      <c r="AT139" s="46"/>
      <c r="AU139" s="70"/>
      <c r="AV139" s="71"/>
      <c r="AW139" s="71"/>
      <c r="AX139" s="1"/>
      <c r="AY139" s="1"/>
      <c r="AZ139" s="59"/>
      <c r="BO139" s="38"/>
    </row>
    <row r="140" spans="2:67" ht="13.8">
      <c r="B140" s="38"/>
      <c r="C140" s="63"/>
      <c r="D140" s="80"/>
      <c r="E140" s="81"/>
      <c r="F140" s="81"/>
      <c r="G140" s="81"/>
      <c r="H140" s="81"/>
      <c r="I140" s="82"/>
      <c r="J140" s="38"/>
      <c r="K140" s="65"/>
      <c r="L140" s="83"/>
      <c r="M140" s="66"/>
      <c r="N140" s="4"/>
      <c r="O140" s="46"/>
      <c r="P140" s="46"/>
      <c r="Q140" s="67"/>
      <c r="R140" s="221"/>
      <c r="S140" s="48"/>
      <c r="T140" s="69"/>
      <c r="U140" s="47"/>
      <c r="V140" s="46"/>
      <c r="W140" s="67"/>
      <c r="X140" s="68"/>
      <c r="Y140" s="48"/>
      <c r="Z140" s="4"/>
      <c r="AA140" s="46"/>
      <c r="AB140" s="46"/>
      <c r="AC140" s="67"/>
      <c r="AD140" s="68"/>
      <c r="AE140" s="48"/>
      <c r="AF140" s="4"/>
      <c r="AG140" s="46"/>
      <c r="AH140" s="46"/>
      <c r="AI140" s="67"/>
      <c r="AJ140" s="68"/>
      <c r="AK140" s="48"/>
      <c r="AL140" s="4"/>
      <c r="AM140" s="46"/>
      <c r="AN140" s="46"/>
      <c r="AO140" s="67"/>
      <c r="AP140" s="68"/>
      <c r="AQ140" s="48"/>
      <c r="AR140" s="4"/>
      <c r="AS140" s="46"/>
      <c r="AT140" s="46"/>
      <c r="AU140" s="70"/>
      <c r="AV140" s="71"/>
      <c r="AW140" s="71"/>
      <c r="AX140" s="1"/>
      <c r="AY140" s="1"/>
      <c r="AZ140" s="59"/>
      <c r="BO140" s="38"/>
    </row>
    <row r="141" spans="2:67" ht="13.8">
      <c r="B141" s="38"/>
      <c r="C141" s="63"/>
      <c r="D141" s="80"/>
      <c r="E141" s="81"/>
      <c r="F141" s="81"/>
      <c r="G141" s="81"/>
      <c r="H141" s="81"/>
      <c r="I141" s="82"/>
      <c r="J141" s="38"/>
      <c r="K141" s="65"/>
      <c r="L141" s="83"/>
      <c r="M141" s="66"/>
      <c r="N141" s="4"/>
      <c r="O141" s="46"/>
      <c r="P141" s="46"/>
      <c r="Q141" s="67"/>
      <c r="R141" s="221"/>
      <c r="S141" s="48"/>
      <c r="T141" s="69"/>
      <c r="U141" s="47"/>
      <c r="V141" s="46"/>
      <c r="W141" s="67"/>
      <c r="X141" s="68"/>
      <c r="Y141" s="48"/>
      <c r="Z141" s="4"/>
      <c r="AA141" s="46"/>
      <c r="AB141" s="46"/>
      <c r="AC141" s="67"/>
      <c r="AD141" s="68"/>
      <c r="AE141" s="48"/>
      <c r="AF141" s="4"/>
      <c r="AG141" s="46"/>
      <c r="AH141" s="46"/>
      <c r="AI141" s="67"/>
      <c r="AJ141" s="68"/>
      <c r="AK141" s="48"/>
      <c r="AL141" s="4"/>
      <c r="AM141" s="46"/>
      <c r="AN141" s="46"/>
      <c r="AO141" s="67"/>
      <c r="AP141" s="68"/>
      <c r="AQ141" s="48"/>
      <c r="AR141" s="4"/>
      <c r="AS141" s="46"/>
      <c r="AT141" s="46"/>
      <c r="AU141" s="70"/>
      <c r="AV141" s="71"/>
      <c r="AW141" s="71"/>
      <c r="AX141" s="1"/>
      <c r="AY141" s="1"/>
      <c r="AZ141" s="59"/>
      <c r="BO141" s="38"/>
    </row>
    <row r="142" spans="2:67" ht="13.8">
      <c r="B142" s="38"/>
      <c r="C142" s="63"/>
      <c r="D142" s="80"/>
      <c r="E142" s="81"/>
      <c r="F142" s="81"/>
      <c r="G142" s="81"/>
      <c r="H142" s="81"/>
      <c r="I142" s="82"/>
      <c r="J142" s="38"/>
      <c r="K142" s="65"/>
      <c r="L142" s="83"/>
      <c r="M142" s="66"/>
      <c r="N142" s="4"/>
      <c r="O142" s="46"/>
      <c r="P142" s="46"/>
      <c r="Q142" s="67"/>
      <c r="R142" s="221"/>
      <c r="S142" s="48"/>
      <c r="T142" s="69"/>
      <c r="U142" s="47"/>
      <c r="V142" s="46"/>
      <c r="W142" s="67"/>
      <c r="X142" s="68"/>
      <c r="Y142" s="48"/>
      <c r="Z142" s="4"/>
      <c r="AA142" s="46"/>
      <c r="AB142" s="46"/>
      <c r="AC142" s="67"/>
      <c r="AD142" s="68"/>
      <c r="AE142" s="48"/>
      <c r="AF142" s="4"/>
      <c r="AG142" s="46"/>
      <c r="AH142" s="46"/>
      <c r="AI142" s="67"/>
      <c r="AJ142" s="68"/>
      <c r="AK142" s="48"/>
      <c r="AL142" s="4"/>
      <c r="AM142" s="46"/>
      <c r="AN142" s="46"/>
      <c r="AO142" s="67"/>
      <c r="AP142" s="68"/>
      <c r="AQ142" s="48"/>
      <c r="AR142" s="4"/>
      <c r="AS142" s="46"/>
      <c r="AT142" s="46"/>
      <c r="AU142" s="70"/>
      <c r="AV142" s="71"/>
      <c r="AW142" s="71"/>
      <c r="AX142" s="1"/>
      <c r="AY142" s="1"/>
      <c r="AZ142" s="59"/>
      <c r="BO142" s="38"/>
    </row>
    <row r="143" spans="2:67" ht="13.8">
      <c r="B143" s="38"/>
      <c r="C143" s="63"/>
      <c r="D143" s="80"/>
      <c r="E143" s="81"/>
      <c r="F143" s="81"/>
      <c r="G143" s="81"/>
      <c r="H143" s="81"/>
      <c r="I143" s="82"/>
      <c r="J143" s="38"/>
      <c r="K143" s="65"/>
      <c r="L143" s="83"/>
      <c r="M143" s="66"/>
      <c r="N143" s="4"/>
      <c r="O143" s="46"/>
      <c r="P143" s="46"/>
      <c r="Q143" s="67"/>
      <c r="R143" s="221"/>
      <c r="S143" s="48"/>
      <c r="T143" s="69"/>
      <c r="U143" s="47"/>
      <c r="V143" s="46"/>
      <c r="W143" s="67"/>
      <c r="X143" s="68"/>
      <c r="Y143" s="48"/>
      <c r="Z143" s="4"/>
      <c r="AA143" s="46"/>
      <c r="AB143" s="46"/>
      <c r="AC143" s="67"/>
      <c r="AD143" s="68"/>
      <c r="AE143" s="48"/>
      <c r="AF143" s="4"/>
      <c r="AG143" s="46"/>
      <c r="AH143" s="46"/>
      <c r="AI143" s="67"/>
      <c r="AJ143" s="68"/>
      <c r="AK143" s="48"/>
      <c r="AL143" s="4"/>
      <c r="AM143" s="46"/>
      <c r="AN143" s="46"/>
      <c r="AO143" s="67"/>
      <c r="AP143" s="68"/>
      <c r="AQ143" s="48"/>
      <c r="AR143" s="4"/>
      <c r="AS143" s="46"/>
      <c r="AT143" s="46"/>
      <c r="AU143" s="70"/>
      <c r="AV143" s="71"/>
      <c r="AW143" s="71"/>
      <c r="AX143" s="1"/>
      <c r="AY143" s="1"/>
      <c r="AZ143" s="59"/>
      <c r="BO143" s="38"/>
    </row>
    <row r="144" spans="2:67" ht="13.8">
      <c r="B144" s="38"/>
      <c r="C144" s="63"/>
      <c r="D144" s="80"/>
      <c r="E144" s="81"/>
      <c r="F144" s="81"/>
      <c r="G144" s="81"/>
      <c r="H144" s="81"/>
      <c r="I144" s="82"/>
      <c r="J144" s="38"/>
      <c r="K144" s="65"/>
      <c r="L144" s="83"/>
      <c r="M144" s="66"/>
      <c r="N144" s="4"/>
      <c r="O144" s="46"/>
      <c r="P144" s="46"/>
      <c r="Q144" s="67"/>
      <c r="R144" s="221"/>
      <c r="S144" s="48"/>
      <c r="T144" s="69"/>
      <c r="U144" s="47"/>
      <c r="V144" s="46"/>
      <c r="W144" s="67"/>
      <c r="X144" s="68"/>
      <c r="Y144" s="48"/>
      <c r="Z144" s="4"/>
      <c r="AA144" s="46"/>
      <c r="AB144" s="46"/>
      <c r="AC144" s="67"/>
      <c r="AD144" s="68"/>
      <c r="AE144" s="48"/>
      <c r="AF144" s="4"/>
      <c r="AG144" s="46"/>
      <c r="AH144" s="46"/>
      <c r="AI144" s="67"/>
      <c r="AJ144" s="68"/>
      <c r="AK144" s="48"/>
      <c r="AL144" s="4"/>
      <c r="AM144" s="46"/>
      <c r="AN144" s="46"/>
      <c r="AO144" s="67"/>
      <c r="AP144" s="68"/>
      <c r="AQ144" s="48"/>
      <c r="AR144" s="4"/>
      <c r="AS144" s="46"/>
      <c r="AT144" s="46"/>
      <c r="AU144" s="70"/>
      <c r="AV144" s="71"/>
      <c r="AW144" s="71"/>
      <c r="AX144" s="1"/>
      <c r="AY144" s="1"/>
      <c r="AZ144" s="59"/>
      <c r="BO144" s="38"/>
    </row>
    <row r="145" spans="2:67" ht="13.8">
      <c r="B145" s="38"/>
      <c r="C145" s="63"/>
      <c r="D145" s="80"/>
      <c r="E145" s="81"/>
      <c r="F145" s="81"/>
      <c r="G145" s="81"/>
      <c r="H145" s="81"/>
      <c r="I145" s="82"/>
      <c r="J145" s="38"/>
      <c r="K145" s="65"/>
      <c r="L145" s="83"/>
      <c r="M145" s="66"/>
      <c r="N145" s="4"/>
      <c r="O145" s="46"/>
      <c r="P145" s="46"/>
      <c r="Q145" s="67"/>
      <c r="R145" s="221"/>
      <c r="S145" s="48"/>
      <c r="T145" s="69"/>
      <c r="U145" s="47"/>
      <c r="V145" s="46"/>
      <c r="W145" s="67"/>
      <c r="X145" s="68"/>
      <c r="Y145" s="48"/>
      <c r="Z145" s="4"/>
      <c r="AA145" s="46"/>
      <c r="AB145" s="46"/>
      <c r="AC145" s="67"/>
      <c r="AD145" s="68"/>
      <c r="AE145" s="48"/>
      <c r="AF145" s="4"/>
      <c r="AG145" s="46"/>
      <c r="AH145" s="46"/>
      <c r="AI145" s="67"/>
      <c r="AJ145" s="68"/>
      <c r="AK145" s="48"/>
      <c r="AL145" s="4"/>
      <c r="AM145" s="46"/>
      <c r="AN145" s="46"/>
      <c r="AO145" s="67"/>
      <c r="AP145" s="68"/>
      <c r="AQ145" s="48"/>
      <c r="AR145" s="4"/>
      <c r="AS145" s="46"/>
      <c r="AT145" s="46"/>
      <c r="AU145" s="70"/>
      <c r="AV145" s="71"/>
      <c r="AW145" s="71"/>
      <c r="AX145" s="1"/>
      <c r="AY145" s="1"/>
      <c r="AZ145" s="59"/>
      <c r="BO145" s="38"/>
    </row>
    <row r="146" spans="2:67" ht="13.8">
      <c r="B146" s="38"/>
      <c r="C146" s="63"/>
      <c r="D146" s="80"/>
      <c r="E146" s="81"/>
      <c r="F146" s="81"/>
      <c r="G146" s="81"/>
      <c r="H146" s="81"/>
      <c r="I146" s="82"/>
      <c r="J146" s="38"/>
      <c r="K146" s="65"/>
      <c r="L146" s="83"/>
      <c r="M146" s="66"/>
      <c r="N146" s="4"/>
      <c r="O146" s="46"/>
      <c r="P146" s="46"/>
      <c r="Q146" s="67"/>
      <c r="R146" s="221"/>
      <c r="S146" s="48"/>
      <c r="T146" s="69"/>
      <c r="U146" s="47"/>
      <c r="V146" s="46"/>
      <c r="W146" s="67"/>
      <c r="X146" s="68"/>
      <c r="Y146" s="48"/>
      <c r="Z146" s="4"/>
      <c r="AA146" s="46"/>
      <c r="AB146" s="46"/>
      <c r="AC146" s="67"/>
      <c r="AD146" s="68"/>
      <c r="AE146" s="48"/>
      <c r="AF146" s="4"/>
      <c r="AG146" s="46"/>
      <c r="AH146" s="46"/>
      <c r="AI146" s="67"/>
      <c r="AJ146" s="68"/>
      <c r="AK146" s="48"/>
      <c r="AL146" s="4"/>
      <c r="AM146" s="46"/>
      <c r="AN146" s="46"/>
      <c r="AO146" s="67"/>
      <c r="AP146" s="68"/>
      <c r="AQ146" s="48"/>
      <c r="AR146" s="4"/>
      <c r="AS146" s="46"/>
      <c r="AT146" s="46"/>
      <c r="AU146" s="70"/>
      <c r="AV146" s="71"/>
      <c r="AW146" s="71"/>
      <c r="AX146" s="1"/>
      <c r="AY146" s="1"/>
      <c r="AZ146" s="59"/>
      <c r="BO146" s="38"/>
    </row>
    <row r="147" spans="2:67" ht="13.8">
      <c r="B147" s="38"/>
      <c r="C147" s="63"/>
      <c r="D147" s="80"/>
      <c r="E147" s="81"/>
      <c r="F147" s="81"/>
      <c r="G147" s="81"/>
      <c r="H147" s="81"/>
      <c r="I147" s="82"/>
      <c r="J147" s="38"/>
      <c r="K147" s="65"/>
      <c r="L147" s="83"/>
      <c r="M147" s="66"/>
      <c r="N147" s="4"/>
      <c r="O147" s="46"/>
      <c r="P147" s="46"/>
      <c r="Q147" s="67"/>
      <c r="R147" s="221"/>
      <c r="S147" s="48"/>
      <c r="T147" s="69"/>
      <c r="U147" s="47"/>
      <c r="V147" s="46"/>
      <c r="W147" s="67"/>
      <c r="X147" s="68"/>
      <c r="Y147" s="48"/>
      <c r="Z147" s="4"/>
      <c r="AA147" s="46"/>
      <c r="AB147" s="46"/>
      <c r="AC147" s="67"/>
      <c r="AD147" s="68"/>
      <c r="AE147" s="48"/>
      <c r="AF147" s="4"/>
      <c r="AG147" s="46"/>
      <c r="AH147" s="46"/>
      <c r="AI147" s="67"/>
      <c r="AJ147" s="68"/>
      <c r="AK147" s="48"/>
      <c r="AL147" s="4"/>
      <c r="AM147" s="46"/>
      <c r="AN147" s="46"/>
      <c r="AO147" s="67"/>
      <c r="AP147" s="68"/>
      <c r="AQ147" s="48"/>
      <c r="AR147" s="4"/>
      <c r="AS147" s="46"/>
      <c r="AT147" s="46"/>
      <c r="AU147" s="70"/>
      <c r="AV147" s="71"/>
      <c r="AW147" s="71"/>
      <c r="AX147" s="1"/>
      <c r="AY147" s="1"/>
      <c r="AZ147" s="59"/>
      <c r="BO147" s="38"/>
    </row>
    <row r="148" spans="2:67" ht="13.8">
      <c r="B148" s="38"/>
      <c r="C148" s="63"/>
      <c r="D148" s="80"/>
      <c r="E148" s="81"/>
      <c r="F148" s="81"/>
      <c r="G148" s="81"/>
      <c r="H148" s="81"/>
      <c r="I148" s="82"/>
      <c r="J148" s="38"/>
      <c r="K148" s="65"/>
      <c r="L148" s="83"/>
      <c r="M148" s="66"/>
      <c r="N148" s="4"/>
      <c r="O148" s="46"/>
      <c r="P148" s="46"/>
      <c r="Q148" s="67"/>
      <c r="R148" s="221"/>
      <c r="S148" s="48"/>
      <c r="T148" s="69"/>
      <c r="U148" s="47"/>
      <c r="V148" s="46"/>
      <c r="W148" s="67"/>
      <c r="X148" s="68"/>
      <c r="Y148" s="48"/>
      <c r="Z148" s="4"/>
      <c r="AA148" s="46"/>
      <c r="AB148" s="46"/>
      <c r="AC148" s="67"/>
      <c r="AD148" s="68"/>
      <c r="AE148" s="48"/>
      <c r="AF148" s="4"/>
      <c r="AG148" s="46"/>
      <c r="AH148" s="46"/>
      <c r="AI148" s="67"/>
      <c r="AJ148" s="68"/>
      <c r="AK148" s="48"/>
      <c r="AL148" s="4"/>
      <c r="AM148" s="46"/>
      <c r="AN148" s="46"/>
      <c r="AO148" s="67"/>
      <c r="AP148" s="68"/>
      <c r="AQ148" s="48"/>
      <c r="AR148" s="4"/>
      <c r="AS148" s="46"/>
      <c r="AT148" s="46"/>
      <c r="AU148" s="70"/>
      <c r="AV148" s="71"/>
      <c r="AW148" s="71"/>
      <c r="AX148" s="1"/>
      <c r="AY148" s="1"/>
      <c r="AZ148" s="59"/>
      <c r="BO148" s="38"/>
    </row>
    <row r="149" spans="2:67" ht="13.8">
      <c r="B149" s="38"/>
      <c r="C149" s="63"/>
      <c r="D149" s="80"/>
      <c r="E149" s="81"/>
      <c r="F149" s="81"/>
      <c r="G149" s="81"/>
      <c r="H149" s="81"/>
      <c r="I149" s="82"/>
      <c r="J149" s="38"/>
      <c r="K149" s="65"/>
      <c r="L149" s="83"/>
      <c r="M149" s="66"/>
      <c r="N149" s="4"/>
      <c r="O149" s="46"/>
      <c r="P149" s="46"/>
      <c r="Q149" s="67"/>
      <c r="R149" s="221"/>
      <c r="S149" s="48"/>
      <c r="T149" s="69"/>
      <c r="U149" s="47"/>
      <c r="V149" s="46"/>
      <c r="W149" s="67"/>
      <c r="X149" s="68"/>
      <c r="Y149" s="48"/>
      <c r="Z149" s="4"/>
      <c r="AA149" s="46"/>
      <c r="AB149" s="46"/>
      <c r="AC149" s="67"/>
      <c r="AD149" s="68"/>
      <c r="AE149" s="48"/>
      <c r="AF149" s="4"/>
      <c r="AG149" s="46"/>
      <c r="AH149" s="46"/>
      <c r="AI149" s="67"/>
      <c r="AJ149" s="68"/>
      <c r="AK149" s="48"/>
      <c r="AL149" s="4"/>
      <c r="AM149" s="46"/>
      <c r="AN149" s="46"/>
      <c r="AO149" s="67"/>
      <c r="AP149" s="68"/>
      <c r="AQ149" s="48"/>
      <c r="AR149" s="4"/>
      <c r="AS149" s="46"/>
      <c r="AT149" s="46"/>
      <c r="AU149" s="70"/>
      <c r="AV149" s="71"/>
      <c r="AW149" s="71"/>
      <c r="AX149" s="1"/>
      <c r="AY149" s="1"/>
      <c r="AZ149" s="59"/>
      <c r="BO149" s="38"/>
    </row>
    <row r="150" spans="2:67" ht="13.8">
      <c r="B150" s="38"/>
      <c r="C150" s="63"/>
      <c r="D150" s="80"/>
      <c r="E150" s="81"/>
      <c r="F150" s="81"/>
      <c r="G150" s="81"/>
      <c r="H150" s="81"/>
      <c r="I150" s="82"/>
      <c r="J150" s="38"/>
      <c r="K150" s="65"/>
      <c r="L150" s="83"/>
      <c r="M150" s="66"/>
      <c r="N150" s="4"/>
      <c r="O150" s="46"/>
      <c r="P150" s="46"/>
      <c r="Q150" s="67"/>
      <c r="R150" s="221"/>
      <c r="S150" s="48"/>
      <c r="T150" s="69"/>
      <c r="U150" s="47"/>
      <c r="V150" s="46"/>
      <c r="W150" s="67"/>
      <c r="X150" s="68"/>
      <c r="Y150" s="48"/>
      <c r="Z150" s="4"/>
      <c r="AA150" s="46"/>
      <c r="AB150" s="46"/>
      <c r="AC150" s="67"/>
      <c r="AD150" s="68"/>
      <c r="AE150" s="48"/>
      <c r="AF150" s="4"/>
      <c r="AG150" s="46"/>
      <c r="AH150" s="46"/>
      <c r="AI150" s="67"/>
      <c r="AJ150" s="68"/>
      <c r="AK150" s="48"/>
      <c r="AL150" s="4"/>
      <c r="AM150" s="46"/>
      <c r="AN150" s="46"/>
      <c r="AO150" s="67"/>
      <c r="AP150" s="68"/>
      <c r="AQ150" s="48"/>
      <c r="AR150" s="4"/>
      <c r="AS150" s="46"/>
      <c r="AT150" s="46"/>
      <c r="AU150" s="70"/>
      <c r="AV150" s="71"/>
      <c r="AW150" s="71"/>
      <c r="AX150" s="1"/>
      <c r="AY150" s="1"/>
      <c r="AZ150" s="59"/>
      <c r="BO150" s="38"/>
    </row>
    <row r="151" spans="2:67" ht="13.8">
      <c r="B151" s="82"/>
      <c r="C151" s="94"/>
      <c r="D151" s="80"/>
      <c r="E151" s="81"/>
      <c r="F151" s="81"/>
      <c r="G151" s="81"/>
      <c r="H151" s="81"/>
      <c r="I151" s="82"/>
      <c r="J151" s="82"/>
      <c r="K151" s="65"/>
      <c r="L151" s="83"/>
      <c r="M151" s="83"/>
      <c r="N151" s="81"/>
      <c r="O151" s="84"/>
      <c r="P151" s="84"/>
      <c r="Q151" s="85"/>
      <c r="R151" s="222"/>
      <c r="S151" s="89"/>
      <c r="T151" s="87"/>
      <c r="U151" s="88"/>
      <c r="V151" s="84"/>
      <c r="W151" s="85"/>
      <c r="X151" s="86"/>
      <c r="Y151" s="89"/>
      <c r="Z151" s="81"/>
      <c r="AA151" s="84"/>
      <c r="AB151" s="84"/>
      <c r="AC151" s="85"/>
      <c r="AD151" s="86"/>
      <c r="AE151" s="89"/>
      <c r="AF151" s="81"/>
      <c r="AG151" s="84"/>
      <c r="AH151" s="84"/>
      <c r="AI151" s="85"/>
      <c r="AJ151" s="86"/>
      <c r="AK151" s="89"/>
      <c r="AL151" s="81"/>
      <c r="AM151" s="84"/>
      <c r="AN151" s="84"/>
      <c r="AO151" s="85"/>
      <c r="AP151" s="86"/>
      <c r="AQ151" s="89"/>
      <c r="AR151" s="81"/>
      <c r="AS151" s="84"/>
      <c r="AT151" s="84"/>
      <c r="AU151" s="90"/>
      <c r="AV151" s="91"/>
      <c r="AW151" s="91"/>
      <c r="AX151" s="92"/>
      <c r="AY151" s="92"/>
      <c r="AZ151" s="93"/>
      <c r="BO151" s="38"/>
    </row>
    <row r="152" spans="2:67" ht="13.8">
      <c r="B152" s="38"/>
      <c r="C152" s="63"/>
      <c r="D152" s="64"/>
      <c r="E152" s="4"/>
      <c r="F152" s="4"/>
      <c r="G152" s="4"/>
      <c r="H152" s="4"/>
      <c r="I152" s="38"/>
      <c r="J152" s="38"/>
      <c r="K152" s="65"/>
      <c r="L152" s="66"/>
      <c r="M152" s="66"/>
      <c r="N152" s="4"/>
      <c r="O152" s="46"/>
      <c r="P152" s="46"/>
      <c r="Q152" s="67"/>
      <c r="R152" s="221"/>
      <c r="S152" s="48"/>
      <c r="T152" s="69"/>
      <c r="U152" s="47"/>
      <c r="V152" s="46"/>
      <c r="W152" s="67"/>
      <c r="X152" s="68"/>
      <c r="Y152" s="48"/>
      <c r="Z152" s="4"/>
      <c r="AA152" s="46"/>
      <c r="AB152" s="46"/>
      <c r="AC152" s="67"/>
      <c r="AD152" s="68"/>
      <c r="AE152" s="48"/>
      <c r="AF152" s="4"/>
      <c r="AG152" s="46"/>
      <c r="AH152" s="46"/>
      <c r="AI152" s="67"/>
      <c r="AJ152" s="68"/>
      <c r="AK152" s="48"/>
      <c r="AL152" s="4"/>
      <c r="AM152" s="46"/>
      <c r="AN152" s="46"/>
      <c r="AO152" s="67"/>
      <c r="AP152" s="68"/>
      <c r="AQ152" s="48"/>
      <c r="AR152" s="4"/>
      <c r="AS152" s="46"/>
      <c r="AT152" s="46"/>
      <c r="AU152" s="70"/>
      <c r="AV152" s="71"/>
      <c r="AW152" s="71"/>
      <c r="AX152" s="1"/>
      <c r="AY152" s="1"/>
      <c r="AZ152" s="59"/>
      <c r="BO152" s="38"/>
    </row>
  </sheetData>
  <autoFilter ref="A1:BC35">
    <filterColumn colId="6"/>
  </autoFilter>
  <dataConsolidate/>
  <customSheetViews>
    <customSheetView guid="{7BA9E918-F3F9-4CEB-966C-941A716ADD86}" scale="80" showPageBreaks="1" showAutoFilter="1" hiddenColumns="1">
      <pane xSplit="4" ySplit="1" topLeftCell="I14" activePane="bottomRight" state="frozen"/>
      <selection pane="bottomRight" activeCell="M21" sqref="M21"/>
      <pageMargins left="0.70866141732283472" right="0.70866141732283472" top="0.74803149606299213" bottom="0.74803149606299213" header="0.31496062992125984" footer="0.31496062992125984"/>
      <pageSetup paperSize="9" orientation="landscape" r:id="rId1"/>
      <autoFilter ref="A1:AH30">
        <filterColumn colId="1"/>
        <filterColumn colId="2"/>
        <filterColumn colId="3"/>
        <filterColumn colId="4"/>
        <filterColumn colId="5"/>
        <filterColumn colId="6"/>
        <filterColumn colId="7"/>
        <filterColumn colId="8"/>
        <filterColumn colId="9"/>
        <filterColumn colId="10"/>
        <filterColumn colId="11"/>
        <filterColumn colId="12"/>
        <filterColumn colId="13"/>
        <filterColumn colId="14"/>
        <filterColumn colId="15"/>
        <filterColumn colId="16"/>
        <filterColumn colId="17"/>
        <filterColumn colId="18"/>
        <filterColumn colId="19"/>
        <filterColumn colId="20"/>
        <filterColumn colId="21"/>
        <filterColumn colId="22"/>
        <filterColumn colId="23"/>
        <filterColumn colId="24"/>
        <filterColumn colId="25"/>
        <filterColumn colId="26"/>
        <filterColumn colId="27"/>
        <filterColumn colId="28"/>
        <filterColumn colId="29"/>
        <filterColumn colId="31"/>
        <filterColumn colId="32"/>
      </autoFilter>
    </customSheetView>
  </customSheetViews>
  <mergeCells count="8">
    <mergeCell ref="A36:A37"/>
    <mergeCell ref="A28:A35"/>
    <mergeCell ref="A20:A25"/>
    <mergeCell ref="A4:A5"/>
    <mergeCell ref="A6:A10"/>
    <mergeCell ref="A11:A12"/>
    <mergeCell ref="A13:A15"/>
    <mergeCell ref="A17:A19"/>
  </mergeCells>
  <phoneticPr fontId="9" type="noConversion"/>
  <conditionalFormatting sqref="AX2:AY152">
    <cfRule type="cellIs" dxfId="24" priority="19" operator="lessThan">
      <formula>48</formula>
    </cfRule>
    <cfRule type="cellIs" dxfId="23" priority="20" operator="lessThan">
      <formula>30</formula>
    </cfRule>
  </conditionalFormatting>
  <conditionalFormatting sqref="AZ2:AZ152">
    <cfRule type="containsText" dxfId="22" priority="7" operator="containsText" text="O+E">
      <formula>NOT(ISERROR(SEARCH("O+E",AZ2)))</formula>
    </cfRule>
    <cfRule type="containsText" dxfId="21" priority="8" operator="containsText" text="O+ACC">
      <formula>NOT(ISERROR(SEARCH("O+ACC",AZ2)))</formula>
    </cfRule>
    <cfRule type="containsText" dxfId="20" priority="9" operator="containsText" text="O+AN">
      <formula>NOT(ISERROR(SEARCH("O+AN",AZ2)))</formula>
    </cfRule>
    <cfRule type="containsText" dxfId="19" priority="10" operator="containsText" text="O+R">
      <formula>NOT(ISERROR(SEARCH("O+R",AZ2)))</formula>
    </cfRule>
    <cfRule type="containsText" dxfId="18" priority="11" operator="containsText" text="CLOSED">
      <formula>NOT(ISERROR(SEARCH("CLOSED",AZ2)))</formula>
    </cfRule>
    <cfRule type="containsText" dxfId="17" priority="12" stopIfTrue="1" operator="containsText" text="OPEN">
      <formula>NOT(ISERROR(SEARCH("OPEN",AZ2)))</formula>
    </cfRule>
  </conditionalFormatting>
  <conditionalFormatting sqref="AX2:AY152">
    <cfRule type="iconSet" priority="60">
      <iconSet iconSet="3Flags">
        <cfvo type="percent" val="0"/>
        <cfvo type="num" val="30" gte="0"/>
        <cfvo type="num" val="60" gte="0"/>
      </iconSet>
    </cfRule>
  </conditionalFormatting>
  <pageMargins left="0.28999999999999998" right="0.22" top="0.27" bottom="0.27" header="0.18" footer="0.23"/>
  <pageSetup paperSize="9" scale="57" orientation="landscape" r:id="rId2"/>
  <legacyDrawing r:id="rId3"/>
</worksheet>
</file>

<file path=xl/worksheets/sheet3.xml><?xml version="1.0" encoding="utf-8"?>
<worksheet xmlns="http://schemas.openxmlformats.org/spreadsheetml/2006/main" xmlns:r="http://schemas.openxmlformats.org/officeDocument/2006/relationships">
  <dimension ref="A1:K98"/>
  <sheetViews>
    <sheetView workbookViewId="0">
      <selection activeCell="B5" sqref="B5"/>
    </sheetView>
  </sheetViews>
  <sheetFormatPr defaultColWidth="8.88671875" defaultRowHeight="13.2"/>
  <cols>
    <col min="1" max="1" width="19.5546875" style="177" customWidth="1"/>
    <col min="2" max="2" width="25" style="5" customWidth="1"/>
    <col min="3" max="3" width="12.33203125" style="5" bestFit="1" customWidth="1"/>
    <col min="4" max="4" width="8.88671875" style="5" customWidth="1"/>
    <col min="5" max="5" width="19.5546875" style="177" customWidth="1"/>
    <col min="6" max="6" width="14.33203125" style="5" customWidth="1"/>
    <col min="7" max="7" width="12.33203125" style="5" bestFit="1" customWidth="1"/>
    <col min="8" max="8" width="7.6640625" style="5" customWidth="1"/>
    <col min="9" max="16384" width="8.88671875" style="5"/>
  </cols>
  <sheetData>
    <row r="1" spans="1:11" ht="27.6" customHeight="1" thickBot="1">
      <c r="A1" s="283" t="s">
        <v>249</v>
      </c>
      <c r="B1" s="283"/>
      <c r="C1" s="200" t="s">
        <v>286</v>
      </c>
      <c r="E1" s="283" t="s">
        <v>247</v>
      </c>
      <c r="F1" s="283"/>
    </row>
    <row r="2" spans="1:11" ht="13.8" thickBot="1">
      <c r="A2" s="131" t="s">
        <v>197</v>
      </c>
      <c r="B2" s="152" t="e">
        <f>B13/12</f>
        <v>#REF!</v>
      </c>
      <c r="E2" s="131" t="s">
        <v>197</v>
      </c>
      <c r="F2" s="152" t="e">
        <f>F13/12</f>
        <v>#REF!</v>
      </c>
    </row>
    <row r="3" spans="1:11">
      <c r="A3" s="106" t="s">
        <v>196</v>
      </c>
      <c r="B3" s="151" t="e">
        <f>B38</f>
        <v>#REF!</v>
      </c>
      <c r="D3" s="148"/>
      <c r="E3" s="106" t="s">
        <v>196</v>
      </c>
      <c r="F3" s="151" t="e">
        <f>F38</f>
        <v>#REF!</v>
      </c>
      <c r="H3" s="148"/>
      <c r="I3" s="148"/>
    </row>
    <row r="4" spans="1:11">
      <c r="A4" s="103" t="s">
        <v>8</v>
      </c>
      <c r="B4" s="149" t="e">
        <f>B39/12</f>
        <v>#REF!</v>
      </c>
      <c r="D4" s="148"/>
      <c r="E4" s="103" t="s">
        <v>8</v>
      </c>
      <c r="F4" s="149" t="e">
        <f>F39/12</f>
        <v>#REF!</v>
      </c>
      <c r="H4" s="148"/>
      <c r="I4" s="148"/>
    </row>
    <row r="5" spans="1:11" ht="13.8" thickBot="1">
      <c r="A5" s="130" t="s">
        <v>9</v>
      </c>
      <c r="B5" s="150" t="e">
        <f>B40/12</f>
        <v>#REF!</v>
      </c>
      <c r="D5" s="148"/>
      <c r="E5" s="130" t="s">
        <v>9</v>
      </c>
      <c r="F5" s="150" t="e">
        <f>F40/12</f>
        <v>#REF!</v>
      </c>
      <c r="H5" s="148"/>
      <c r="I5" s="148"/>
    </row>
    <row r="6" spans="1:11">
      <c r="A6" s="5"/>
      <c r="B6" s="147"/>
      <c r="D6" s="148"/>
      <c r="E6" s="5"/>
      <c r="F6" s="147"/>
      <c r="H6" s="148"/>
      <c r="I6" s="148"/>
    </row>
    <row r="7" spans="1:11" s="177" customFormat="1" ht="28.95" customHeight="1">
      <c r="A7" s="177" t="s">
        <v>143</v>
      </c>
      <c r="B7" s="177">
        <v>2012</v>
      </c>
      <c r="C7" s="177" t="s">
        <v>206</v>
      </c>
      <c r="E7" s="177" t="s">
        <v>143</v>
      </c>
      <c r="F7" s="177">
        <v>2011</v>
      </c>
      <c r="G7" s="177" t="s">
        <v>206</v>
      </c>
    </row>
    <row r="8" spans="1:11" s="177" customFormat="1" ht="27.6" customHeight="1" thickBot="1">
      <c r="A8" s="283" t="s">
        <v>139</v>
      </c>
      <c r="B8" s="283"/>
      <c r="C8" s="283"/>
      <c r="E8" s="283" t="s">
        <v>139</v>
      </c>
      <c r="F8" s="283"/>
      <c r="G8" s="283"/>
    </row>
    <row r="9" spans="1:11" s="177" customFormat="1" ht="27" thickBot="1">
      <c r="A9" s="154" t="s">
        <v>139</v>
      </c>
      <c r="B9" s="132" t="s">
        <v>164</v>
      </c>
      <c r="C9" s="102" t="s">
        <v>182</v>
      </c>
      <c r="E9" s="154" t="s">
        <v>139</v>
      </c>
      <c r="F9" s="132" t="s">
        <v>164</v>
      </c>
      <c r="G9" s="102" t="s">
        <v>182</v>
      </c>
    </row>
    <row r="10" spans="1:11" s="177" customFormat="1">
      <c r="A10" s="198" t="s">
        <v>140</v>
      </c>
      <c r="B10" s="113" t="e">
        <f>COUNTIF(Control!#REF!,"Home Base")</f>
        <v>#REF!</v>
      </c>
      <c r="C10" s="199" t="e">
        <f>B10/B13</f>
        <v>#REF!</v>
      </c>
      <c r="D10" s="203" t="e">
        <f>(B10-F10)/F10</f>
        <v>#REF!</v>
      </c>
      <c r="E10" s="198" t="s">
        <v>140</v>
      </c>
      <c r="F10" s="113" t="e">
        <f>COUNTIF(Control!#REF!,"Home Base")</f>
        <v>#REF!</v>
      </c>
      <c r="G10" s="199" t="e">
        <f>F10/F13</f>
        <v>#REF!</v>
      </c>
    </row>
    <row r="11" spans="1:11" s="177" customFormat="1">
      <c r="A11" s="103" t="s">
        <v>141</v>
      </c>
      <c r="B11" s="4" t="e">
        <f>COUNTIF(Control!#REF!,"Out Station")</f>
        <v>#REF!</v>
      </c>
      <c r="C11" s="104" t="e">
        <f>B11/B13</f>
        <v>#REF!</v>
      </c>
      <c r="D11" s="203" t="e">
        <f>(B11-F11)/F11</f>
        <v>#REF!</v>
      </c>
      <c r="E11" s="103" t="s">
        <v>141</v>
      </c>
      <c r="F11" s="4" t="e">
        <f>COUNTIF(Control!#REF!,"Out Station")</f>
        <v>#REF!</v>
      </c>
      <c r="G11" s="104" t="e">
        <f>F11/F13</f>
        <v>#REF!</v>
      </c>
    </row>
    <row r="12" spans="1:11" s="177" customFormat="1" ht="13.8" thickBot="1">
      <c r="A12" s="130" t="s">
        <v>142</v>
      </c>
      <c r="B12" s="111" t="e">
        <f>COUNTIF(Control!#REF!,"Base Maintenance")</f>
        <v>#REF!</v>
      </c>
      <c r="C12" s="105" t="e">
        <f>B12/B13</f>
        <v>#REF!</v>
      </c>
      <c r="D12" s="203" t="e">
        <f>(B12-F12)/F12</f>
        <v>#REF!</v>
      </c>
      <c r="E12" s="130" t="s">
        <v>142</v>
      </c>
      <c r="F12" s="111" t="e">
        <f>COUNTIF(Control!#REF!,"Base Maintenance")</f>
        <v>#REF!</v>
      </c>
      <c r="G12" s="105" t="e">
        <f>F12/F13</f>
        <v>#REF!</v>
      </c>
    </row>
    <row r="13" spans="1:11" customFormat="1" ht="13.8" thickBot="1">
      <c r="A13" s="195" t="s">
        <v>168</v>
      </c>
      <c r="B13" s="196" t="e">
        <f>SUM(B10:B12)</f>
        <v>#REF!</v>
      </c>
      <c r="C13" s="197" t="e">
        <f>B13/B13</f>
        <v>#REF!</v>
      </c>
      <c r="D13" s="203" t="e">
        <f>(B13-F13)/F13</f>
        <v>#REF!</v>
      </c>
      <c r="E13" s="195" t="s">
        <v>168</v>
      </c>
      <c r="F13" s="196" t="e">
        <f>SUM(F10:F12)</f>
        <v>#REF!</v>
      </c>
      <c r="G13" s="197" t="e">
        <f>F13/F13</f>
        <v>#REF!</v>
      </c>
      <c r="H13" s="5"/>
    </row>
    <row r="14" spans="1:11" s="177" customFormat="1" ht="27.6" customHeight="1" thickBot="1">
      <c r="A14" s="281" t="s">
        <v>144</v>
      </c>
      <c r="B14" s="281"/>
      <c r="C14" s="281"/>
      <c r="E14" s="281" t="s">
        <v>144</v>
      </c>
      <c r="F14" s="281"/>
      <c r="G14" s="281"/>
    </row>
    <row r="15" spans="1:11" ht="27" thickBot="1">
      <c r="A15" s="108" t="s">
        <v>183</v>
      </c>
      <c r="B15" s="132" t="s">
        <v>164</v>
      </c>
      <c r="C15" s="102" t="s">
        <v>182</v>
      </c>
      <c r="E15" s="108" t="s">
        <v>183</v>
      </c>
      <c r="F15" s="132" t="s">
        <v>164</v>
      </c>
      <c r="G15" s="102" t="s">
        <v>182</v>
      </c>
      <c r="J15" s="127"/>
      <c r="K15" s="127"/>
    </row>
    <row r="16" spans="1:11">
      <c r="A16" s="204" t="s">
        <v>233</v>
      </c>
      <c r="B16" s="144" t="e">
        <f>COUNTIF(Control!#REF!,A16)</f>
        <v>#REF!</v>
      </c>
      <c r="C16" s="213" t="e">
        <f>B16/$B$13</f>
        <v>#REF!</v>
      </c>
      <c r="D16" s="203" t="e">
        <f>SUM(C16:C28)</f>
        <v>#REF!</v>
      </c>
      <c r="E16" s="206" t="s">
        <v>190</v>
      </c>
      <c r="F16" s="144" t="e">
        <f>COUNTIF(Control!#REF!,"145 Phase I")</f>
        <v>#REF!</v>
      </c>
      <c r="G16" s="213" t="e">
        <f>F16/$F$13</f>
        <v>#REF!</v>
      </c>
      <c r="H16" s="203" t="e">
        <f>SUM(G16:G27)</f>
        <v>#REF!</v>
      </c>
      <c r="J16" s="98"/>
      <c r="K16" s="10"/>
    </row>
    <row r="17" spans="1:11" ht="24" customHeight="1">
      <c r="A17" s="205" t="s">
        <v>225</v>
      </c>
      <c r="B17" s="144" t="e">
        <f>COUNTIF(Control!#REF!,A17)</f>
        <v>#REF!</v>
      </c>
      <c r="C17" s="214" t="e">
        <f t="shared" ref="C17:C35" si="0">B17/$B$13</f>
        <v>#REF!</v>
      </c>
      <c r="E17" s="207" t="s">
        <v>207</v>
      </c>
      <c r="F17" s="144" t="e">
        <f>COUNTIF(Control!#REF!,"Taipei Station Audit")</f>
        <v>#REF!</v>
      </c>
      <c r="G17" s="214" t="e">
        <f t="shared" ref="G17:G26" si="1">F17/$F$13</f>
        <v>#REF!</v>
      </c>
      <c r="J17" s="98"/>
      <c r="K17" s="10"/>
    </row>
    <row r="18" spans="1:11">
      <c r="A18" s="204" t="s">
        <v>235</v>
      </c>
      <c r="B18" s="144" t="e">
        <f>COUNTIF(Control!#REF!,A18)</f>
        <v>#REF!</v>
      </c>
      <c r="C18" s="214" t="e">
        <f t="shared" si="0"/>
        <v>#REF!</v>
      </c>
      <c r="E18" s="206" t="s">
        <v>102</v>
      </c>
      <c r="F18" s="144" t="e">
        <f>COUNTIF(Control!#REF!,"145 Phase II")</f>
        <v>#REF!</v>
      </c>
      <c r="G18" s="214" t="e">
        <f t="shared" si="1"/>
        <v>#REF!</v>
      </c>
      <c r="J18" s="98"/>
      <c r="K18" s="10"/>
    </row>
    <row r="19" spans="1:11" ht="18.75" customHeight="1">
      <c r="A19" s="205" t="s">
        <v>222</v>
      </c>
      <c r="B19" s="144" t="e">
        <f>COUNTIF(Control!#REF!,A19)</f>
        <v>#REF!</v>
      </c>
      <c r="C19" s="214" t="e">
        <f t="shared" si="0"/>
        <v>#REF!</v>
      </c>
      <c r="E19" s="208" t="s">
        <v>191</v>
      </c>
      <c r="F19" s="142" t="e">
        <f>COUNTIF(Control!#REF!,"6C follow up audit")</f>
        <v>#REF!</v>
      </c>
      <c r="G19" s="214" t="e">
        <f t="shared" si="1"/>
        <v>#REF!</v>
      </c>
      <c r="J19" s="98"/>
      <c r="K19" s="10"/>
    </row>
    <row r="20" spans="1:11" ht="24.6" customHeight="1">
      <c r="A20" s="205" t="s">
        <v>231</v>
      </c>
      <c r="B20" s="144" t="e">
        <f>COUNTIF(Control!#REF!,A20)</f>
        <v>#REF!</v>
      </c>
      <c r="C20" s="214" t="e">
        <f t="shared" si="0"/>
        <v>#REF!</v>
      </c>
      <c r="E20" s="208" t="s">
        <v>189</v>
      </c>
      <c r="F20" s="142" t="e">
        <f>COUNTIF(Control!#REF!,"Beijing Station Audit")</f>
        <v>#REF!</v>
      </c>
      <c r="G20" s="214" t="e">
        <f t="shared" si="1"/>
        <v>#REF!</v>
      </c>
      <c r="J20" s="98"/>
      <c r="K20" s="10"/>
    </row>
    <row r="21" spans="1:11" ht="23.4" customHeight="1">
      <c r="A21" s="205" t="s">
        <v>223</v>
      </c>
      <c r="B21" s="144" t="e">
        <f>COUNTIF(Control!#REF!,A21)</f>
        <v>#REF!</v>
      </c>
      <c r="C21" s="214" t="e">
        <f t="shared" si="0"/>
        <v>#REF!</v>
      </c>
      <c r="E21" s="206" t="s">
        <v>192</v>
      </c>
      <c r="F21" s="144" t="e">
        <f>COUNTIF(Control!#REF!,"KWL Station Audit")</f>
        <v>#REF!</v>
      </c>
      <c r="G21" s="214" t="e">
        <f t="shared" si="1"/>
        <v>#REF!</v>
      </c>
      <c r="J21" s="98"/>
      <c r="K21" s="10"/>
    </row>
    <row r="22" spans="1:11" ht="15.75" customHeight="1">
      <c r="A22" s="204" t="s">
        <v>251</v>
      </c>
      <c r="B22" s="144" t="e">
        <f>COUNTIF(Control!#REF!,A22)</f>
        <v>#REF!</v>
      </c>
      <c r="C22" s="214" t="e">
        <f t="shared" si="0"/>
        <v>#REF!</v>
      </c>
      <c r="E22" s="205" t="s">
        <v>210</v>
      </c>
      <c r="F22" s="144" t="e">
        <f>COUNTIF(Control!#REF!,"B-MAR 12C Audit")</f>
        <v>#REF!</v>
      </c>
      <c r="G22" s="214" t="e">
        <f t="shared" si="1"/>
        <v>#REF!</v>
      </c>
      <c r="J22" s="98"/>
      <c r="K22" s="10"/>
    </row>
    <row r="23" spans="1:11">
      <c r="A23" s="204" t="s">
        <v>246</v>
      </c>
      <c r="B23" s="144" t="e">
        <f>COUNTIF(Control!#REF!,A23)</f>
        <v>#REF!</v>
      </c>
      <c r="C23" s="214" t="e">
        <f t="shared" si="0"/>
        <v>#REF!</v>
      </c>
      <c r="E23" s="206" t="s">
        <v>193</v>
      </c>
      <c r="F23" s="144" t="e">
        <f>COUNTIF(Control!#REF!,"C Check in STARCO")</f>
        <v>#REF!</v>
      </c>
      <c r="G23" s="214" t="e">
        <f t="shared" si="1"/>
        <v>#REF!</v>
      </c>
      <c r="J23" s="98"/>
      <c r="K23" s="10"/>
    </row>
    <row r="24" spans="1:11" ht="15" customHeight="1">
      <c r="A24" s="204" t="s">
        <v>218</v>
      </c>
      <c r="B24" s="144" t="e">
        <f>COUNTIF(Control!#REF!,A24)</f>
        <v>#REF!</v>
      </c>
      <c r="C24" s="214" t="e">
        <f t="shared" si="0"/>
        <v>#REF!</v>
      </c>
      <c r="E24" s="204" t="s">
        <v>212</v>
      </c>
      <c r="F24" s="144" t="e">
        <f>COUNTIF(Control!#REF!,"AOC &amp; 145 Phase III")</f>
        <v>#REF!</v>
      </c>
      <c r="G24" s="214" t="e">
        <f t="shared" si="1"/>
        <v>#REF!</v>
      </c>
      <c r="J24" s="98"/>
      <c r="K24" s="10"/>
    </row>
    <row r="25" spans="1:11">
      <c r="A25" s="205" t="s">
        <v>219</v>
      </c>
      <c r="B25" s="144" t="e">
        <f>COUNTIF(Control!#REF!,A25)</f>
        <v>#REF!</v>
      </c>
      <c r="C25" s="214" t="e">
        <f t="shared" si="0"/>
        <v>#REF!</v>
      </c>
      <c r="E25" s="209" t="s">
        <v>194</v>
      </c>
      <c r="F25" s="144" t="e">
        <f>COUNTIF(Control!#REF!,"C of A renew")</f>
        <v>#REF!</v>
      </c>
      <c r="G25" s="214" t="e">
        <f t="shared" si="1"/>
        <v>#REF!</v>
      </c>
      <c r="J25" s="98"/>
      <c r="K25" s="10"/>
    </row>
    <row r="26" spans="1:11" ht="22.8">
      <c r="A26" s="205" t="s">
        <v>224</v>
      </c>
      <c r="B26" s="144" t="e">
        <f>COUNTIF(Control!#REF!,A26)</f>
        <v>#REF!</v>
      </c>
      <c r="C26" s="214" t="e">
        <f t="shared" si="0"/>
        <v>#REF!</v>
      </c>
      <c r="E26" s="204" t="s">
        <v>209</v>
      </c>
      <c r="F26" s="210" t="e">
        <f>COUNTIF(Control!#REF!,"BKK Station Audit")</f>
        <v>#REF!</v>
      </c>
      <c r="G26" s="214" t="e">
        <f t="shared" si="1"/>
        <v>#REF!</v>
      </c>
      <c r="J26" s="98"/>
      <c r="K26" s="10"/>
    </row>
    <row r="27" spans="1:11">
      <c r="A27" s="205" t="s">
        <v>228</v>
      </c>
      <c r="B27" s="144" t="e">
        <f>COUNTIF(Control!#REF!,A27)</f>
        <v>#REF!</v>
      </c>
      <c r="C27" s="214" t="e">
        <f t="shared" si="0"/>
        <v>#REF!</v>
      </c>
      <c r="E27" s="204" t="s">
        <v>213</v>
      </c>
      <c r="F27" s="144" t="e">
        <f>COUNTIF(Control!#REF!,"B-MAS CoA Renewal")</f>
        <v>#REF!</v>
      </c>
      <c r="G27" s="214" t="e">
        <f t="shared" ref="G27" si="2">F27/$F$13</f>
        <v>#REF!</v>
      </c>
      <c r="J27" s="98"/>
      <c r="K27" s="10"/>
    </row>
    <row r="28" spans="1:11">
      <c r="A28" s="204" t="s">
        <v>256</v>
      </c>
      <c r="B28" s="144" t="e">
        <f>COUNTIF(Control!#REF!,A28)</f>
        <v>#REF!</v>
      </c>
      <c r="C28" s="214" t="e">
        <f t="shared" ref="C28" si="3">B28/$B$13</f>
        <v>#REF!</v>
      </c>
      <c r="E28" s="168" t="s">
        <v>215</v>
      </c>
      <c r="F28" s="4" t="e">
        <f>COUNTIF(Control!#REF!,"He Fei Station Audit")</f>
        <v>#REF!</v>
      </c>
      <c r="G28" s="104" t="e">
        <f t="shared" ref="G28:G33" si="4">F28/$F$13</f>
        <v>#REF!</v>
      </c>
      <c r="J28" s="98"/>
      <c r="K28" s="10"/>
    </row>
    <row r="29" spans="1:11">
      <c r="A29" s="169" t="s">
        <v>220</v>
      </c>
      <c r="B29" s="4" t="e">
        <f>COUNTIF(Control!#REF!,A29)</f>
        <v>#REF!</v>
      </c>
      <c r="C29" s="104" t="e">
        <f t="shared" si="0"/>
        <v>#REF!</v>
      </c>
      <c r="E29" s="103" t="s">
        <v>195</v>
      </c>
      <c r="F29" s="4" t="e">
        <f>COUNTIF(Control!#REF!,"NGB Station Audit")</f>
        <v>#REF!</v>
      </c>
      <c r="G29" s="104" t="e">
        <f t="shared" si="4"/>
        <v>#REF!</v>
      </c>
      <c r="J29" s="98"/>
      <c r="K29" s="10"/>
    </row>
    <row r="30" spans="1:11">
      <c r="A30" s="169" t="s">
        <v>221</v>
      </c>
      <c r="B30" s="4" t="e">
        <f>COUNTIF(Control!#REF!,A30)</f>
        <v>#REF!</v>
      </c>
      <c r="C30" s="104" t="e">
        <f t="shared" si="0"/>
        <v>#REF!</v>
      </c>
      <c r="E30" s="170" t="s">
        <v>203</v>
      </c>
      <c r="F30" s="4" t="e">
        <f>COUNTIF(Control!#REF!,"QA Manpower")</f>
        <v>#REF!</v>
      </c>
      <c r="G30" s="104" t="e">
        <f t="shared" si="4"/>
        <v>#REF!</v>
      </c>
      <c r="J30" s="98"/>
      <c r="K30" s="10"/>
    </row>
    <row r="31" spans="1:11">
      <c r="A31" s="169" t="s">
        <v>227</v>
      </c>
      <c r="B31" s="4" t="e">
        <f>COUNTIF(Control!#REF!,A31)</f>
        <v>#REF!</v>
      </c>
      <c r="C31" s="104" t="e">
        <f t="shared" si="0"/>
        <v>#REF!</v>
      </c>
      <c r="E31" s="170" t="s">
        <v>211</v>
      </c>
      <c r="F31" s="4" t="e">
        <f>COUNTIF(Control!#REF!,"SHA Intl' Airport Audit")</f>
        <v>#REF!</v>
      </c>
      <c r="G31" s="104" t="e">
        <f t="shared" si="4"/>
        <v>#REF!</v>
      </c>
      <c r="J31" s="98"/>
      <c r="K31" s="10"/>
    </row>
    <row r="32" spans="1:11" ht="22.8">
      <c r="A32" s="169" t="s">
        <v>252</v>
      </c>
      <c r="B32" s="4" t="e">
        <f>COUNTIF(Control!#REF!,A32)</f>
        <v>#REF!</v>
      </c>
      <c r="C32" s="104" t="e">
        <f t="shared" si="0"/>
        <v>#REF!</v>
      </c>
      <c r="E32" s="170" t="s">
        <v>214</v>
      </c>
      <c r="F32" s="4" t="e">
        <f>COUNTIF(Control!#REF!,"B-MAF CoA Renewal")</f>
        <v>#REF!</v>
      </c>
      <c r="G32" s="104" t="e">
        <f t="shared" si="4"/>
        <v>#REF!</v>
      </c>
      <c r="J32" s="98"/>
      <c r="K32" s="10"/>
    </row>
    <row r="33" spans="1:11" ht="13.2" customHeight="1" thickBot="1">
      <c r="A33" s="169" t="s">
        <v>226</v>
      </c>
      <c r="B33" s="4" t="e">
        <f>COUNTIF(Control!#REF!,A33)</f>
        <v>#REF!</v>
      </c>
      <c r="C33" s="104" t="e">
        <f t="shared" si="0"/>
        <v>#REF!</v>
      </c>
      <c r="E33" s="183" t="s">
        <v>208</v>
      </c>
      <c r="F33" s="81" t="e">
        <f>COUNTIF(Control!#REF!,"MR Unannounced Audit")</f>
        <v>#REF!</v>
      </c>
      <c r="G33" s="164" t="e">
        <f t="shared" si="4"/>
        <v>#REF!</v>
      </c>
      <c r="J33" s="98"/>
      <c r="K33" s="10"/>
    </row>
    <row r="34" spans="1:11">
      <c r="A34" s="170" t="s">
        <v>250</v>
      </c>
      <c r="B34" s="4" t="e">
        <f>COUNTIF(Control!#REF!,A34)</f>
        <v>#REF!</v>
      </c>
      <c r="C34" s="104" t="e">
        <f t="shared" si="0"/>
        <v>#REF!</v>
      </c>
      <c r="E34" s="138"/>
      <c r="F34" s="138"/>
      <c r="G34" s="138"/>
      <c r="J34" s="98"/>
      <c r="K34" s="10"/>
    </row>
    <row r="35" spans="1:11" customFormat="1" ht="13.8" thickBot="1">
      <c r="A35" s="192" t="s">
        <v>232</v>
      </c>
      <c r="B35" s="111" t="e">
        <f>COUNTIF(Control!#REF!,A35)</f>
        <v>#REF!</v>
      </c>
      <c r="C35" s="105" t="e">
        <f t="shared" si="0"/>
        <v>#REF!</v>
      </c>
      <c r="E35" s="127"/>
      <c r="F35" s="10"/>
      <c r="G35" s="10"/>
      <c r="I35" s="5"/>
      <c r="J35" s="98"/>
      <c r="K35" s="10"/>
    </row>
    <row r="36" spans="1:11" ht="27.6" customHeight="1" thickBot="1">
      <c r="A36" s="281" t="s">
        <v>148</v>
      </c>
      <c r="B36" s="281"/>
      <c r="C36" s="281"/>
      <c r="E36" s="281" t="s">
        <v>148</v>
      </c>
      <c r="F36" s="281"/>
      <c r="G36" s="281"/>
      <c r="J36" s="98"/>
      <c r="K36" s="10"/>
    </row>
    <row r="37" spans="1:11" ht="26.4">
      <c r="A37" s="184" t="s">
        <v>184</v>
      </c>
      <c r="B37" s="157" t="s">
        <v>185</v>
      </c>
      <c r="C37" s="185" t="s">
        <v>182</v>
      </c>
      <c r="E37" s="184" t="s">
        <v>254</v>
      </c>
      <c r="F37" s="157" t="s">
        <v>255</v>
      </c>
      <c r="G37" s="185" t="s">
        <v>182</v>
      </c>
      <c r="J37" s="98"/>
      <c r="K37" s="10"/>
    </row>
    <row r="38" spans="1:11">
      <c r="A38" s="186">
        <v>1</v>
      </c>
      <c r="B38" s="4" t="e">
        <f>COUNTIF(Control!#REF!,"1")</f>
        <v>#REF!</v>
      </c>
      <c r="C38" s="187" t="e">
        <f>B38/$B$13</f>
        <v>#REF!</v>
      </c>
      <c r="E38" s="186">
        <v>1</v>
      </c>
      <c r="F38" s="4" t="e">
        <f>COUNTIF(Control!#REF!,"1")</f>
        <v>#REF!</v>
      </c>
      <c r="G38" s="187" t="e">
        <f>F38/$F$13</f>
        <v>#REF!</v>
      </c>
      <c r="J38" s="98"/>
      <c r="K38" s="10"/>
    </row>
    <row r="39" spans="1:11">
      <c r="A39" s="103">
        <v>2</v>
      </c>
      <c r="B39" s="4" t="e">
        <f>COUNTIF(Control!#REF!,"2")</f>
        <v>#REF!</v>
      </c>
      <c r="C39" s="112" t="e">
        <f t="shared" ref="C39:C40" si="5">B39/$B$13</f>
        <v>#REF!</v>
      </c>
      <c r="E39" s="103">
        <v>2</v>
      </c>
      <c r="F39" s="4" t="e">
        <f>COUNTIF(Control!#REF!,"2")</f>
        <v>#REF!</v>
      </c>
      <c r="G39" s="112" t="e">
        <f t="shared" ref="G39:G40" si="6">F39/$F$13</f>
        <v>#REF!</v>
      </c>
      <c r="J39" s="98"/>
      <c r="K39" s="10"/>
    </row>
    <row r="40" spans="1:11" ht="13.8" thickBot="1">
      <c r="A40" s="130">
        <v>3</v>
      </c>
      <c r="B40" s="111" t="e">
        <f>COUNTIF(Control!#REF!,"3")</f>
        <v>#REF!</v>
      </c>
      <c r="C40" s="114" t="e">
        <f t="shared" si="5"/>
        <v>#REF!</v>
      </c>
      <c r="E40" s="130">
        <v>3</v>
      </c>
      <c r="F40" s="111" t="e">
        <f>COUNTIF(Control!#REF!,"3")</f>
        <v>#REF!</v>
      </c>
      <c r="G40" s="114" t="e">
        <f t="shared" si="6"/>
        <v>#REF!</v>
      </c>
      <c r="J40" s="98"/>
      <c r="K40" s="10"/>
    </row>
    <row r="41" spans="1:11" ht="27" customHeight="1" thickBot="1">
      <c r="A41" s="282" t="s">
        <v>283</v>
      </c>
      <c r="B41" s="282"/>
      <c r="C41" s="282"/>
      <c r="E41" s="282" t="s">
        <v>187</v>
      </c>
      <c r="F41" s="282"/>
      <c r="G41" s="282"/>
      <c r="J41" s="98"/>
      <c r="K41" s="10"/>
    </row>
    <row r="42" spans="1:11" ht="33" customHeight="1" thickBot="1">
      <c r="A42" s="131" t="s">
        <v>187</v>
      </c>
      <c r="B42" s="132" t="s">
        <v>164</v>
      </c>
      <c r="C42" s="102" t="s">
        <v>182</v>
      </c>
      <c r="E42" s="131" t="s">
        <v>187</v>
      </c>
      <c r="F42" s="132" t="s">
        <v>164</v>
      </c>
      <c r="G42" s="102" t="s">
        <v>182</v>
      </c>
      <c r="J42" s="98"/>
      <c r="K42" s="10"/>
    </row>
    <row r="43" spans="1:11">
      <c r="A43" s="106" t="s">
        <v>135</v>
      </c>
      <c r="B43" s="7" t="e">
        <f>COUNTIF(Control!#REF!,A43)+1</f>
        <v>#REF!</v>
      </c>
      <c r="C43" s="133" t="e">
        <f>B43/$B$13</f>
        <v>#REF!</v>
      </c>
      <c r="E43" s="106" t="s">
        <v>141</v>
      </c>
      <c r="F43" s="7" t="e">
        <f>COUNTIF(Control!#REF!,"Out station")</f>
        <v>#REF!</v>
      </c>
      <c r="G43" s="133" t="e">
        <f>F43/$F$13</f>
        <v>#REF!</v>
      </c>
      <c r="J43" s="98"/>
      <c r="K43" s="10"/>
    </row>
    <row r="44" spans="1:11">
      <c r="A44" s="103" t="s">
        <v>137</v>
      </c>
      <c r="B44" s="7" t="e">
        <f>COUNTIF(Control!#REF!,A44)+0.5</f>
        <v>#REF!</v>
      </c>
      <c r="C44" s="133" t="e">
        <f t="shared" ref="C44:C49" si="7">B44/$B$13</f>
        <v>#REF!</v>
      </c>
      <c r="E44" s="103" t="s">
        <v>24</v>
      </c>
      <c r="F44" s="4" t="e">
        <f>COUNTIF(Control!#REF!,"QD")</f>
        <v>#REF!</v>
      </c>
      <c r="G44" s="133" t="e">
        <f t="shared" ref="G44:G49" si="8">F44/$F$13</f>
        <v>#REF!</v>
      </c>
      <c r="J44" s="98"/>
      <c r="K44" s="10"/>
    </row>
    <row r="45" spans="1:11">
      <c r="A45" s="103" t="s">
        <v>24</v>
      </c>
      <c r="B45" s="7" t="e">
        <f>COUNTIF(Control!#REF!,A45)+1.5</f>
        <v>#REF!</v>
      </c>
      <c r="C45" s="133" t="e">
        <f t="shared" si="7"/>
        <v>#REF!</v>
      </c>
      <c r="E45" s="103" t="s">
        <v>135</v>
      </c>
      <c r="F45" s="4" t="e">
        <f>COUNTIF(Control!#REF!,"ED")</f>
        <v>#REF!</v>
      </c>
      <c r="G45" s="133" t="e">
        <f t="shared" si="8"/>
        <v>#REF!</v>
      </c>
      <c r="J45" s="98"/>
      <c r="K45" s="10"/>
    </row>
    <row r="46" spans="1:11">
      <c r="A46" s="129" t="s">
        <v>31</v>
      </c>
      <c r="B46" s="7" t="e">
        <f>COUNTIF(Control!#REF!,A46)</f>
        <v>#REF!</v>
      </c>
      <c r="C46" s="133" t="e">
        <f t="shared" si="7"/>
        <v>#REF!</v>
      </c>
      <c r="E46" s="117" t="s">
        <v>142</v>
      </c>
      <c r="F46" s="4" t="e">
        <f>COUNTIF(Control!#REF!,"Base maintenance")</f>
        <v>#REF!</v>
      </c>
      <c r="G46" s="133" t="e">
        <f t="shared" si="8"/>
        <v>#REF!</v>
      </c>
      <c r="J46" s="98"/>
      <c r="K46" s="10"/>
    </row>
    <row r="47" spans="1:11">
      <c r="A47" s="103" t="s">
        <v>253</v>
      </c>
      <c r="B47" s="7" t="e">
        <f>COUNTIF(Control!#REF!,A47)</f>
        <v>#REF!</v>
      </c>
      <c r="C47" s="133" t="e">
        <f t="shared" si="7"/>
        <v>#REF!</v>
      </c>
      <c r="E47" s="103" t="s">
        <v>137</v>
      </c>
      <c r="F47" s="4" t="e">
        <f>COUNTIF(Control!#REF!,"AMD")</f>
        <v>#REF!</v>
      </c>
      <c r="G47" s="133" t="e">
        <f t="shared" si="8"/>
        <v>#REF!</v>
      </c>
      <c r="J47" s="98"/>
      <c r="K47" s="10"/>
    </row>
    <row r="48" spans="1:11">
      <c r="A48" s="117" t="s">
        <v>142</v>
      </c>
      <c r="B48" s="7" t="e">
        <f>COUNTIF(Control!#REF!,A48)</f>
        <v>#REF!</v>
      </c>
      <c r="C48" s="133" t="e">
        <f t="shared" si="7"/>
        <v>#REF!</v>
      </c>
      <c r="E48" s="129" t="s">
        <v>31</v>
      </c>
      <c r="F48" s="4" t="e">
        <f>COUNTIF(Control!#REF!,"MR")</f>
        <v>#REF!</v>
      </c>
      <c r="G48" s="133" t="e">
        <f t="shared" si="8"/>
        <v>#REF!</v>
      </c>
      <c r="J48" s="98"/>
      <c r="K48" s="10"/>
    </row>
    <row r="49" spans="1:11" ht="13.8" thickBot="1">
      <c r="A49" s="194" t="s">
        <v>99</v>
      </c>
      <c r="B49" s="111" t="e">
        <f>COUNTIF(Control!#REF!,A49)</f>
        <v>#REF!</v>
      </c>
      <c r="C49" s="114" t="e">
        <f t="shared" si="7"/>
        <v>#REF!</v>
      </c>
      <c r="E49" s="194" t="s">
        <v>99</v>
      </c>
      <c r="F49" s="111" t="e">
        <f>COUNTIF(Control!#REF!,"FO")</f>
        <v>#REF!</v>
      </c>
      <c r="G49" s="114" t="e">
        <f t="shared" si="8"/>
        <v>#REF!</v>
      </c>
      <c r="J49" s="98"/>
      <c r="K49" s="10"/>
    </row>
    <row r="50" spans="1:11" ht="14.4" customHeight="1">
      <c r="A50" s="97" t="s">
        <v>217</v>
      </c>
      <c r="B50" s="97">
        <v>2012</v>
      </c>
      <c r="C50" s="97" t="s">
        <v>206</v>
      </c>
      <c r="D50" s="97"/>
      <c r="E50" s="97" t="s">
        <v>217</v>
      </c>
      <c r="F50" s="97">
        <v>2011</v>
      </c>
      <c r="G50" s="97" t="s">
        <v>206</v>
      </c>
      <c r="H50" s="97"/>
      <c r="J50" s="98"/>
      <c r="K50" s="10"/>
    </row>
    <row r="51" spans="1:11" ht="13.8" thickBot="1">
      <c r="A51" s="280" t="s">
        <v>149</v>
      </c>
      <c r="B51" s="280"/>
      <c r="C51" s="280"/>
      <c r="E51" s="280" t="s">
        <v>149</v>
      </c>
      <c r="F51" s="280"/>
      <c r="G51" s="280"/>
    </row>
    <row r="52" spans="1:11" ht="27" thickBot="1">
      <c r="A52" s="179" t="s">
        <v>149</v>
      </c>
      <c r="B52" s="180" t="s">
        <v>164</v>
      </c>
      <c r="C52" s="181" t="s">
        <v>284</v>
      </c>
      <c r="E52" s="156" t="s">
        <v>149</v>
      </c>
      <c r="F52" s="157" t="s">
        <v>164</v>
      </c>
      <c r="G52" s="185" t="s">
        <v>285</v>
      </c>
    </row>
    <row r="53" spans="1:11">
      <c r="A53" s="121" t="s">
        <v>40</v>
      </c>
      <c r="B53" s="144" t="e">
        <f>COUNTIF(Control!#REF!,A53)</f>
        <v>#REF!</v>
      </c>
      <c r="C53" s="215" t="e">
        <f>B53/$B$13</f>
        <v>#REF!</v>
      </c>
      <c r="D53" s="211" t="e">
        <f>SUM(C53:C55)</f>
        <v>#REF!</v>
      </c>
      <c r="E53" s="188" t="s">
        <v>155</v>
      </c>
      <c r="F53" s="189" t="e">
        <f>COUNTIF(Control!#REF!,"Maintenance Data")</f>
        <v>#REF!</v>
      </c>
      <c r="G53" s="216" t="e">
        <f>F53/$F$13</f>
        <v>#REF!</v>
      </c>
      <c r="H53" s="211" t="e">
        <f>SUM(G53:G55)</f>
        <v>#REF!</v>
      </c>
    </row>
    <row r="54" spans="1:11">
      <c r="A54" s="121" t="s">
        <v>278</v>
      </c>
      <c r="B54" s="144" t="e">
        <f>COUNTIF(Control!#REF!,A54)</f>
        <v>#REF!</v>
      </c>
      <c r="C54" s="215" t="e">
        <f t="shared" ref="C54:C68" si="9">B54/$B$13</f>
        <v>#REF!</v>
      </c>
      <c r="E54" s="121" t="s">
        <v>39</v>
      </c>
      <c r="F54" s="144" t="e">
        <f>COUNTIF(Control!#REF!,"CRS")</f>
        <v>#REF!</v>
      </c>
      <c r="G54" s="215" t="e">
        <f t="shared" ref="G54:G61" si="10">F54/$F$13</f>
        <v>#REF!</v>
      </c>
    </row>
    <row r="55" spans="1:11">
      <c r="A55" s="121" t="s">
        <v>272</v>
      </c>
      <c r="B55" s="144" t="e">
        <f>COUNTIF(Control!#REF!,A55)</f>
        <v>#REF!</v>
      </c>
      <c r="C55" s="215" t="e">
        <f t="shared" si="9"/>
        <v>#REF!</v>
      </c>
      <c r="E55" s="121" t="s">
        <v>156</v>
      </c>
      <c r="F55" s="144" t="e">
        <f>COUNTIF(Control!#REF!,"Maintenance Records")</f>
        <v>#REF!</v>
      </c>
      <c r="G55" s="215" t="e">
        <f t="shared" si="10"/>
        <v>#REF!</v>
      </c>
    </row>
    <row r="56" spans="1:11">
      <c r="A56" s="95" t="s">
        <v>275</v>
      </c>
      <c r="B56" s="50" t="e">
        <f>COUNTIF(Control!#REF!,A56)</f>
        <v>#REF!</v>
      </c>
      <c r="C56" s="182" t="e">
        <f t="shared" si="9"/>
        <v>#REF!</v>
      </c>
      <c r="E56" s="95" t="s">
        <v>157</v>
      </c>
      <c r="F56" s="50" t="e">
        <f>COUNTIF(Control!#REF!,"Orgnization mornitor")</f>
        <v>#REF!</v>
      </c>
      <c r="G56" s="182" t="e">
        <f t="shared" si="10"/>
        <v>#REF!</v>
      </c>
    </row>
    <row r="57" spans="1:11">
      <c r="A57" s="95" t="s">
        <v>107</v>
      </c>
      <c r="B57" s="50" t="e">
        <f>COUNTIF(Control!#REF!,A57)</f>
        <v>#REF!</v>
      </c>
      <c r="C57" s="182" t="e">
        <f t="shared" si="9"/>
        <v>#REF!</v>
      </c>
      <c r="E57" s="95" t="s">
        <v>162</v>
      </c>
      <c r="F57" s="50" t="e">
        <f>COUNTIF(Control!#REF!,"Work package")</f>
        <v>#REF!</v>
      </c>
      <c r="G57" s="182" t="e">
        <f t="shared" si="10"/>
        <v>#REF!</v>
      </c>
    </row>
    <row r="58" spans="1:11" ht="20.399999999999999">
      <c r="A58" s="95" t="s">
        <v>273</v>
      </c>
      <c r="B58" s="50" t="e">
        <f>COUNTIF(Control!#REF!,A58)</f>
        <v>#REF!</v>
      </c>
      <c r="C58" s="182" t="e">
        <f t="shared" si="9"/>
        <v>#REF!</v>
      </c>
      <c r="E58" s="95" t="s">
        <v>154</v>
      </c>
      <c r="F58" s="4" t="e">
        <f>COUNTIF(Control!#REF!,"Goods Inspection-Labelling &amp; Tagging")</f>
        <v>#REF!</v>
      </c>
      <c r="G58" s="182" t="e">
        <f t="shared" si="10"/>
        <v>#REF!</v>
      </c>
    </row>
    <row r="59" spans="1:11">
      <c r="A59" s="95" t="s">
        <v>271</v>
      </c>
      <c r="B59" s="50" t="e">
        <f>COUNTIF(Control!#REF!,A59)</f>
        <v>#REF!</v>
      </c>
      <c r="C59" s="182" t="e">
        <f t="shared" si="9"/>
        <v>#REF!</v>
      </c>
      <c r="E59" s="95" t="s">
        <v>160</v>
      </c>
      <c r="F59" s="4" t="e">
        <f>COUNTIF(Control!#REF!,"Quality system")</f>
        <v>#REF!</v>
      </c>
      <c r="G59" s="182" t="e">
        <f t="shared" si="10"/>
        <v>#REF!</v>
      </c>
    </row>
    <row r="60" spans="1:11">
      <c r="A60" s="95" t="s">
        <v>279</v>
      </c>
      <c r="B60" s="50" t="e">
        <f>COUNTIF(Control!#REF!,A60)</f>
        <v>#REF!</v>
      </c>
      <c r="C60" s="182" t="e">
        <f t="shared" si="9"/>
        <v>#REF!</v>
      </c>
      <c r="E60" s="95" t="s">
        <v>159</v>
      </c>
      <c r="F60" s="4" t="e">
        <f>COUNTIF(Control!#REF!,"Qualification of Staff")</f>
        <v>#REF!</v>
      </c>
      <c r="G60" s="182" t="e">
        <f t="shared" si="10"/>
        <v>#REF!</v>
      </c>
    </row>
    <row r="61" spans="1:11">
      <c r="A61" s="95" t="s">
        <v>276</v>
      </c>
      <c r="B61" s="50" t="e">
        <f>COUNTIF(Control!#REF!,A61)</f>
        <v>#REF!</v>
      </c>
      <c r="C61" s="182" t="e">
        <f t="shared" si="9"/>
        <v>#REF!</v>
      </c>
      <c r="E61" s="95" t="s">
        <v>134</v>
      </c>
      <c r="F61" s="4" t="e">
        <f>COUNTIF(Control!#REF!,"Store")</f>
        <v>#REF!</v>
      </c>
      <c r="G61" s="182" t="e">
        <f t="shared" si="10"/>
        <v>#REF!</v>
      </c>
    </row>
    <row r="62" spans="1:11">
      <c r="A62" s="95" t="s">
        <v>274</v>
      </c>
      <c r="B62" s="50" t="e">
        <f>COUNTIF(Control!#REF!,A62)</f>
        <v>#REF!</v>
      </c>
      <c r="C62" s="182" t="e">
        <f t="shared" si="9"/>
        <v>#REF!</v>
      </c>
      <c r="E62" s="95" t="s">
        <v>216</v>
      </c>
      <c r="F62" s="4" t="e">
        <f>COUNTIF(Control!#REF!,"Flight Test Programme")</f>
        <v>#REF!</v>
      </c>
      <c r="G62" s="182" t="e">
        <f t="shared" ref="G62:G75" si="11">F62/$F$13</f>
        <v>#REF!</v>
      </c>
    </row>
    <row r="63" spans="1:11" ht="20.399999999999999" customHeight="1">
      <c r="A63" s="95" t="s">
        <v>109</v>
      </c>
      <c r="B63" s="50" t="e">
        <f>COUNTIF(Control!#REF!,A63)</f>
        <v>#REF!</v>
      </c>
      <c r="C63" s="182" t="e">
        <f t="shared" si="9"/>
        <v>#REF!</v>
      </c>
      <c r="E63" s="95" t="s">
        <v>151</v>
      </c>
      <c r="F63" s="4" t="e">
        <f>COUNTIF(Control!#REF!,"AD Control")</f>
        <v>#REF!</v>
      </c>
      <c r="G63" s="182" t="e">
        <f t="shared" si="11"/>
        <v>#REF!</v>
      </c>
    </row>
    <row r="64" spans="1:11">
      <c r="A64" s="95" t="s">
        <v>280</v>
      </c>
      <c r="B64" s="50" t="e">
        <f>COUNTIF(Control!#REF!,A64)</f>
        <v>#REF!</v>
      </c>
      <c r="C64" s="182" t="e">
        <f t="shared" si="9"/>
        <v>#REF!</v>
      </c>
      <c r="E64" s="95" t="s">
        <v>152</v>
      </c>
      <c r="F64" s="4" t="e">
        <f>COUNTIF(Control!#REF!,"Certification of maintenance")</f>
        <v>#REF!</v>
      </c>
      <c r="G64" s="182" t="e">
        <f t="shared" si="11"/>
        <v>#REF!</v>
      </c>
    </row>
    <row r="65" spans="1:8">
      <c r="A65" s="95" t="s">
        <v>133</v>
      </c>
      <c r="B65" s="50" t="e">
        <f>COUNTIF(Control!#REF!,A65)</f>
        <v>#REF!</v>
      </c>
      <c r="C65" s="182" t="e">
        <f t="shared" si="9"/>
        <v>#REF!</v>
      </c>
      <c r="E65" s="95" t="s">
        <v>153</v>
      </c>
      <c r="F65" s="4" t="e">
        <f>COUNTIF(Control!#REF!,"Duties and responsibilities")</f>
        <v>#REF!</v>
      </c>
      <c r="G65" s="182" t="e">
        <f t="shared" si="11"/>
        <v>#REF!</v>
      </c>
    </row>
    <row r="66" spans="1:8">
      <c r="A66" s="95" t="s">
        <v>43</v>
      </c>
      <c r="B66" s="50" t="e">
        <f>COUNTIF(Control!#REF!,A66)</f>
        <v>#REF!</v>
      </c>
      <c r="C66" s="182" t="e">
        <f t="shared" si="9"/>
        <v>#REF!</v>
      </c>
      <c r="E66" s="95" t="s">
        <v>118</v>
      </c>
      <c r="F66" s="4" t="e">
        <f>COUNTIF(Control!#REF!,"Interface procedure")</f>
        <v>#REF!</v>
      </c>
      <c r="G66" s="182" t="e">
        <f t="shared" si="11"/>
        <v>#REF!</v>
      </c>
    </row>
    <row r="67" spans="1:8">
      <c r="A67" s="95" t="s">
        <v>45</v>
      </c>
      <c r="B67" s="50" t="e">
        <f>COUNTIF(Control!#REF!,A67)</f>
        <v>#REF!</v>
      </c>
      <c r="C67" s="182" t="e">
        <f t="shared" si="9"/>
        <v>#REF!</v>
      </c>
      <c r="E67" s="95" t="s">
        <v>132</v>
      </c>
      <c r="F67" s="4" t="e">
        <f>COUNTIF(Control!#REF!,"Implemention of AC")</f>
        <v>#REF!</v>
      </c>
      <c r="G67" s="182" t="e">
        <f t="shared" si="11"/>
        <v>#REF!</v>
      </c>
    </row>
    <row r="68" spans="1:8">
      <c r="A68" s="95" t="s">
        <v>282</v>
      </c>
      <c r="B68" s="50" t="e">
        <f>COUNTIF(Control!#REF!,A68)</f>
        <v>#REF!</v>
      </c>
      <c r="C68" s="182" t="e">
        <f t="shared" si="9"/>
        <v>#REF!</v>
      </c>
      <c r="E68" s="95" t="s">
        <v>125</v>
      </c>
      <c r="F68" s="4" t="e">
        <f>COUNTIF(Control!#REF!,"Parts segregation")</f>
        <v>#REF!</v>
      </c>
      <c r="G68" s="182" t="e">
        <f t="shared" si="11"/>
        <v>#REF!</v>
      </c>
    </row>
    <row r="69" spans="1:8" ht="20.399999999999999">
      <c r="A69" s="95" t="s">
        <v>229</v>
      </c>
      <c r="B69" s="50" t="e">
        <f>COUNTIF(Control!#REF!,A69)</f>
        <v>#REF!</v>
      </c>
      <c r="C69" s="182" t="e">
        <f t="shared" ref="C69:C75" si="12">B69/$B$13</f>
        <v>#REF!</v>
      </c>
      <c r="E69" s="95" t="s">
        <v>158</v>
      </c>
      <c r="F69" s="4" t="e">
        <f>COUNTIF(Control!#REF!,"Personnel Quantity")</f>
        <v>#REF!</v>
      </c>
      <c r="G69" s="182" t="e">
        <f t="shared" si="11"/>
        <v>#REF!</v>
      </c>
    </row>
    <row r="70" spans="1:8">
      <c r="A70" s="95" t="s">
        <v>277</v>
      </c>
      <c r="B70" s="50" t="e">
        <f>COUNTIF(Control!#REF!,A70)</f>
        <v>#REF!</v>
      </c>
      <c r="C70" s="182" t="e">
        <f t="shared" si="12"/>
        <v>#REF!</v>
      </c>
      <c r="E70" s="95" t="s">
        <v>161</v>
      </c>
      <c r="F70" s="4" t="e">
        <f>COUNTIF(Control!#REF!,"Tool and equipment")</f>
        <v>#REF!</v>
      </c>
      <c r="G70" s="182" t="e">
        <f t="shared" si="11"/>
        <v>#REF!</v>
      </c>
    </row>
    <row r="71" spans="1:8">
      <c r="A71" s="95" t="s">
        <v>234</v>
      </c>
      <c r="B71" s="50" t="e">
        <f>COUNTIF(Control!#REF!,A71)</f>
        <v>#REF!</v>
      </c>
      <c r="C71" s="182" t="e">
        <f t="shared" si="12"/>
        <v>#REF!</v>
      </c>
      <c r="E71" s="95" t="s">
        <v>85</v>
      </c>
      <c r="F71" s="4" t="e">
        <f>COUNTIF(Control!#REF!,"Training")</f>
        <v>#REF!</v>
      </c>
      <c r="G71" s="182" t="e">
        <f t="shared" si="11"/>
        <v>#REF!</v>
      </c>
    </row>
    <row r="72" spans="1:8">
      <c r="A72" s="95" t="s">
        <v>236</v>
      </c>
      <c r="B72" s="50" t="e">
        <f>COUNTIF(Control!#REF!,A72)</f>
        <v>#REF!</v>
      </c>
      <c r="C72" s="182" t="e">
        <f t="shared" si="12"/>
        <v>#REF!</v>
      </c>
      <c r="E72" s="95" t="s">
        <v>205</v>
      </c>
      <c r="F72" s="4" t="e">
        <f>COUNTIF(Control!#REF!,"Regulation Compliance")</f>
        <v>#REF!</v>
      </c>
      <c r="G72" s="182" t="e">
        <f t="shared" si="11"/>
        <v>#REF!</v>
      </c>
    </row>
    <row r="73" spans="1:8" ht="20.399999999999999">
      <c r="A73" s="95" t="s">
        <v>237</v>
      </c>
      <c r="B73" s="50" t="e">
        <f>COUNTIF(Control!#REF!,A73)</f>
        <v>#REF!</v>
      </c>
      <c r="C73" s="182" t="e">
        <f t="shared" si="12"/>
        <v>#REF!</v>
      </c>
      <c r="E73" s="95" t="s">
        <v>86</v>
      </c>
      <c r="F73" s="4" t="e">
        <f>COUNTIF(Control!#REF!,"Procedure Manual for Base Maintenance")</f>
        <v>#REF!</v>
      </c>
      <c r="G73" s="182" t="e">
        <f t="shared" si="11"/>
        <v>#REF!</v>
      </c>
    </row>
    <row r="74" spans="1:8">
      <c r="A74" s="95" t="s">
        <v>238</v>
      </c>
      <c r="B74" s="50" t="e">
        <f>COUNTIF(Control!#REF!,A74)</f>
        <v>#REF!</v>
      </c>
      <c r="C74" s="182" t="e">
        <f t="shared" si="12"/>
        <v>#REF!</v>
      </c>
      <c r="E74" s="95" t="s">
        <v>204</v>
      </c>
      <c r="F74" s="4" t="e">
        <f>COUNTIF(Control!#REF!,"Ground Handling equipment")</f>
        <v>#REF!</v>
      </c>
      <c r="G74" s="182" t="e">
        <f t="shared" si="11"/>
        <v>#REF!</v>
      </c>
    </row>
    <row r="75" spans="1:8" ht="13.8" thickBot="1">
      <c r="A75" s="95" t="s">
        <v>245</v>
      </c>
      <c r="B75" s="50" t="e">
        <f>COUNTIF(Control!#REF!,A75)</f>
        <v>#REF!</v>
      </c>
      <c r="C75" s="182" t="e">
        <f t="shared" si="12"/>
        <v>#REF!</v>
      </c>
      <c r="E75" s="190" t="s">
        <v>163</v>
      </c>
      <c r="F75" s="111" t="e">
        <f>COUNTIF(Control!#REF!,"Certification of registration")</f>
        <v>#REF!</v>
      </c>
      <c r="G75" s="191" t="e">
        <f t="shared" si="11"/>
        <v>#REF!</v>
      </c>
    </row>
    <row r="76" spans="1:8" ht="13.8" thickBot="1">
      <c r="A76" s="217" t="s">
        <v>287</v>
      </c>
      <c r="B76" s="212" t="e">
        <f>COUNTIF(Control!#REF!,A76)</f>
        <v>#REF!</v>
      </c>
      <c r="C76" s="191" t="e">
        <f t="shared" ref="C76" si="13">B76/$B$13</f>
        <v>#REF!</v>
      </c>
    </row>
    <row r="77" spans="1:8">
      <c r="A77" s="127"/>
      <c r="B77" s="10"/>
      <c r="C77" s="193"/>
      <c r="E77" s="178"/>
    </row>
    <row r="78" spans="1:8">
      <c r="A78" s="201" t="s">
        <v>257</v>
      </c>
      <c r="E78" s="178"/>
    </row>
    <row r="79" spans="1:8" ht="31.2" customHeight="1">
      <c r="A79" s="202" t="s">
        <v>258</v>
      </c>
      <c r="B79" s="284" t="s">
        <v>260</v>
      </c>
      <c r="C79" s="284"/>
      <c r="D79" s="284"/>
      <c r="E79" s="284"/>
      <c r="F79" s="284"/>
      <c r="G79" s="284"/>
      <c r="H79" s="284"/>
    </row>
    <row r="80" spans="1:8" ht="13.2" customHeight="1">
      <c r="A80" s="202" t="s">
        <v>259</v>
      </c>
      <c r="B80" s="284" t="s">
        <v>262</v>
      </c>
      <c r="C80" s="284"/>
      <c r="D80" s="284"/>
      <c r="E80" s="284"/>
      <c r="F80" s="284"/>
      <c r="G80" s="284"/>
      <c r="H80" s="284"/>
    </row>
    <row r="81" spans="1:8" ht="27" customHeight="1">
      <c r="A81" s="202" t="s">
        <v>261</v>
      </c>
      <c r="B81" s="284" t="s">
        <v>263</v>
      </c>
      <c r="C81" s="284"/>
      <c r="D81" s="284"/>
      <c r="E81" s="284"/>
      <c r="F81" s="284"/>
      <c r="G81" s="284"/>
      <c r="H81" s="284"/>
    </row>
    <row r="82" spans="1:8" ht="13.2" customHeight="1">
      <c r="A82" s="202" t="s">
        <v>264</v>
      </c>
      <c r="B82" s="284" t="s">
        <v>265</v>
      </c>
      <c r="C82" s="284"/>
      <c r="D82" s="284"/>
      <c r="E82" s="284"/>
      <c r="F82" s="284"/>
      <c r="G82" s="284"/>
      <c r="H82" s="284"/>
    </row>
    <row r="83" spans="1:8" ht="13.2" customHeight="1">
      <c r="A83" s="202" t="s">
        <v>266</v>
      </c>
      <c r="B83" s="284" t="s">
        <v>267</v>
      </c>
      <c r="C83" s="284"/>
      <c r="D83" s="284"/>
      <c r="E83" s="284"/>
      <c r="F83" s="284"/>
      <c r="G83" s="284"/>
      <c r="H83" s="284"/>
    </row>
    <row r="84" spans="1:8">
      <c r="A84" s="201" t="s">
        <v>269</v>
      </c>
      <c r="B84" s="25"/>
      <c r="E84" s="178"/>
    </row>
    <row r="85" spans="1:8" ht="13.2" customHeight="1">
      <c r="A85" s="202"/>
      <c r="B85" s="284" t="s">
        <v>281</v>
      </c>
      <c r="C85" s="284"/>
      <c r="D85" s="284"/>
      <c r="E85" s="284"/>
      <c r="F85" s="284"/>
      <c r="G85" s="284"/>
      <c r="H85" s="284"/>
    </row>
    <row r="86" spans="1:8">
      <c r="A86" s="201" t="s">
        <v>268</v>
      </c>
      <c r="E86" s="178"/>
    </row>
    <row r="87" spans="1:8">
      <c r="B87" s="284" t="s">
        <v>270</v>
      </c>
      <c r="C87" s="284"/>
      <c r="D87" s="284"/>
      <c r="E87" s="284"/>
      <c r="F87" s="284"/>
      <c r="G87" s="284"/>
      <c r="H87" s="284"/>
    </row>
    <row r="89" spans="1:8">
      <c r="A89" s="5"/>
    </row>
    <row r="90" spans="1:8">
      <c r="A90" s="5"/>
    </row>
    <row r="91" spans="1:8">
      <c r="A91" s="5"/>
    </row>
    <row r="92" spans="1:8">
      <c r="A92" s="5"/>
    </row>
    <row r="93" spans="1:8">
      <c r="A93" s="5"/>
    </row>
    <row r="94" spans="1:8">
      <c r="A94" s="5"/>
    </row>
    <row r="95" spans="1:8">
      <c r="A95" s="5"/>
    </row>
    <row r="96" spans="1:8">
      <c r="A96" s="5"/>
    </row>
    <row r="97" spans="1:1">
      <c r="A97" s="5"/>
    </row>
    <row r="98" spans="1:1">
      <c r="A98" s="5"/>
    </row>
  </sheetData>
  <mergeCells count="19">
    <mergeCell ref="B85:H85"/>
    <mergeCell ref="B87:H87"/>
    <mergeCell ref="B79:H79"/>
    <mergeCell ref="B80:H80"/>
    <mergeCell ref="B81:H81"/>
    <mergeCell ref="B82:H82"/>
    <mergeCell ref="B83:H83"/>
    <mergeCell ref="A51:C51"/>
    <mergeCell ref="E36:G36"/>
    <mergeCell ref="E41:G41"/>
    <mergeCell ref="E51:G51"/>
    <mergeCell ref="E1:F1"/>
    <mergeCell ref="E8:G8"/>
    <mergeCell ref="E14:G14"/>
    <mergeCell ref="A1:B1"/>
    <mergeCell ref="A8:C8"/>
    <mergeCell ref="A14:C14"/>
    <mergeCell ref="A36:C36"/>
    <mergeCell ref="A41:C41"/>
  </mergeCells>
  <phoneticPr fontId="17" type="noConversion"/>
  <pageMargins left="0.23622047244094499" right="0.11" top="0.66929133858267698" bottom="0.39370078740157499" header="0.31496062992126" footer="0.31496062992126"/>
  <pageSetup paperSize="9" scale="87" orientation="portrait" r:id="rId1"/>
  <headerFooter>
    <oddHeader>&amp;C&amp;"Arial,Bold"&amp;18Corrective Action Report Analysis&amp;RPrint at &amp;T, &amp;D</oddHeader>
    <oddFooter>&amp;R
&amp;P of &amp;N</oddFooter>
  </headerFooter>
  <rowBreaks count="1" manualBreakCount="1">
    <brk id="49" max="20" man="1"/>
  </rowBreaks>
  <colBreaks count="1" manualBreakCount="1">
    <brk id="8" max="99" man="1"/>
  </colBreaks>
  <drawing r:id="rId2"/>
</worksheet>
</file>

<file path=xl/worksheets/sheet4.xml><?xml version="1.0" encoding="utf-8"?>
<worksheet xmlns="http://schemas.openxmlformats.org/spreadsheetml/2006/main" xmlns:r="http://schemas.openxmlformats.org/officeDocument/2006/relationships">
  <dimension ref="A1:J80"/>
  <sheetViews>
    <sheetView workbookViewId="0">
      <selection activeCell="D14" sqref="D14"/>
    </sheetView>
  </sheetViews>
  <sheetFormatPr defaultColWidth="8.88671875" defaultRowHeight="13.2"/>
  <cols>
    <col min="1" max="1" width="19.5546875" style="99" customWidth="1"/>
    <col min="2" max="2" width="14.33203125" style="5" customWidth="1"/>
    <col min="3" max="3" width="12.33203125" style="5" bestFit="1" customWidth="1"/>
    <col min="4" max="4" width="8.88671875" style="5"/>
    <col min="5" max="5" width="20.5546875" style="5" customWidth="1"/>
    <col min="6" max="6" width="12.6640625" style="5" customWidth="1"/>
    <col min="7" max="7" width="13.88671875" style="5" customWidth="1"/>
    <col min="8" max="16384" width="8.88671875" style="5"/>
  </cols>
  <sheetData>
    <row r="1" spans="1:10" ht="13.8" thickBot="1">
      <c r="A1" s="283" t="s">
        <v>247</v>
      </c>
      <c r="B1" s="283"/>
      <c r="E1" s="283" t="s">
        <v>248</v>
      </c>
      <c r="F1" s="283"/>
    </row>
    <row r="2" spans="1:10" ht="13.8" thickBot="1">
      <c r="A2" s="131" t="s">
        <v>197</v>
      </c>
      <c r="B2" s="152" t="e">
        <f>B13/12</f>
        <v>#REF!</v>
      </c>
      <c r="E2" s="131" t="s">
        <v>197</v>
      </c>
      <c r="F2" s="152">
        <f>F12/12</f>
        <v>5.416666666666667</v>
      </c>
    </row>
    <row r="3" spans="1:10">
      <c r="A3" s="106" t="s">
        <v>196</v>
      </c>
      <c r="B3" s="151" t="e">
        <f>B37</f>
        <v>#REF!</v>
      </c>
      <c r="D3" s="148"/>
      <c r="E3" s="106" t="s">
        <v>196</v>
      </c>
      <c r="F3" s="151" t="e">
        <f>F27</f>
        <v>#VALUE!</v>
      </c>
      <c r="H3" s="148"/>
    </row>
    <row r="4" spans="1:10">
      <c r="A4" s="103" t="s">
        <v>8</v>
      </c>
      <c r="B4" s="149" t="e">
        <f>B38/12</f>
        <v>#REF!</v>
      </c>
      <c r="D4" s="148"/>
      <c r="E4" s="103" t="s">
        <v>8</v>
      </c>
      <c r="F4" s="149" t="e">
        <f>F28/12</f>
        <v>#VALUE!</v>
      </c>
      <c r="H4" s="148"/>
    </row>
    <row r="5" spans="1:10" ht="13.8" thickBot="1">
      <c r="A5" s="130" t="s">
        <v>9</v>
      </c>
      <c r="B5" s="150" t="e">
        <f>B39/12</f>
        <v>#REF!</v>
      </c>
      <c r="D5" s="148"/>
      <c r="E5" s="130" t="s">
        <v>9</v>
      </c>
      <c r="F5" s="150" t="e">
        <f>F29/12</f>
        <v>#VALUE!</v>
      </c>
      <c r="H5" s="148"/>
    </row>
    <row r="6" spans="1:10">
      <c r="A6" s="5"/>
      <c r="B6" s="147"/>
      <c r="D6" s="148"/>
      <c r="F6" s="147"/>
      <c r="H6" s="148"/>
    </row>
    <row r="7" spans="1:10" s="99" customFormat="1">
      <c r="A7" s="99" t="s">
        <v>143</v>
      </c>
      <c r="B7" s="99">
        <v>2011</v>
      </c>
      <c r="C7" s="159" t="s">
        <v>206</v>
      </c>
      <c r="E7" s="99" t="s">
        <v>143</v>
      </c>
      <c r="F7" s="99">
        <v>2010</v>
      </c>
      <c r="G7" s="99" t="s">
        <v>188</v>
      </c>
    </row>
    <row r="8" spans="1:10" s="99" customFormat="1" ht="13.8" thickBot="1">
      <c r="A8" s="283" t="s">
        <v>181</v>
      </c>
      <c r="B8" s="283"/>
      <c r="C8" s="283"/>
      <c r="E8" s="283" t="s">
        <v>186</v>
      </c>
      <c r="F8" s="283"/>
      <c r="G8" s="283"/>
    </row>
    <row r="9" spans="1:10" s="99" customFormat="1" ht="27" thickBot="1">
      <c r="A9" s="154" t="s">
        <v>181</v>
      </c>
      <c r="B9" s="132" t="s">
        <v>164</v>
      </c>
      <c r="C9" s="102" t="s">
        <v>182</v>
      </c>
      <c r="E9" s="154" t="s">
        <v>181</v>
      </c>
      <c r="F9" s="132" t="s">
        <v>164</v>
      </c>
      <c r="G9" s="153" t="s">
        <v>169</v>
      </c>
    </row>
    <row r="10" spans="1:10" s="99" customFormat="1">
      <c r="A10" s="106" t="s">
        <v>140</v>
      </c>
      <c r="B10" s="7" t="e">
        <f>COUNTIF(Control!#REF!,"Home Base")</f>
        <v>#REF!</v>
      </c>
      <c r="C10" s="107" t="e">
        <f>B10/B13</f>
        <v>#REF!</v>
      </c>
      <c r="E10" s="106" t="s">
        <v>170</v>
      </c>
      <c r="F10" s="7">
        <v>50</v>
      </c>
      <c r="G10" s="133">
        <f>F10/F12</f>
        <v>0.76923076923076927</v>
      </c>
    </row>
    <row r="11" spans="1:10" s="99" customFormat="1" ht="26.4">
      <c r="A11" s="103" t="s">
        <v>141</v>
      </c>
      <c r="B11" s="4" t="e">
        <f>COUNTIF(Control!#REF!,"Out Station")</f>
        <v>#REF!</v>
      </c>
      <c r="C11" s="104" t="e">
        <f>B11/B13</f>
        <v>#REF!</v>
      </c>
      <c r="E11" s="103" t="s">
        <v>171</v>
      </c>
      <c r="F11" s="4">
        <v>15</v>
      </c>
      <c r="G11" s="112">
        <f>F11/F12</f>
        <v>0.23076923076923078</v>
      </c>
    </row>
    <row r="12" spans="1:10" s="99" customFormat="1" ht="13.8" thickBot="1">
      <c r="A12" s="103" t="s">
        <v>142</v>
      </c>
      <c r="B12" s="4" t="e">
        <f>COUNTIF(Control!#REF!,"Base Maintenance")</f>
        <v>#REF!</v>
      </c>
      <c r="C12" s="104" t="e">
        <f>B12/B13</f>
        <v>#REF!</v>
      </c>
      <c r="E12" s="130" t="s">
        <v>168</v>
      </c>
      <c r="F12" s="111">
        <f>SUM(F10:F11)</f>
        <v>65</v>
      </c>
      <c r="G12" s="114">
        <f>F12/F12</f>
        <v>1</v>
      </c>
    </row>
    <row r="13" spans="1:10" customFormat="1">
      <c r="A13" s="162" t="s">
        <v>168</v>
      </c>
      <c r="B13" s="163" t="e">
        <f>SUM(B10:B12)</f>
        <v>#REF!</v>
      </c>
      <c r="C13" s="164" t="e">
        <f>B13/B13</f>
        <v>#REF!</v>
      </c>
      <c r="E13" s="138"/>
      <c r="F13" s="138"/>
      <c r="G13" s="138"/>
    </row>
    <row r="14" spans="1:10" s="99" customFormat="1" ht="13.8" thickBot="1">
      <c r="A14" s="289" t="s">
        <v>144</v>
      </c>
      <c r="B14" s="290"/>
      <c r="C14" s="291"/>
      <c r="E14" s="281" t="s">
        <v>202</v>
      </c>
      <c r="F14" s="281"/>
      <c r="G14" s="281"/>
    </row>
    <row r="15" spans="1:10" ht="27" thickBot="1">
      <c r="A15" s="165" t="s">
        <v>183</v>
      </c>
      <c r="B15" s="166" t="s">
        <v>164</v>
      </c>
      <c r="C15" s="167" t="s">
        <v>169</v>
      </c>
      <c r="E15" s="155" t="s">
        <v>183</v>
      </c>
      <c r="F15" s="132" t="s">
        <v>164</v>
      </c>
      <c r="G15" s="153" t="s">
        <v>169</v>
      </c>
      <c r="I15" s="127"/>
      <c r="J15" s="127"/>
    </row>
    <row r="16" spans="1:10">
      <c r="A16" s="103" t="s">
        <v>190</v>
      </c>
      <c r="B16" s="4" t="e">
        <f>COUNTIF(Control!#REF!,"145 Phase I")</f>
        <v>#REF!</v>
      </c>
      <c r="C16" s="104" t="e">
        <f t="shared" ref="C16:C33" si="0">B16/$B$34</f>
        <v>#REF!</v>
      </c>
      <c r="E16" s="106" t="s">
        <v>172</v>
      </c>
      <c r="F16" s="7">
        <v>27</v>
      </c>
      <c r="G16" s="133">
        <f>F16/F24</f>
        <v>0.41538461538461541</v>
      </c>
      <c r="I16" s="98"/>
      <c r="J16" s="10"/>
    </row>
    <row r="17" spans="1:10" ht="16.5" customHeight="1">
      <c r="A17" s="168" t="s">
        <v>207</v>
      </c>
      <c r="B17" s="4" t="e">
        <f>COUNTIF(Control!#REF!,"Taipei Station Audit")</f>
        <v>#REF!</v>
      </c>
      <c r="C17" s="104" t="e">
        <f t="shared" si="0"/>
        <v>#REF!</v>
      </c>
      <c r="E17" s="103" t="s">
        <v>173</v>
      </c>
      <c r="F17" s="4">
        <v>10</v>
      </c>
      <c r="G17" s="112">
        <f>F17/F24</f>
        <v>0.15384615384615385</v>
      </c>
      <c r="I17" s="98"/>
      <c r="J17" s="10"/>
    </row>
    <row r="18" spans="1:10">
      <c r="A18" s="103" t="s">
        <v>102</v>
      </c>
      <c r="B18" s="4" t="e">
        <f>COUNTIF(Control!#REF!,"145 Phase II")</f>
        <v>#REF!</v>
      </c>
      <c r="C18" s="104" t="e">
        <f t="shared" si="0"/>
        <v>#REF!</v>
      </c>
      <c r="E18" s="103" t="s">
        <v>174</v>
      </c>
      <c r="F18" s="4">
        <v>1</v>
      </c>
      <c r="G18" s="112">
        <f>F18/F24</f>
        <v>1.5384615384615385E-2</v>
      </c>
      <c r="I18" s="98"/>
      <c r="J18" s="10"/>
    </row>
    <row r="19" spans="1:10" ht="18.75" customHeight="1">
      <c r="A19" s="106" t="s">
        <v>191</v>
      </c>
      <c r="B19" s="7" t="e">
        <f>COUNTIF(Control!#REF!,"6C follow up audit")</f>
        <v>#REF!</v>
      </c>
      <c r="C19" s="107" t="e">
        <f t="shared" si="0"/>
        <v>#REF!</v>
      </c>
      <c r="E19" s="103" t="s">
        <v>175</v>
      </c>
      <c r="F19" s="4">
        <v>11</v>
      </c>
      <c r="G19" s="112">
        <f>F19/F24</f>
        <v>0.16923076923076924</v>
      </c>
      <c r="I19" s="98"/>
      <c r="J19" s="10"/>
    </row>
    <row r="20" spans="1:10" ht="18.75" customHeight="1">
      <c r="A20" s="7" t="s">
        <v>189</v>
      </c>
      <c r="B20" s="7" t="e">
        <f>COUNTIF(Control!#REF!,"Beijing Station Audit")</f>
        <v>#REF!</v>
      </c>
      <c r="C20" s="104" t="e">
        <f t="shared" si="0"/>
        <v>#REF!</v>
      </c>
      <c r="E20" s="103" t="s">
        <v>176</v>
      </c>
      <c r="F20" s="4">
        <v>2</v>
      </c>
      <c r="G20" s="112">
        <f>F20/F24</f>
        <v>3.0769230769230771E-2</v>
      </c>
      <c r="I20" s="98"/>
      <c r="J20" s="10"/>
    </row>
    <row r="21" spans="1:10" ht="16.5" customHeight="1">
      <c r="A21" s="103" t="s">
        <v>192</v>
      </c>
      <c r="B21" s="4" t="e">
        <f>COUNTIF(Control!#REF!,"KWL Station Audit")</f>
        <v>#REF!</v>
      </c>
      <c r="C21" s="104" t="e">
        <f t="shared" si="0"/>
        <v>#REF!</v>
      </c>
      <c r="E21" s="103" t="s">
        <v>177</v>
      </c>
      <c r="F21" s="4">
        <v>1</v>
      </c>
      <c r="G21" s="112">
        <f>F21/F24</f>
        <v>1.5384615384615385E-2</v>
      </c>
      <c r="I21" s="98"/>
      <c r="J21" s="10"/>
    </row>
    <row r="22" spans="1:10" ht="15.75" customHeight="1">
      <c r="A22" s="169" t="s">
        <v>210</v>
      </c>
      <c r="B22" s="4" t="e">
        <f>COUNTIF(Control!#REF!,"B-MAR 12C Audit")</f>
        <v>#REF!</v>
      </c>
      <c r="C22" s="104" t="e">
        <f t="shared" si="0"/>
        <v>#REF!</v>
      </c>
      <c r="E22" s="103" t="s">
        <v>178</v>
      </c>
      <c r="F22" s="4">
        <v>9</v>
      </c>
      <c r="G22" s="112">
        <f>F22/F24</f>
        <v>0.13846153846153847</v>
      </c>
      <c r="I22" s="98"/>
      <c r="J22" s="10"/>
    </row>
    <row r="23" spans="1:10">
      <c r="A23" s="103" t="s">
        <v>193</v>
      </c>
      <c r="B23" s="4" t="e">
        <f>COUNTIF(Control!#REF!,"C Check in STARCO")</f>
        <v>#REF!</v>
      </c>
      <c r="C23" s="104" t="e">
        <f t="shared" si="0"/>
        <v>#REF!</v>
      </c>
      <c r="E23" s="103" t="s">
        <v>179</v>
      </c>
      <c r="F23" s="4">
        <v>4</v>
      </c>
      <c r="G23" s="112">
        <f>F23/F24</f>
        <v>6.1538461538461542E-2</v>
      </c>
      <c r="I23" s="98"/>
      <c r="J23" s="10"/>
    </row>
    <row r="24" spans="1:10" ht="15" customHeight="1" thickBot="1">
      <c r="A24" s="170" t="s">
        <v>212</v>
      </c>
      <c r="B24" s="4" t="e">
        <f>COUNTIF(Control!#REF!,"AOC &amp; 145 Phase III")</f>
        <v>#REF!</v>
      </c>
      <c r="C24" s="104" t="e">
        <f t="shared" si="0"/>
        <v>#REF!</v>
      </c>
      <c r="E24" s="130" t="s">
        <v>168</v>
      </c>
      <c r="F24" s="111">
        <v>65</v>
      </c>
      <c r="G24" s="114">
        <f>F24/F24</f>
        <v>1</v>
      </c>
      <c r="I24" s="98"/>
      <c r="J24" s="10"/>
    </row>
    <row r="25" spans="1:10" ht="13.8" thickBot="1">
      <c r="A25" s="81" t="s">
        <v>194</v>
      </c>
      <c r="B25" s="4" t="e">
        <f>COUNTIF(Control!#REF!,"C of A renew")</f>
        <v>#REF!</v>
      </c>
      <c r="C25" s="104" t="e">
        <f t="shared" si="0"/>
        <v>#REF!</v>
      </c>
      <c r="E25" s="288" t="s">
        <v>148</v>
      </c>
      <c r="F25" s="288"/>
      <c r="G25" s="288"/>
      <c r="I25" s="98"/>
      <c r="J25" s="10"/>
    </row>
    <row r="26" spans="1:10" ht="27" thickBot="1">
      <c r="A26" s="64" t="s">
        <v>209</v>
      </c>
      <c r="B26" s="57" t="e">
        <f>COUNTIF(Control!#REF!,"BKK Station Audit")</f>
        <v>#REF!</v>
      </c>
      <c r="C26" s="104" t="e">
        <f t="shared" si="0"/>
        <v>#REF!</v>
      </c>
      <c r="E26" s="156" t="s">
        <v>198</v>
      </c>
      <c r="F26" s="157" t="s">
        <v>199</v>
      </c>
      <c r="G26" s="158" t="s">
        <v>200</v>
      </c>
      <c r="I26" s="98"/>
      <c r="J26" s="10"/>
    </row>
    <row r="27" spans="1:10">
      <c r="A27" s="161" t="s">
        <v>215</v>
      </c>
      <c r="B27" s="4" t="e">
        <f>COUNTIF(Control!#REF!,"He Fei Station Audit")</f>
        <v>#REF!</v>
      </c>
      <c r="C27" s="104" t="e">
        <f t="shared" si="0"/>
        <v>#REF!</v>
      </c>
      <c r="E27" s="146">
        <v>1</v>
      </c>
      <c r="F27" s="113" t="e">
        <f>COUNTIF([1]copy!$H$2:$H$66,"1")</f>
        <v>#VALUE!</v>
      </c>
      <c r="G27" s="115" t="e">
        <f>F27/F30</f>
        <v>#VALUE!</v>
      </c>
      <c r="I27" s="98"/>
      <c r="J27" s="10"/>
    </row>
    <row r="28" spans="1:10">
      <c r="A28" s="4" t="s">
        <v>195</v>
      </c>
      <c r="B28" s="4" t="e">
        <f>COUNTIF(Control!#REF!,"NGB Station Audit")</f>
        <v>#REF!</v>
      </c>
      <c r="C28" s="104" t="e">
        <f t="shared" si="0"/>
        <v>#REF!</v>
      </c>
      <c r="E28" s="103">
        <v>2</v>
      </c>
      <c r="F28" s="4" t="e">
        <f>COUNTIF([1]copy!$H$2:$H$66,"2")</f>
        <v>#VALUE!</v>
      </c>
      <c r="G28" s="112" t="e">
        <f>F28/F30</f>
        <v>#VALUE!</v>
      </c>
      <c r="I28" s="98"/>
      <c r="J28" s="10"/>
    </row>
    <row r="29" spans="1:10">
      <c r="A29" s="64" t="s">
        <v>203</v>
      </c>
      <c r="B29" s="4" t="e">
        <f>COUNTIF(Control!#REF!,"QA Manpower")</f>
        <v>#REF!</v>
      </c>
      <c r="C29" s="104" t="e">
        <f t="shared" si="0"/>
        <v>#REF!</v>
      </c>
      <c r="E29" s="103">
        <v>3</v>
      </c>
      <c r="F29" s="4" t="e">
        <f>COUNTIF([1]copy!$H$2:$H$66,"3")</f>
        <v>#VALUE!</v>
      </c>
      <c r="G29" s="112" t="e">
        <f>F29/F30</f>
        <v>#VALUE!</v>
      </c>
      <c r="I29" s="98"/>
      <c r="J29" s="10"/>
    </row>
    <row r="30" spans="1:10">
      <c r="A30" s="64" t="s">
        <v>211</v>
      </c>
      <c r="B30" s="4" t="e">
        <f>COUNTIF(Control!#REF!,"SHA Intl' Airport Audit")</f>
        <v>#REF!</v>
      </c>
      <c r="C30" s="104" t="e">
        <f t="shared" si="0"/>
        <v>#REF!</v>
      </c>
      <c r="E30" s="171" t="s">
        <v>150</v>
      </c>
      <c r="F30" s="81" t="e">
        <f>SUM(F27:F29)</f>
        <v>#VALUE!</v>
      </c>
      <c r="G30" s="160" t="e">
        <f>F30/F30</f>
        <v>#VALUE!</v>
      </c>
      <c r="I30" s="98"/>
      <c r="J30" s="10"/>
    </row>
    <row r="31" spans="1:10">
      <c r="A31" s="64" t="s">
        <v>213</v>
      </c>
      <c r="B31" s="4" t="e">
        <f>COUNTIF(Control!#REF!,"B-MAS CoA Renewal")</f>
        <v>#REF!</v>
      </c>
      <c r="C31" s="104" t="e">
        <f t="shared" si="0"/>
        <v>#REF!</v>
      </c>
      <c r="E31" s="174" t="s">
        <v>217</v>
      </c>
      <c r="F31" s="175">
        <v>2010</v>
      </c>
      <c r="G31" s="176" t="s">
        <v>206</v>
      </c>
      <c r="I31" s="98"/>
      <c r="J31" s="10"/>
    </row>
    <row r="32" spans="1:10">
      <c r="A32" s="64" t="s">
        <v>214</v>
      </c>
      <c r="B32" s="4" t="e">
        <f>COUNTIF(Control!#REF!,"B-MAF CoA Renewal")</f>
        <v>#REF!</v>
      </c>
      <c r="C32" s="104" t="e">
        <f t="shared" si="0"/>
        <v>#REF!</v>
      </c>
      <c r="E32" s="292" t="s">
        <v>201</v>
      </c>
      <c r="F32" s="293"/>
      <c r="G32" s="294"/>
      <c r="I32" s="98"/>
      <c r="J32" s="10"/>
    </row>
    <row r="33" spans="1:10" ht="27" thickBot="1">
      <c r="A33" s="64" t="s">
        <v>208</v>
      </c>
      <c r="B33" s="4" t="e">
        <f>COUNTIF(Control!#REF!,"MR Unannounced Audit")</f>
        <v>#REF!</v>
      </c>
      <c r="C33" s="104" t="e">
        <f t="shared" si="0"/>
        <v>#REF!</v>
      </c>
      <c r="E33" s="172" t="s">
        <v>187</v>
      </c>
      <c r="F33" s="166" t="s">
        <v>164</v>
      </c>
      <c r="G33" s="173" t="s">
        <v>200</v>
      </c>
      <c r="I33" s="98"/>
      <c r="J33" s="10"/>
    </row>
    <row r="34" spans="1:10" customFormat="1" ht="13.8" thickBot="1">
      <c r="A34" s="109" t="s">
        <v>168</v>
      </c>
      <c r="B34" s="101" t="e">
        <f>SUM(B16:B33)</f>
        <v>#REF!</v>
      </c>
      <c r="C34" s="105" t="e">
        <f t="shared" ref="C34" si="1">B34/$B$34</f>
        <v>#REF!</v>
      </c>
      <c r="E34" s="103" t="s">
        <v>165</v>
      </c>
      <c r="F34" s="4">
        <v>22</v>
      </c>
      <c r="G34" s="112">
        <f>F34/F42</f>
        <v>0.33846153846153848</v>
      </c>
      <c r="H34" s="5"/>
      <c r="I34" s="98"/>
      <c r="J34" s="10"/>
    </row>
    <row r="35" spans="1:10" ht="13.8" thickBot="1">
      <c r="A35" s="288" t="s">
        <v>148</v>
      </c>
      <c r="B35" s="288"/>
      <c r="C35" s="288"/>
      <c r="E35" s="103" t="s">
        <v>24</v>
      </c>
      <c r="F35" s="4">
        <v>17</v>
      </c>
      <c r="G35" s="112">
        <f>F35/F42</f>
        <v>0.26153846153846155</v>
      </c>
      <c r="I35" s="98"/>
      <c r="J35" s="10"/>
    </row>
    <row r="36" spans="1:10" ht="27" thickBot="1">
      <c r="A36" s="108" t="s">
        <v>184</v>
      </c>
      <c r="B36" s="132" t="s">
        <v>185</v>
      </c>
      <c r="C36" s="102" t="s">
        <v>169</v>
      </c>
      <c r="E36" s="103" t="s">
        <v>25</v>
      </c>
      <c r="F36" s="4">
        <v>14</v>
      </c>
      <c r="G36" s="112">
        <f>F36/F42</f>
        <v>0.2153846153846154</v>
      </c>
      <c r="I36" s="98"/>
      <c r="J36" s="10"/>
    </row>
    <row r="37" spans="1:10">
      <c r="A37" s="146">
        <v>1</v>
      </c>
      <c r="B37" s="113" t="e">
        <f>COUNTIF(Control!#REF!,"1")</f>
        <v>#REF!</v>
      </c>
      <c r="C37" s="115" t="e">
        <f>B37/B40</f>
        <v>#REF!</v>
      </c>
      <c r="E37" s="106" t="s">
        <v>27</v>
      </c>
      <c r="F37" s="7">
        <v>9</v>
      </c>
      <c r="G37" s="133">
        <f>F37/F42</f>
        <v>0.13846153846153847</v>
      </c>
      <c r="I37" s="98"/>
      <c r="J37" s="10"/>
    </row>
    <row r="38" spans="1:10">
      <c r="A38" s="103">
        <v>2</v>
      </c>
      <c r="B38" s="4" t="e">
        <f>COUNTIF(Control!#REF!,"2")</f>
        <v>#REF!</v>
      </c>
      <c r="C38" s="112" t="e">
        <f>B38/B40</f>
        <v>#REF!</v>
      </c>
      <c r="E38" s="103" t="s">
        <v>26</v>
      </c>
      <c r="F38" s="4">
        <v>8</v>
      </c>
      <c r="G38" s="112">
        <f>F38/F42</f>
        <v>0.12307692307692308</v>
      </c>
      <c r="I38" s="98"/>
      <c r="J38" s="10"/>
    </row>
    <row r="39" spans="1:10">
      <c r="A39" s="103">
        <v>3</v>
      </c>
      <c r="B39" s="4" t="e">
        <f>COUNTIF(Control!#REF!,"3")</f>
        <v>#REF!</v>
      </c>
      <c r="C39" s="112" t="e">
        <f>B39/B40</f>
        <v>#REF!</v>
      </c>
      <c r="E39" s="103" t="s">
        <v>166</v>
      </c>
      <c r="F39" s="4">
        <v>8</v>
      </c>
      <c r="G39" s="112">
        <f>F39/F42</f>
        <v>0.12307692307692308</v>
      </c>
      <c r="I39" s="98"/>
      <c r="J39" s="10"/>
    </row>
    <row r="40" spans="1:10" ht="13.95" customHeight="1">
      <c r="A40" s="171" t="s">
        <v>150</v>
      </c>
      <c r="B40" s="81" t="e">
        <f>SUM(B37:B39)</f>
        <v>#REF!</v>
      </c>
      <c r="C40" s="160" t="e">
        <f>B40/B40</f>
        <v>#REF!</v>
      </c>
      <c r="E40" s="103" t="s">
        <v>167</v>
      </c>
      <c r="F40" s="4">
        <v>7</v>
      </c>
      <c r="G40" s="112">
        <f>F40/F42</f>
        <v>0.1076923076923077</v>
      </c>
      <c r="I40" s="98"/>
      <c r="J40" s="10"/>
    </row>
    <row r="41" spans="1:10" ht="19.5" customHeight="1">
      <c r="A41" s="174" t="s">
        <v>217</v>
      </c>
      <c r="B41" s="175">
        <v>2011</v>
      </c>
      <c r="C41" s="176" t="s">
        <v>206</v>
      </c>
      <c r="D41" s="97"/>
      <c r="E41" s="103" t="s">
        <v>31</v>
      </c>
      <c r="F41" s="4">
        <v>2</v>
      </c>
      <c r="G41" s="112">
        <f>F41/F42</f>
        <v>3.0769230769230771E-2</v>
      </c>
      <c r="I41" s="98"/>
      <c r="J41" s="10"/>
    </row>
    <row r="42" spans="1:10" ht="13.8" thickBot="1">
      <c r="A42" s="285" t="s">
        <v>187</v>
      </c>
      <c r="B42" s="286"/>
      <c r="C42" s="287"/>
      <c r="E42" s="130" t="s">
        <v>168</v>
      </c>
      <c r="F42" s="111">
        <v>65</v>
      </c>
      <c r="G42" s="114">
        <f>F42/F42</f>
        <v>1</v>
      </c>
      <c r="I42" s="98"/>
      <c r="J42" s="10"/>
    </row>
    <row r="43" spans="1:10" ht="27" thickBot="1">
      <c r="A43" s="172" t="s">
        <v>187</v>
      </c>
      <c r="B43" s="166" t="s">
        <v>164</v>
      </c>
      <c r="C43" s="167" t="s">
        <v>169</v>
      </c>
      <c r="I43" s="98"/>
      <c r="J43" s="10"/>
    </row>
    <row r="44" spans="1:10" ht="13.8" thickBot="1">
      <c r="A44" s="106" t="s">
        <v>141</v>
      </c>
      <c r="B44" s="7" t="e">
        <f>COUNTIF(Control!#REF!,"Out station")</f>
        <v>#REF!</v>
      </c>
      <c r="C44" s="133" t="e">
        <f t="shared" ref="C44:C50" si="2">B44/$B$53</f>
        <v>#REF!</v>
      </c>
      <c r="E44" s="281" t="s">
        <v>131</v>
      </c>
      <c r="F44" s="281"/>
      <c r="G44" s="281"/>
      <c r="I44" s="98"/>
      <c r="J44" s="10"/>
    </row>
    <row r="45" spans="1:10" ht="27" thickBot="1">
      <c r="A45" s="103" t="s">
        <v>24</v>
      </c>
      <c r="B45" s="4" t="e">
        <f>COUNTIF(Control!#REF!,"QD")</f>
        <v>#REF!</v>
      </c>
      <c r="C45" s="133" t="e">
        <f t="shared" si="2"/>
        <v>#REF!</v>
      </c>
      <c r="E45" s="131" t="s">
        <v>149</v>
      </c>
      <c r="F45" s="132" t="s">
        <v>164</v>
      </c>
      <c r="G45" s="153" t="s">
        <v>200</v>
      </c>
      <c r="I45" s="98"/>
      <c r="J45" s="10"/>
    </row>
    <row r="46" spans="1:10">
      <c r="A46" s="103" t="s">
        <v>135</v>
      </c>
      <c r="B46" s="4" t="e">
        <f>COUNTIF(Control!#REF!,"ED")</f>
        <v>#REF!</v>
      </c>
      <c r="C46" s="133" t="e">
        <f t="shared" si="2"/>
        <v>#REF!</v>
      </c>
      <c r="E46" s="121" t="s">
        <v>40</v>
      </c>
      <c r="F46" s="139">
        <v>11</v>
      </c>
      <c r="G46" s="140">
        <f>F46/F79</f>
        <v>0.16923076923076924</v>
      </c>
      <c r="I46" s="98"/>
      <c r="J46" s="10"/>
    </row>
    <row r="47" spans="1:10">
      <c r="A47" s="117" t="s">
        <v>142</v>
      </c>
      <c r="B47" s="4" t="e">
        <f>COUNTIF(Control!#REF!,"Base maintenance")</f>
        <v>#REF!</v>
      </c>
      <c r="C47" s="133" t="e">
        <f t="shared" si="2"/>
        <v>#REF!</v>
      </c>
      <c r="E47" s="121" t="s">
        <v>114</v>
      </c>
      <c r="F47" s="139">
        <v>6</v>
      </c>
      <c r="G47" s="122">
        <f>F47/F79</f>
        <v>9.2307692307692313E-2</v>
      </c>
      <c r="I47" s="98"/>
      <c r="J47" s="10"/>
    </row>
    <row r="48" spans="1:10">
      <c r="A48" s="103" t="s">
        <v>137</v>
      </c>
      <c r="B48" s="4" t="e">
        <f>COUNTIF(Control!#REF!,"AMD")</f>
        <v>#REF!</v>
      </c>
      <c r="C48" s="133" t="e">
        <f t="shared" si="2"/>
        <v>#REF!</v>
      </c>
      <c r="E48" s="121" t="s">
        <v>120</v>
      </c>
      <c r="F48" s="139">
        <v>4</v>
      </c>
      <c r="G48" s="122">
        <f>F48/F79</f>
        <v>6.1538461538461542E-2</v>
      </c>
      <c r="I48" s="98"/>
      <c r="J48" s="10"/>
    </row>
    <row r="49" spans="1:10">
      <c r="A49" s="129" t="s">
        <v>31</v>
      </c>
      <c r="B49" s="4" t="e">
        <f>COUNTIF(Control!#REF!,"MR")</f>
        <v>#REF!</v>
      </c>
      <c r="C49" s="133" t="e">
        <f t="shared" si="2"/>
        <v>#REF!</v>
      </c>
      <c r="E49" s="121" t="s">
        <v>42</v>
      </c>
      <c r="F49" s="139">
        <v>4</v>
      </c>
      <c r="G49" s="122">
        <f>F49/F79</f>
        <v>6.1538461538461542E-2</v>
      </c>
      <c r="I49" s="98"/>
      <c r="J49" s="10"/>
    </row>
    <row r="50" spans="1:10">
      <c r="A50" s="103" t="s">
        <v>136</v>
      </c>
      <c r="B50" s="4" t="e">
        <f>COUNTIF(Control!#REF!,"PPC")</f>
        <v>#REF!</v>
      </c>
      <c r="C50" s="133" t="e">
        <f t="shared" si="2"/>
        <v>#REF!</v>
      </c>
      <c r="E50" s="121" t="s">
        <v>118</v>
      </c>
      <c r="F50" s="139">
        <v>3</v>
      </c>
      <c r="G50" s="122">
        <f>F50/F79</f>
        <v>4.6153846153846156E-2</v>
      </c>
      <c r="I50" s="98"/>
      <c r="J50" s="10"/>
    </row>
    <row r="51" spans="1:10">
      <c r="A51" s="103" t="s">
        <v>138</v>
      </c>
      <c r="B51" s="4" t="e">
        <f>COUNTIF(Control!#REF!,"MCC")</f>
        <v>#REF!</v>
      </c>
      <c r="C51" s="133" t="e">
        <f>B50/$B$53</f>
        <v>#REF!</v>
      </c>
      <c r="E51" s="121" t="s">
        <v>128</v>
      </c>
      <c r="F51" s="139">
        <v>3</v>
      </c>
      <c r="G51" s="122">
        <f>F51/F79</f>
        <v>4.6153846153846156E-2</v>
      </c>
      <c r="I51" s="98"/>
      <c r="J51" s="10"/>
    </row>
    <row r="52" spans="1:10">
      <c r="A52" s="128" t="s">
        <v>99</v>
      </c>
      <c r="B52" s="4" t="e">
        <f>COUNTIF(Control!#REF!,"FO")</f>
        <v>#REF!</v>
      </c>
      <c r="C52" s="133" t="e">
        <f>B51/$B$53</f>
        <v>#REF!</v>
      </c>
      <c r="E52" s="121" t="s">
        <v>85</v>
      </c>
      <c r="F52" s="139">
        <v>3</v>
      </c>
      <c r="G52" s="122">
        <f>F52/F79</f>
        <v>4.6153846153846156E-2</v>
      </c>
      <c r="I52" s="98"/>
      <c r="J52" s="10"/>
    </row>
    <row r="53" spans="1:10" ht="13.8" thickBot="1">
      <c r="A53" s="110" t="s">
        <v>150</v>
      </c>
      <c r="B53" s="111" t="e">
        <f>SUM(B44:B52)</f>
        <v>#REF!</v>
      </c>
      <c r="C53" s="114" t="e">
        <f>B53/B53</f>
        <v>#REF!</v>
      </c>
      <c r="E53" s="95" t="s">
        <v>112</v>
      </c>
      <c r="F53" s="135">
        <v>2</v>
      </c>
      <c r="G53" s="134">
        <f>F53/F79</f>
        <v>3.0769230769230771E-2</v>
      </c>
    </row>
    <row r="54" spans="1:10" ht="13.8" thickBot="1">
      <c r="A54" s="280" t="s">
        <v>149</v>
      </c>
      <c r="B54" s="280"/>
      <c r="C54" s="280"/>
      <c r="E54" s="95" t="s">
        <v>39</v>
      </c>
      <c r="F54" s="135">
        <v>2</v>
      </c>
      <c r="G54" s="134">
        <f>F54/F79</f>
        <v>3.0769230769230771E-2</v>
      </c>
    </row>
    <row r="55" spans="1:10" ht="27" thickBot="1">
      <c r="A55" s="131" t="s">
        <v>149</v>
      </c>
      <c r="B55" s="132" t="s">
        <v>164</v>
      </c>
      <c r="C55" s="102" t="s">
        <v>169</v>
      </c>
      <c r="E55" s="119" t="s">
        <v>115</v>
      </c>
      <c r="F55" s="100">
        <v>2</v>
      </c>
      <c r="G55" s="134">
        <f>F55/F79</f>
        <v>3.0769230769230771E-2</v>
      </c>
    </row>
    <row r="56" spans="1:10" ht="20.399999999999999">
      <c r="A56" s="141" t="s">
        <v>155</v>
      </c>
      <c r="B56" s="142" t="e">
        <f>COUNTIF(Control!#REF!,"Maintenance Data")</f>
        <v>#REF!</v>
      </c>
      <c r="C56" s="143" t="e">
        <f t="shared" ref="C56:C79" si="3">B56/$B$80</f>
        <v>#REF!</v>
      </c>
      <c r="E56" s="119" t="s">
        <v>122</v>
      </c>
      <c r="F56" s="100">
        <v>2</v>
      </c>
      <c r="G56" s="134">
        <f>F56/F79</f>
        <v>3.0769230769230771E-2</v>
      </c>
    </row>
    <row r="57" spans="1:10">
      <c r="A57" s="121" t="s">
        <v>39</v>
      </c>
      <c r="B57" s="144" t="e">
        <f>COUNTIF(Control!#REF!,"CRS")</f>
        <v>#REF!</v>
      </c>
      <c r="C57" s="145" t="e">
        <f t="shared" si="3"/>
        <v>#REF!</v>
      </c>
      <c r="E57" s="119" t="s">
        <v>123</v>
      </c>
      <c r="F57" s="100">
        <v>2</v>
      </c>
      <c r="G57" s="134">
        <f>F57/F79</f>
        <v>3.0769230769230771E-2</v>
      </c>
    </row>
    <row r="58" spans="1:10" ht="20.399999999999999" customHeight="1">
      <c r="A58" s="121" t="s">
        <v>156</v>
      </c>
      <c r="B58" s="144" t="e">
        <f>COUNTIF(Control!#REF!,"Maintenance Records")</f>
        <v>#REF!</v>
      </c>
      <c r="C58" s="145" t="e">
        <f t="shared" si="3"/>
        <v>#REF!</v>
      </c>
      <c r="E58" s="118" t="s">
        <v>105</v>
      </c>
      <c r="F58" s="136">
        <v>1</v>
      </c>
      <c r="G58" s="134">
        <f>F58/F79</f>
        <v>1.5384615384615385E-2</v>
      </c>
    </row>
    <row r="59" spans="1:10">
      <c r="A59" s="121" t="s">
        <v>157</v>
      </c>
      <c r="B59" s="144" t="e">
        <f>COUNTIF(Control!#REF!,"Orgnization mornitor")</f>
        <v>#REF!</v>
      </c>
      <c r="C59" s="145" t="e">
        <f t="shared" si="3"/>
        <v>#REF!</v>
      </c>
      <c r="E59" s="119" t="s">
        <v>107</v>
      </c>
      <c r="F59" s="100">
        <v>1</v>
      </c>
      <c r="G59" s="134">
        <f>F59/F79</f>
        <v>1.5384615384615385E-2</v>
      </c>
    </row>
    <row r="60" spans="1:10">
      <c r="A60" s="121" t="s">
        <v>162</v>
      </c>
      <c r="B60" s="144" t="e">
        <f>COUNTIF(Control!#REF!,"Work package")</f>
        <v>#REF!</v>
      </c>
      <c r="C60" s="145" t="e">
        <f t="shared" si="3"/>
        <v>#REF!</v>
      </c>
      <c r="E60" s="119" t="s">
        <v>108</v>
      </c>
      <c r="F60" s="100">
        <v>1</v>
      </c>
      <c r="G60" s="134">
        <f>F60/F79</f>
        <v>1.5384615384615385E-2</v>
      </c>
    </row>
    <row r="61" spans="1:10" ht="20.399999999999999">
      <c r="A61" s="95" t="s">
        <v>154</v>
      </c>
      <c r="B61" s="4" t="e">
        <f>COUNTIF(Control!#REF!,"Goods Inspection-Labelling &amp; Tagging")</f>
        <v>#REF!</v>
      </c>
      <c r="C61" s="112" t="e">
        <f t="shared" si="3"/>
        <v>#REF!</v>
      </c>
      <c r="E61" s="119" t="s">
        <v>109</v>
      </c>
      <c r="F61" s="100">
        <v>1</v>
      </c>
      <c r="G61" s="134">
        <f>F61/F79</f>
        <v>1.5384615384615385E-2</v>
      </c>
    </row>
    <row r="62" spans="1:10">
      <c r="A62" s="95" t="s">
        <v>160</v>
      </c>
      <c r="B62" s="4" t="e">
        <f>COUNTIF(Control!#REF!,"Quality system")</f>
        <v>#REF!</v>
      </c>
      <c r="C62" s="112" t="e">
        <f t="shared" si="3"/>
        <v>#REF!</v>
      </c>
      <c r="E62" s="119" t="s">
        <v>110</v>
      </c>
      <c r="F62" s="100">
        <v>1</v>
      </c>
      <c r="G62" s="134">
        <f>F62/F79</f>
        <v>1.5384615384615385E-2</v>
      </c>
    </row>
    <row r="63" spans="1:10">
      <c r="A63" s="95" t="s">
        <v>159</v>
      </c>
      <c r="B63" s="4" t="e">
        <f>COUNTIF(Control!#REF!,"Qualification of Staff")</f>
        <v>#REF!</v>
      </c>
      <c r="C63" s="112" t="e">
        <f t="shared" si="3"/>
        <v>#REF!</v>
      </c>
      <c r="E63" s="119" t="s">
        <v>111</v>
      </c>
      <c r="F63" s="100">
        <v>1</v>
      </c>
      <c r="G63" s="134">
        <f>F63/F79</f>
        <v>1.5384615384615385E-2</v>
      </c>
    </row>
    <row r="64" spans="1:10">
      <c r="A64" s="95" t="s">
        <v>134</v>
      </c>
      <c r="B64" s="4" t="e">
        <f>COUNTIF(Control!#REF!,"Store")</f>
        <v>#REF!</v>
      </c>
      <c r="C64" s="112" t="e">
        <f t="shared" si="3"/>
        <v>#REF!</v>
      </c>
      <c r="E64" s="119" t="s">
        <v>113</v>
      </c>
      <c r="F64" s="100">
        <v>1</v>
      </c>
      <c r="G64" s="134">
        <f>F64/F79</f>
        <v>1.5384615384615385E-2</v>
      </c>
    </row>
    <row r="65" spans="1:7">
      <c r="A65" s="95" t="s">
        <v>151</v>
      </c>
      <c r="B65" s="4" t="e">
        <f>COUNTIF(Control!#REF!,"AD Control")</f>
        <v>#REF!</v>
      </c>
      <c r="C65" s="112" t="e">
        <f t="shared" si="3"/>
        <v>#REF!</v>
      </c>
      <c r="E65" s="119" t="s">
        <v>116</v>
      </c>
      <c r="F65" s="100">
        <v>1</v>
      </c>
      <c r="G65" s="134">
        <f>F65/F79</f>
        <v>1.5384615384615385E-2</v>
      </c>
    </row>
    <row r="66" spans="1:7" ht="20.399999999999999" customHeight="1">
      <c r="A66" s="95" t="s">
        <v>152</v>
      </c>
      <c r="B66" s="4" t="e">
        <f>COUNTIF(Control!#REF!,"Certification of maintenance")</f>
        <v>#REF!</v>
      </c>
      <c r="C66" s="112" t="e">
        <f t="shared" si="3"/>
        <v>#REF!</v>
      </c>
      <c r="E66" s="119" t="s">
        <v>117</v>
      </c>
      <c r="F66" s="100">
        <v>1</v>
      </c>
      <c r="G66" s="134">
        <f>F66/F79</f>
        <v>1.5384615384615385E-2</v>
      </c>
    </row>
    <row r="67" spans="1:7">
      <c r="A67" s="95" t="s">
        <v>153</v>
      </c>
      <c r="B67" s="4" t="e">
        <f>COUNTIF(Control!#REF!,"Duties and responsibilities")</f>
        <v>#REF!</v>
      </c>
      <c r="C67" s="112" t="e">
        <f t="shared" si="3"/>
        <v>#REF!</v>
      </c>
      <c r="E67" s="119" t="s">
        <v>119</v>
      </c>
      <c r="F67" s="100">
        <v>1</v>
      </c>
      <c r="G67" s="134">
        <f>F67/F79</f>
        <v>1.5384615384615385E-2</v>
      </c>
    </row>
    <row r="68" spans="1:7">
      <c r="A68" s="95" t="s">
        <v>118</v>
      </c>
      <c r="B68" s="4" t="e">
        <f>COUNTIF(Control!#REF!,"Interface procedure")</f>
        <v>#REF!</v>
      </c>
      <c r="C68" s="112" t="e">
        <f t="shared" si="3"/>
        <v>#REF!</v>
      </c>
      <c r="E68" s="119" t="s">
        <v>43</v>
      </c>
      <c r="F68" s="100">
        <v>1</v>
      </c>
      <c r="G68" s="134">
        <f>F68/F79</f>
        <v>1.5384615384615385E-2</v>
      </c>
    </row>
    <row r="69" spans="1:7">
      <c r="A69" s="95" t="s">
        <v>132</v>
      </c>
      <c r="B69" s="4" t="e">
        <f>COUNTIF(Control!#REF!,"Implemention of AC")</f>
        <v>#REF!</v>
      </c>
      <c r="C69" s="112" t="e">
        <f t="shared" si="3"/>
        <v>#REF!</v>
      </c>
      <c r="E69" s="119" t="s">
        <v>121</v>
      </c>
      <c r="F69" s="100">
        <v>1</v>
      </c>
      <c r="G69" s="134">
        <f>F69/F79</f>
        <v>1.5384615384615385E-2</v>
      </c>
    </row>
    <row r="70" spans="1:7">
      <c r="A70" s="95" t="s">
        <v>125</v>
      </c>
      <c r="B70" s="4" t="e">
        <f>COUNTIF(Control!#REF!,"Parts segregation")</f>
        <v>#REF!</v>
      </c>
      <c r="C70" s="112" t="e">
        <f t="shared" si="3"/>
        <v>#REF!</v>
      </c>
      <c r="E70" s="119" t="s">
        <v>124</v>
      </c>
      <c r="F70" s="100">
        <v>1</v>
      </c>
      <c r="G70" s="134">
        <f>F70/F79</f>
        <v>1.5384615384615385E-2</v>
      </c>
    </row>
    <row r="71" spans="1:7">
      <c r="A71" s="95" t="s">
        <v>158</v>
      </c>
      <c r="B71" s="4" t="e">
        <f>COUNTIF(Control!#REF!,"Personnel Quantity")</f>
        <v>#REF!</v>
      </c>
      <c r="C71" s="112" t="e">
        <f t="shared" si="3"/>
        <v>#REF!</v>
      </c>
      <c r="E71" s="119" t="s">
        <v>125</v>
      </c>
      <c r="F71" s="135">
        <v>1</v>
      </c>
      <c r="G71" s="134">
        <f>F71/F79</f>
        <v>1.5384615384615385E-2</v>
      </c>
    </row>
    <row r="72" spans="1:7">
      <c r="A72" s="95" t="s">
        <v>161</v>
      </c>
      <c r="B72" s="4" t="e">
        <f>COUNTIF(Control!#REF!,"Tool and equipment")</f>
        <v>#REF!</v>
      </c>
      <c r="C72" s="112" t="e">
        <f t="shared" si="3"/>
        <v>#REF!</v>
      </c>
      <c r="E72" s="119" t="s">
        <v>180</v>
      </c>
      <c r="F72" s="100">
        <v>1</v>
      </c>
      <c r="G72" s="134">
        <f>F72/F79</f>
        <v>1.5384615384615385E-2</v>
      </c>
    </row>
    <row r="73" spans="1:7" ht="20.399999999999999">
      <c r="A73" s="95" t="s">
        <v>85</v>
      </c>
      <c r="B73" s="4" t="e">
        <f>COUNTIF(Control!#REF!,"Training")</f>
        <v>#REF!</v>
      </c>
      <c r="C73" s="112" t="e">
        <f t="shared" si="3"/>
        <v>#REF!</v>
      </c>
      <c r="E73" s="119" t="s">
        <v>86</v>
      </c>
      <c r="F73" s="100">
        <v>1</v>
      </c>
      <c r="G73" s="134">
        <f>F73/F79</f>
        <v>1.5384615384615385E-2</v>
      </c>
    </row>
    <row r="74" spans="1:7">
      <c r="A74" s="95" t="s">
        <v>216</v>
      </c>
      <c r="B74" s="4" t="e">
        <f>COUNTIF(Control!#REF!,"Flight Test Programme")</f>
        <v>#REF!</v>
      </c>
      <c r="C74" s="112" t="e">
        <f t="shared" si="3"/>
        <v>#REF!</v>
      </c>
      <c r="E74" s="119" t="s">
        <v>126</v>
      </c>
      <c r="F74" s="100">
        <v>1</v>
      </c>
      <c r="G74" s="134">
        <f>F74/F79</f>
        <v>1.5384615384615385E-2</v>
      </c>
    </row>
    <row r="75" spans="1:7">
      <c r="A75" s="95" t="s">
        <v>205</v>
      </c>
      <c r="B75" s="4" t="e">
        <f>COUNTIF(Control!#REF!,"Regulation Compliance")</f>
        <v>#REF!</v>
      </c>
      <c r="C75" s="112" t="e">
        <f t="shared" si="3"/>
        <v>#REF!</v>
      </c>
      <c r="E75" s="119" t="s">
        <v>127</v>
      </c>
      <c r="F75" s="100">
        <v>1</v>
      </c>
      <c r="G75" s="134">
        <f>F75/F79</f>
        <v>1.5384615384615385E-2</v>
      </c>
    </row>
    <row r="76" spans="1:7" ht="20.399999999999999">
      <c r="A76" s="95" t="s">
        <v>86</v>
      </c>
      <c r="B76" s="4" t="e">
        <f>COUNTIF(Control!#REF!,"Procedure Manual for Base Maintenance")</f>
        <v>#REF!</v>
      </c>
      <c r="C76" s="112" t="e">
        <f t="shared" si="3"/>
        <v>#REF!</v>
      </c>
      <c r="E76" s="119" t="s">
        <v>45</v>
      </c>
      <c r="F76" s="100">
        <v>1</v>
      </c>
      <c r="G76" s="120">
        <f>F76/F79</f>
        <v>1.5384615384615385E-2</v>
      </c>
    </row>
    <row r="77" spans="1:7">
      <c r="A77" s="95" t="s">
        <v>204</v>
      </c>
      <c r="B77" s="4" t="e">
        <f>COUNTIF(Control!#REF!,"Ground Handling equipment")</f>
        <v>#REF!</v>
      </c>
      <c r="C77" s="112" t="e">
        <f t="shared" si="3"/>
        <v>#REF!</v>
      </c>
      <c r="E77" s="119" t="s">
        <v>129</v>
      </c>
      <c r="F77" s="100">
        <v>1</v>
      </c>
      <c r="G77" s="120">
        <f>F77/F79</f>
        <v>1.5384615384615385E-2</v>
      </c>
    </row>
    <row r="78" spans="1:7" ht="13.8" thickBot="1">
      <c r="A78" s="95" t="s">
        <v>163</v>
      </c>
      <c r="B78" s="4" t="e">
        <f>COUNTIF(Control!#REF!,"Certification of registration")</f>
        <v>#REF!</v>
      </c>
      <c r="C78" s="112" t="e">
        <f t="shared" si="3"/>
        <v>#REF!</v>
      </c>
      <c r="E78" s="123" t="s">
        <v>130</v>
      </c>
      <c r="F78" s="137">
        <v>1</v>
      </c>
      <c r="G78" s="124">
        <f>F78/F79</f>
        <v>1.5384615384615385E-2</v>
      </c>
    </row>
    <row r="79" spans="1:7" ht="13.8" thickBot="1">
      <c r="A79" s="95" t="s">
        <v>109</v>
      </c>
      <c r="B79" s="4" t="e">
        <f>COUNTIF(Control!#REF!,"Approved parts &amp;Materials")</f>
        <v>#REF!</v>
      </c>
      <c r="C79" s="112" t="e">
        <f t="shared" si="3"/>
        <v>#REF!</v>
      </c>
      <c r="E79" s="125" t="s">
        <v>145</v>
      </c>
      <c r="F79" s="116">
        <v>65</v>
      </c>
      <c r="G79" s="126">
        <f>F79/F79</f>
        <v>1</v>
      </c>
    </row>
    <row r="80" spans="1:7" ht="13.8" thickBot="1">
      <c r="A80" s="110" t="s">
        <v>150</v>
      </c>
      <c r="B80" s="111" t="e">
        <f>SUM(B56:B79)</f>
        <v>#REF!</v>
      </c>
      <c r="C80" s="114" t="e">
        <f>B80/B80</f>
        <v>#REF!</v>
      </c>
    </row>
  </sheetData>
  <sortState ref="A56:C79">
    <sortCondition descending="1" ref="C56:C79"/>
  </sortState>
  <mergeCells count="12">
    <mergeCell ref="A1:B1"/>
    <mergeCell ref="E1:F1"/>
    <mergeCell ref="A8:C8"/>
    <mergeCell ref="A42:C42"/>
    <mergeCell ref="A54:C54"/>
    <mergeCell ref="A35:C35"/>
    <mergeCell ref="A14:C14"/>
    <mergeCell ref="E8:G8"/>
    <mergeCell ref="E14:G14"/>
    <mergeCell ref="E25:G25"/>
    <mergeCell ref="E32:G32"/>
    <mergeCell ref="E44:G44"/>
  </mergeCells>
  <phoneticPr fontId="9" type="noConversion"/>
  <pageMargins left="0.23622047244094491" right="0.11" top="0.6692913385826772" bottom="0.39370078740157483" header="0.31496062992125984" footer="0.31496062992125984"/>
  <pageSetup paperSize="9" scale="87" orientation="portrait" r:id="rId1"/>
  <headerFooter>
    <oddHeader>&amp;C&amp;"Arial,Bold"&amp;18Corrective Action Report Analysis&amp;R
Print at &amp;T, &amp;D</oddHeader>
    <oddFooter>&amp;R
&amp;P of &amp;N</oddFooter>
  </headerFooter>
  <rowBreaks count="1" manualBreakCount="1">
    <brk id="53" max="6" man="1"/>
  </rowBreaks>
  <colBreaks count="1" manualBreakCount="1">
    <brk id="7" max="85" man="1"/>
  </colBreaks>
  <drawing r:id="rId2"/>
</worksheet>
</file>

<file path=xl/worksheets/sheet5.xml><?xml version="1.0" encoding="utf-8"?>
<worksheet xmlns="http://schemas.openxmlformats.org/spreadsheetml/2006/main" xmlns:r="http://schemas.openxmlformats.org/officeDocument/2006/relationships">
  <dimension ref="A1:U25"/>
  <sheetViews>
    <sheetView zoomScale="90" zoomScaleNormal="90" workbookViewId="0">
      <pane xSplit="3" ySplit="1" topLeftCell="D5" activePane="bottomRight" state="frozen"/>
      <selection pane="topRight" activeCell="D1" sqref="D1"/>
      <selection pane="bottomLeft" activeCell="A2" sqref="A2"/>
      <selection pane="bottomRight" activeCell="J19" sqref="J19"/>
    </sheetView>
  </sheetViews>
  <sheetFormatPr defaultRowHeight="13.2" outlineLevelCol="1"/>
  <cols>
    <col min="1" max="1" width="4.33203125" style="20" customWidth="1"/>
    <col min="2" max="2" width="14.109375" style="37" customWidth="1"/>
    <col min="3" max="3" width="7" customWidth="1"/>
    <col min="4" max="4" width="9.6640625" customWidth="1" outlineLevel="1"/>
    <col min="5" max="5" width="15" customWidth="1" outlineLevel="1"/>
    <col min="6" max="6" width="11.5546875" style="21" customWidth="1" outlineLevel="1"/>
    <col min="7" max="7" width="11" customWidth="1" outlineLevel="1"/>
    <col min="8" max="8" width="6.5546875" style="20" customWidth="1" outlineLevel="1" collapsed="1"/>
    <col min="9" max="9" width="6.44140625" customWidth="1"/>
    <col min="10" max="10" width="47.6640625" style="27" customWidth="1" outlineLevel="1"/>
    <col min="11" max="11" width="70" style="27" customWidth="1" outlineLevel="1"/>
    <col min="12" max="12" width="24.33203125" style="27" customWidth="1"/>
    <col min="13" max="13" width="8.88671875" style="5" customWidth="1"/>
    <col min="14" max="14" width="17.109375" style="5" customWidth="1"/>
    <col min="15" max="15" width="13" style="5" customWidth="1"/>
    <col min="16" max="16" width="11.109375" style="5" customWidth="1"/>
    <col min="17" max="17" width="10.33203125" style="5" customWidth="1"/>
    <col min="18" max="18" width="11.33203125" style="5" customWidth="1"/>
    <col min="19" max="19" width="15.6640625" style="20" customWidth="1"/>
    <col min="20" max="20" width="12.5546875" customWidth="1"/>
    <col min="21" max="21" width="15.5546875" customWidth="1"/>
  </cols>
  <sheetData>
    <row r="1" spans="1:21" ht="27" thickBot="1">
      <c r="A1" s="13" t="s">
        <v>57</v>
      </c>
      <c r="B1" s="22" t="s">
        <v>1</v>
      </c>
      <c r="C1" s="14" t="s">
        <v>33</v>
      </c>
      <c r="D1" s="14" t="s">
        <v>49</v>
      </c>
      <c r="E1" s="14" t="s">
        <v>48</v>
      </c>
      <c r="F1" s="15" t="s">
        <v>2</v>
      </c>
      <c r="G1" s="16" t="s">
        <v>3</v>
      </c>
      <c r="H1" s="17" t="s">
        <v>4</v>
      </c>
      <c r="I1" s="14" t="s">
        <v>5</v>
      </c>
      <c r="J1" s="33" t="s">
        <v>60</v>
      </c>
      <c r="K1" s="33" t="s">
        <v>61</v>
      </c>
      <c r="L1" s="34" t="s">
        <v>12</v>
      </c>
      <c r="M1" s="10"/>
      <c r="N1" s="10" t="s">
        <v>50</v>
      </c>
      <c r="O1" s="10" t="s">
        <v>6</v>
      </c>
      <c r="P1" s="10" t="s">
        <v>5</v>
      </c>
      <c r="Q1" s="11" t="s">
        <v>15</v>
      </c>
      <c r="R1" s="11" t="s">
        <v>14</v>
      </c>
      <c r="S1" s="10" t="s">
        <v>32</v>
      </c>
      <c r="T1" s="10" t="s">
        <v>34</v>
      </c>
      <c r="U1" s="25" t="s">
        <v>38</v>
      </c>
    </row>
    <row r="2" spans="1:21" ht="26.4">
      <c r="A2" s="35">
        <v>1</v>
      </c>
      <c r="B2" s="36" t="e">
        <f>Control!#REF!</f>
        <v>#REF!</v>
      </c>
      <c r="C2" s="4" t="e">
        <f>Control!#REF!</f>
        <v>#REF!</v>
      </c>
      <c r="D2" s="7" t="s">
        <v>64</v>
      </c>
      <c r="E2" s="23" t="s">
        <v>62</v>
      </c>
      <c r="F2" s="8">
        <v>40561</v>
      </c>
      <c r="G2" s="24">
        <v>40575</v>
      </c>
      <c r="H2" s="9">
        <f ca="1">G2-TODAY()</f>
        <v>-1007</v>
      </c>
      <c r="I2" s="7" t="s">
        <v>36</v>
      </c>
      <c r="J2" s="28"/>
      <c r="K2" s="29"/>
      <c r="L2" s="30"/>
      <c r="N2" s="5" t="s">
        <v>51</v>
      </c>
      <c r="O2" s="5" t="s">
        <v>7</v>
      </c>
      <c r="P2" s="5" t="s">
        <v>10</v>
      </c>
      <c r="Q2" s="5" t="s">
        <v>13</v>
      </c>
      <c r="R2" s="5" t="s">
        <v>13</v>
      </c>
      <c r="S2" s="5" t="s">
        <v>24</v>
      </c>
      <c r="T2" s="5" t="s">
        <v>24</v>
      </c>
      <c r="U2" s="5" t="s">
        <v>39</v>
      </c>
    </row>
    <row r="3" spans="1:21" ht="26.4">
      <c r="A3" s="35">
        <v>2</v>
      </c>
      <c r="B3" s="36" t="e">
        <f>Control!#REF!</f>
        <v>#REF!</v>
      </c>
      <c r="C3" s="4" t="e">
        <f>Control!#REF!</f>
        <v>#REF!</v>
      </c>
      <c r="D3" s="7" t="s">
        <v>64</v>
      </c>
      <c r="E3" s="23" t="s">
        <v>62</v>
      </c>
      <c r="F3" s="8">
        <v>40561</v>
      </c>
      <c r="G3" s="24">
        <v>40575</v>
      </c>
      <c r="H3" s="9">
        <f ca="1">G3-TODAY()</f>
        <v>-1007</v>
      </c>
      <c r="I3" s="7" t="s">
        <v>36</v>
      </c>
      <c r="J3" s="28"/>
      <c r="K3" s="29"/>
      <c r="L3" s="30"/>
      <c r="N3" s="5" t="s">
        <v>52</v>
      </c>
      <c r="O3" s="5" t="s">
        <v>8</v>
      </c>
      <c r="P3" s="5" t="s">
        <v>36</v>
      </c>
      <c r="Q3" s="5" t="s">
        <v>13</v>
      </c>
      <c r="R3" s="5" t="s">
        <v>13</v>
      </c>
      <c r="S3" s="5" t="s">
        <v>24</v>
      </c>
      <c r="T3" s="5" t="s">
        <v>24</v>
      </c>
      <c r="U3" s="5" t="s">
        <v>42</v>
      </c>
    </row>
    <row r="4" spans="1:21" ht="26.4">
      <c r="A4" s="35">
        <v>3</v>
      </c>
      <c r="B4" s="36" t="e">
        <f>Control!#REF!</f>
        <v>#REF!</v>
      </c>
      <c r="C4" s="4" t="e">
        <f>Control!#REF!</f>
        <v>#REF!</v>
      </c>
      <c r="D4" s="7" t="s">
        <v>64</v>
      </c>
      <c r="E4" s="23" t="s">
        <v>62</v>
      </c>
      <c r="F4" s="8">
        <v>40561</v>
      </c>
      <c r="G4" s="24">
        <v>40575</v>
      </c>
      <c r="H4" s="9">
        <f ca="1">G4-TODAY()</f>
        <v>-1007</v>
      </c>
      <c r="I4" s="7" t="s">
        <v>36</v>
      </c>
      <c r="J4" s="31"/>
      <c r="K4" s="26"/>
      <c r="L4" s="32"/>
      <c r="N4" s="5" t="s">
        <v>53</v>
      </c>
      <c r="O4" s="5" t="s">
        <v>9</v>
      </c>
      <c r="P4" s="5" t="s">
        <v>35</v>
      </c>
      <c r="Q4" s="2" t="s">
        <v>16</v>
      </c>
      <c r="R4" s="3" t="s">
        <v>22</v>
      </c>
      <c r="S4" s="19" t="s">
        <v>25</v>
      </c>
      <c r="T4" s="19" t="s">
        <v>25</v>
      </c>
      <c r="U4" s="5" t="s">
        <v>40</v>
      </c>
    </row>
    <row r="5" spans="1:21" ht="26.4">
      <c r="A5" s="35">
        <v>4</v>
      </c>
      <c r="B5" s="36" t="e">
        <f>Control!#REF!</f>
        <v>#REF!</v>
      </c>
      <c r="C5" s="4" t="e">
        <f>Control!#REF!</f>
        <v>#REF!</v>
      </c>
      <c r="D5" s="7" t="s">
        <v>64</v>
      </c>
      <c r="E5" s="23" t="s">
        <v>62</v>
      </c>
      <c r="F5" s="8">
        <v>40561</v>
      </c>
      <c r="G5" s="24">
        <v>40575</v>
      </c>
      <c r="H5" s="9">
        <f ca="1">G5-TODAY()</f>
        <v>-1007</v>
      </c>
      <c r="I5" s="7" t="s">
        <v>36</v>
      </c>
      <c r="J5" s="31"/>
      <c r="K5" s="26"/>
      <c r="L5" s="32"/>
      <c r="N5" s="5" t="s">
        <v>54</v>
      </c>
      <c r="O5" s="5" t="s">
        <v>9</v>
      </c>
      <c r="P5" s="5" t="s">
        <v>47</v>
      </c>
      <c r="Q5" s="2" t="s">
        <v>17</v>
      </c>
      <c r="R5" s="3" t="s">
        <v>22</v>
      </c>
      <c r="S5" s="19" t="s">
        <v>26</v>
      </c>
      <c r="T5" s="19" t="s">
        <v>26</v>
      </c>
      <c r="U5" s="5" t="s">
        <v>41</v>
      </c>
    </row>
    <row r="6" spans="1:21" ht="30.6">
      <c r="A6" s="35">
        <v>5</v>
      </c>
      <c r="B6" s="36" t="e">
        <f>Control!#REF!</f>
        <v>#REF!</v>
      </c>
      <c r="C6" s="4" t="e">
        <f>Control!#REF!</f>
        <v>#REF!</v>
      </c>
      <c r="D6" s="7" t="s">
        <v>77</v>
      </c>
      <c r="E6" s="12" t="s">
        <v>79</v>
      </c>
      <c r="F6" s="6">
        <v>40570</v>
      </c>
      <c r="G6" s="38" t="s">
        <v>13</v>
      </c>
      <c r="H6" s="1" t="s">
        <v>13</v>
      </c>
      <c r="I6" s="7" t="s">
        <v>36</v>
      </c>
      <c r="J6" s="31" t="s">
        <v>71</v>
      </c>
      <c r="K6" s="26" t="s">
        <v>72</v>
      </c>
      <c r="L6" s="32"/>
      <c r="N6" s="5" t="s">
        <v>55</v>
      </c>
      <c r="P6" s="5" t="s">
        <v>0</v>
      </c>
      <c r="Q6" s="2" t="s">
        <v>18</v>
      </c>
      <c r="R6" s="3" t="s">
        <v>22</v>
      </c>
      <c r="S6" s="19" t="s">
        <v>27</v>
      </c>
      <c r="T6" s="19" t="s">
        <v>27</v>
      </c>
      <c r="U6" s="5" t="s">
        <v>43</v>
      </c>
    </row>
    <row r="7" spans="1:21" ht="40.799999999999997">
      <c r="A7" s="35">
        <v>6</v>
      </c>
      <c r="B7" s="36" t="e">
        <f>Control!#REF!</f>
        <v>#REF!</v>
      </c>
      <c r="C7" s="4" t="e">
        <f>Control!#REF!</f>
        <v>#REF!</v>
      </c>
      <c r="D7" s="7" t="s">
        <v>77</v>
      </c>
      <c r="E7" s="12" t="s">
        <v>79</v>
      </c>
      <c r="F7" s="6">
        <v>40570</v>
      </c>
      <c r="G7" s="38" t="s">
        <v>13</v>
      </c>
      <c r="H7" s="1" t="s">
        <v>13</v>
      </c>
      <c r="I7" s="7" t="s">
        <v>36</v>
      </c>
      <c r="J7" s="31" t="s">
        <v>73</v>
      </c>
      <c r="K7" s="26" t="s">
        <v>74</v>
      </c>
      <c r="L7" s="32"/>
      <c r="N7" s="5" t="s">
        <v>56</v>
      </c>
      <c r="P7" s="5" t="s">
        <v>63</v>
      </c>
      <c r="Q7" s="2" t="s">
        <v>19</v>
      </c>
      <c r="R7" s="3" t="s">
        <v>22</v>
      </c>
      <c r="S7" s="19" t="s">
        <v>28</v>
      </c>
      <c r="T7" s="19" t="s">
        <v>28</v>
      </c>
      <c r="U7" s="5" t="s">
        <v>44</v>
      </c>
    </row>
    <row r="8" spans="1:21" ht="52.95" customHeight="1">
      <c r="A8" s="35">
        <v>7</v>
      </c>
      <c r="B8" s="36" t="e">
        <f>Control!#REF!</f>
        <v>#REF!</v>
      </c>
      <c r="C8" s="4" t="e">
        <f>Control!#REF!</f>
        <v>#REF!</v>
      </c>
      <c r="D8" s="7" t="s">
        <v>77</v>
      </c>
      <c r="E8" s="12" t="s">
        <v>79</v>
      </c>
      <c r="F8" s="6">
        <v>40570</v>
      </c>
      <c r="G8" s="38" t="s">
        <v>13</v>
      </c>
      <c r="H8" s="1" t="s">
        <v>13</v>
      </c>
      <c r="I8" s="7" t="s">
        <v>36</v>
      </c>
      <c r="J8" s="44" t="s">
        <v>75</v>
      </c>
      <c r="K8" s="26" t="s">
        <v>76</v>
      </c>
      <c r="L8" s="45"/>
      <c r="N8" s="5" t="s">
        <v>78</v>
      </c>
      <c r="Q8" s="2" t="s">
        <v>20</v>
      </c>
      <c r="R8" s="3" t="s">
        <v>22</v>
      </c>
      <c r="S8" s="19" t="s">
        <v>29</v>
      </c>
      <c r="T8" s="19" t="s">
        <v>29</v>
      </c>
      <c r="U8" s="5" t="s">
        <v>45</v>
      </c>
    </row>
    <row r="9" spans="1:21" ht="20.399999999999999">
      <c r="A9" s="35">
        <v>8</v>
      </c>
      <c r="B9" s="36" t="e">
        <f>Control!#REF!</f>
        <v>#REF!</v>
      </c>
      <c r="C9" s="4" t="e">
        <f>Control!#REF!</f>
        <v>#REF!</v>
      </c>
      <c r="D9" s="7" t="s">
        <v>77</v>
      </c>
      <c r="E9" s="12" t="s">
        <v>79</v>
      </c>
      <c r="F9" s="6">
        <v>40570</v>
      </c>
      <c r="G9" s="38" t="s">
        <v>13</v>
      </c>
      <c r="H9" s="1" t="s">
        <v>13</v>
      </c>
      <c r="I9" s="7" t="s">
        <v>36</v>
      </c>
      <c r="J9" s="44" t="s">
        <v>80</v>
      </c>
      <c r="K9" s="26" t="s">
        <v>81</v>
      </c>
      <c r="L9" s="45"/>
      <c r="N9" s="5" t="s">
        <v>59</v>
      </c>
      <c r="Q9" s="2" t="s">
        <v>21</v>
      </c>
      <c r="R9" s="3" t="s">
        <v>23</v>
      </c>
      <c r="S9" s="19" t="s">
        <v>30</v>
      </c>
      <c r="T9" s="19" t="s">
        <v>30</v>
      </c>
      <c r="U9" s="5" t="s">
        <v>46</v>
      </c>
    </row>
    <row r="10" spans="1:21" ht="26.4">
      <c r="A10" s="35">
        <v>9</v>
      </c>
      <c r="B10" s="36" t="e">
        <f>Control!#REF!</f>
        <v>#REF!</v>
      </c>
      <c r="C10" s="36" t="e">
        <f>Control!#REF!</f>
        <v>#REF!</v>
      </c>
      <c r="D10" s="7" t="s">
        <v>63</v>
      </c>
      <c r="E10" s="39" t="s">
        <v>82</v>
      </c>
      <c r="F10" s="21">
        <v>40574</v>
      </c>
      <c r="G10" s="38" t="s">
        <v>13</v>
      </c>
      <c r="H10" s="1" t="s">
        <v>13</v>
      </c>
      <c r="I10" s="7" t="s">
        <v>63</v>
      </c>
      <c r="J10" s="18"/>
      <c r="K10" s="18"/>
      <c r="L10" s="18"/>
      <c r="N10" s="5" t="s">
        <v>83</v>
      </c>
    </row>
    <row r="11" spans="1:21" ht="15">
      <c r="A11" s="35">
        <v>10</v>
      </c>
      <c r="B11" s="36" t="e">
        <f>Control!#REF!</f>
        <v>#REF!</v>
      </c>
      <c r="C11" s="36" t="e">
        <f>Control!#REF!</f>
        <v>#REF!</v>
      </c>
      <c r="D11" s="7" t="s">
        <v>83</v>
      </c>
      <c r="E11" s="39" t="s">
        <v>82</v>
      </c>
      <c r="F11" s="21">
        <v>40574</v>
      </c>
      <c r="G11" s="38" t="s">
        <v>13</v>
      </c>
      <c r="H11" s="1" t="s">
        <v>13</v>
      </c>
      <c r="I11" s="7" t="s">
        <v>0</v>
      </c>
    </row>
    <row r="12" spans="1:21" ht="26.4">
      <c r="A12" s="35">
        <v>11</v>
      </c>
      <c r="B12" s="36" t="e">
        <f>Control!#REF!</f>
        <v>#REF!</v>
      </c>
      <c r="C12" s="36" t="e">
        <f>Control!#REF!</f>
        <v>#REF!</v>
      </c>
      <c r="D12" s="7" t="s">
        <v>64</v>
      </c>
      <c r="E12" s="39" t="s">
        <v>82</v>
      </c>
      <c r="F12" s="21">
        <v>40574</v>
      </c>
      <c r="G12" s="40">
        <v>40588</v>
      </c>
      <c r="H12" s="9">
        <f ca="1">G12-TODAY()</f>
        <v>-994</v>
      </c>
      <c r="I12" s="7" t="s">
        <v>36</v>
      </c>
    </row>
    <row r="13" spans="1:21" ht="26.4">
      <c r="A13" s="35">
        <v>12</v>
      </c>
      <c r="B13" s="36" t="e">
        <f>Control!#REF!</f>
        <v>#REF!</v>
      </c>
      <c r="C13" s="36" t="e">
        <f>Control!#REF!</f>
        <v>#REF!</v>
      </c>
      <c r="D13" s="7" t="s">
        <v>63</v>
      </c>
      <c r="E13" s="39" t="s">
        <v>82</v>
      </c>
      <c r="F13" s="21">
        <v>40574</v>
      </c>
      <c r="G13" s="38" t="s">
        <v>13</v>
      </c>
      <c r="H13" s="9" t="s">
        <v>13</v>
      </c>
      <c r="I13" s="7" t="s">
        <v>63</v>
      </c>
    </row>
    <row r="14" spans="1:21" ht="15">
      <c r="A14" s="35">
        <v>15</v>
      </c>
      <c r="B14" s="36" t="e">
        <f>Control!#REF!</f>
        <v>#REF!</v>
      </c>
      <c r="C14" s="4" t="e">
        <f>Control!#REF!</f>
        <v>#REF!</v>
      </c>
      <c r="D14" s="7" t="s">
        <v>77</v>
      </c>
      <c r="E14" s="39" t="s">
        <v>84</v>
      </c>
      <c r="F14" s="21">
        <v>40611</v>
      </c>
      <c r="G14" s="38" t="s">
        <v>13</v>
      </c>
      <c r="H14" s="9" t="s">
        <v>13</v>
      </c>
      <c r="I14" s="7" t="s">
        <v>36</v>
      </c>
    </row>
    <row r="15" spans="1:21" ht="15">
      <c r="A15" s="20">
        <v>16</v>
      </c>
      <c r="B15" s="36" t="e">
        <f>Control!#REF!</f>
        <v>#REF!</v>
      </c>
      <c r="C15" s="36" t="e">
        <f>Control!#REF!</f>
        <v>#REF!</v>
      </c>
      <c r="D15" s="7" t="s">
        <v>77</v>
      </c>
      <c r="E15" s="41" t="s">
        <v>87</v>
      </c>
      <c r="F15" s="21">
        <v>40624</v>
      </c>
      <c r="G15" s="38" t="s">
        <v>13</v>
      </c>
      <c r="H15" s="9" t="s">
        <v>13</v>
      </c>
      <c r="I15" s="7" t="s">
        <v>0</v>
      </c>
    </row>
    <row r="16" spans="1:21" ht="15">
      <c r="A16" s="35">
        <v>9</v>
      </c>
      <c r="B16" s="36" t="e">
        <f>Control!#REF!</f>
        <v>#REF!</v>
      </c>
      <c r="C16" s="36" t="e">
        <f>Control!#REF!</f>
        <v>#REF!</v>
      </c>
      <c r="D16" s="7" t="s">
        <v>13</v>
      </c>
      <c r="E16" s="41" t="s">
        <v>87</v>
      </c>
      <c r="F16" s="21">
        <v>40624</v>
      </c>
      <c r="G16" s="38" t="s">
        <v>13</v>
      </c>
      <c r="H16" s="1" t="s">
        <v>13</v>
      </c>
      <c r="I16" s="7" t="s">
        <v>0</v>
      </c>
      <c r="J16" s="18"/>
      <c r="K16" s="18"/>
      <c r="L16" s="18"/>
      <c r="N16" s="5" t="s">
        <v>83</v>
      </c>
    </row>
    <row r="17" spans="1:9" ht="15">
      <c r="A17" s="35">
        <v>10</v>
      </c>
      <c r="B17" s="36" t="e">
        <f>Control!#REF!</f>
        <v>#REF!</v>
      </c>
      <c r="C17" s="36" t="e">
        <f>Control!#REF!</f>
        <v>#REF!</v>
      </c>
      <c r="D17" s="7" t="s">
        <v>13</v>
      </c>
      <c r="E17" s="41" t="s">
        <v>87</v>
      </c>
      <c r="F17" s="21">
        <v>40624</v>
      </c>
      <c r="G17" s="38" t="s">
        <v>13</v>
      </c>
      <c r="H17" s="1" t="s">
        <v>13</v>
      </c>
      <c r="I17" s="7" t="s">
        <v>0</v>
      </c>
    </row>
    <row r="18" spans="1:9" ht="15">
      <c r="A18" s="35">
        <v>11</v>
      </c>
      <c r="B18" s="36" t="e">
        <f>Control!#REF!</f>
        <v>#REF!</v>
      </c>
      <c r="C18" s="36" t="e">
        <f>Control!#REF!</f>
        <v>#REF!</v>
      </c>
      <c r="D18" s="7" t="s">
        <v>13</v>
      </c>
      <c r="E18" s="41" t="s">
        <v>87</v>
      </c>
      <c r="F18" s="21">
        <v>40624</v>
      </c>
      <c r="G18" s="38" t="s">
        <v>13</v>
      </c>
      <c r="H18" s="1" t="s">
        <v>13</v>
      </c>
      <c r="I18" s="7" t="s">
        <v>0</v>
      </c>
    </row>
    <row r="19" spans="1:9" ht="15">
      <c r="A19" s="35">
        <v>12</v>
      </c>
      <c r="B19" s="36" t="e">
        <f>Control!#REF!</f>
        <v>#REF!</v>
      </c>
      <c r="C19" s="36" t="e">
        <f>Control!#REF!</f>
        <v>#REF!</v>
      </c>
      <c r="D19" s="7" t="s">
        <v>13</v>
      </c>
      <c r="E19" s="39" t="s">
        <v>82</v>
      </c>
      <c r="F19" s="21">
        <v>40574</v>
      </c>
      <c r="G19" s="38" t="s">
        <v>13</v>
      </c>
      <c r="H19" s="9" t="s">
        <v>13</v>
      </c>
      <c r="I19" s="7" t="s">
        <v>36</v>
      </c>
    </row>
    <row r="20" spans="1:9" ht="15">
      <c r="B20" s="36" t="e">
        <f>Control!#REF!</f>
        <v>#REF!</v>
      </c>
      <c r="C20" s="36" t="e">
        <f>Control!#REF!</f>
        <v>#REF!</v>
      </c>
      <c r="D20" s="7"/>
      <c r="E20" s="43"/>
      <c r="H20" s="9">
        <f t="shared" ref="H20:H25" ca="1" si="0">G20-TODAY()</f>
        <v>-41582</v>
      </c>
      <c r="I20" s="42"/>
    </row>
    <row r="21" spans="1:9" ht="13.8">
      <c r="D21" s="7"/>
      <c r="H21" s="9">
        <f t="shared" ca="1" si="0"/>
        <v>-41582</v>
      </c>
    </row>
    <row r="22" spans="1:9" ht="13.8">
      <c r="D22" s="7"/>
      <c r="H22" s="9">
        <f t="shared" ca="1" si="0"/>
        <v>-41582</v>
      </c>
    </row>
    <row r="23" spans="1:9" ht="13.8">
      <c r="H23" s="9">
        <f t="shared" ca="1" si="0"/>
        <v>-41582</v>
      </c>
    </row>
    <row r="24" spans="1:9" ht="13.8">
      <c r="H24" s="9">
        <f t="shared" ca="1" si="0"/>
        <v>-41582</v>
      </c>
    </row>
    <row r="25" spans="1:9" ht="13.8">
      <c r="H25" s="9">
        <f t="shared" ca="1" si="0"/>
        <v>-41582</v>
      </c>
    </row>
  </sheetData>
  <autoFilter ref="A1:L25">
    <filterColumn colId="1"/>
    <filterColumn colId="2"/>
    <filterColumn colId="3"/>
    <filterColumn colId="8"/>
  </autoFilter>
  <sortState ref="A2:L21">
    <sortCondition ref="A2:A21"/>
    <sortCondition ref="B2:B21"/>
    <sortCondition ref="F2:F21"/>
  </sortState>
  <dataConsolidate/>
  <customSheetViews>
    <customSheetView guid="{7BA9E918-F3F9-4CEB-966C-941A716ADD86}" scale="90" showPageBreaks="1" showAutoFilter="1" state="hidden">
      <pane xSplit="3" ySplit="1" topLeftCell="D5" activePane="bottomRight" state="frozen"/>
      <selection pane="bottomRight" activeCell="J19" sqref="J19"/>
      <pageMargins left="0.70866141732283472" right="0.70866141732283472" top="0.74803149606299213" bottom="0.74803149606299213" header="0.31496062992125984" footer="0.31496062992125984"/>
      <pageSetup paperSize="9" orientation="landscape" r:id="rId1"/>
      <autoFilter ref="A1:L25">
        <filterColumn colId="1"/>
        <filterColumn colId="2"/>
        <filterColumn colId="3"/>
        <filterColumn colId="8"/>
      </autoFilter>
    </customSheetView>
  </customSheetViews>
  <phoneticPr fontId="9" type="noConversion"/>
  <conditionalFormatting sqref="I2:I20">
    <cfRule type="containsText" dxfId="16" priority="75" operator="containsText" text="O+R">
      <formula>NOT(ISERROR(SEARCH("O+R",I2)))</formula>
    </cfRule>
    <cfRule type="containsText" dxfId="15" priority="76" operator="containsText" text="open">
      <formula>NOT(ISERROR(SEARCH("open",I2)))</formula>
    </cfRule>
    <cfRule type="containsText" dxfId="14" priority="78" operator="containsText" text="closed">
      <formula>NOT(ISERROR(SEARCH("closed",I2)))</formula>
    </cfRule>
  </conditionalFormatting>
  <conditionalFormatting sqref="H2:H5">
    <cfRule type="cellIs" dxfId="13" priority="73" operator="lessThan">
      <formula>48</formula>
    </cfRule>
    <cfRule type="cellIs" dxfId="12" priority="74" operator="lessThan">
      <formula>30</formula>
    </cfRule>
  </conditionalFormatting>
  <conditionalFormatting sqref="I2:I20">
    <cfRule type="containsText" dxfId="11" priority="34" operator="containsText" text="O+A">
      <formula>NOT(ISERROR(SEARCH("O+A",I2)))</formula>
    </cfRule>
    <cfRule type="containsText" dxfId="10" priority="35" operator="containsText" text="O+E">
      <formula>NOT(ISERROR(SEARCH("O+E",I2)))</formula>
    </cfRule>
  </conditionalFormatting>
  <conditionalFormatting sqref="H2:H5">
    <cfRule type="iconSet" priority="19">
      <iconSet iconSet="3Flags">
        <cfvo type="percent" val="0"/>
        <cfvo type="num" val="30" gte="0"/>
        <cfvo type="num" val="60" gte="0"/>
      </iconSet>
    </cfRule>
  </conditionalFormatting>
  <conditionalFormatting sqref="H2:H11">
    <cfRule type="iconSet" priority="104">
      <iconSet iconSet="3Flags">
        <cfvo type="percent" val="0"/>
        <cfvo type="num" val="30" gte="0"/>
        <cfvo type="num" val="60" gte="0"/>
      </iconSet>
    </cfRule>
  </conditionalFormatting>
  <conditionalFormatting sqref="H12:H25">
    <cfRule type="cellIs" dxfId="9" priority="4" operator="lessThan">
      <formula>48</formula>
    </cfRule>
    <cfRule type="cellIs" dxfId="8" priority="5" operator="lessThan">
      <formula>30</formula>
    </cfRule>
  </conditionalFormatting>
  <conditionalFormatting sqref="H12:H25">
    <cfRule type="iconSet" priority="3">
      <iconSet iconSet="3Flags">
        <cfvo type="percent" val="0"/>
        <cfvo type="num" val="30" gte="0"/>
        <cfvo type="num" val="60" gte="0"/>
      </iconSet>
    </cfRule>
  </conditionalFormatting>
  <conditionalFormatting sqref="H12:H25">
    <cfRule type="iconSet" priority="2">
      <iconSet iconSet="3Flags">
        <cfvo type="percent" val="0"/>
        <cfvo type="num" val="30" gte="0"/>
        <cfvo type="num" val="60" gte="0"/>
      </iconSet>
    </cfRule>
  </conditionalFormatting>
  <conditionalFormatting sqref="H16:H18">
    <cfRule type="iconSet" priority="1">
      <iconSet iconSet="3Flags">
        <cfvo type="percent" val="0"/>
        <cfvo type="num" val="30" gte="0"/>
        <cfvo type="num" val="60" gte="0"/>
      </iconSet>
    </cfRule>
  </conditionalFormatting>
  <dataValidations count="4">
    <dataValidation type="list" allowBlank="1" showInputMessage="1" showErrorMessage="1" sqref="I6:I20">
      <formula1>$P$3:$P$9</formula1>
    </dataValidation>
    <dataValidation type="list" allowBlank="1" showInputMessage="1" showErrorMessage="1" sqref="I2:I5">
      <formula1>$P$2:$P$9</formula1>
    </dataValidation>
    <dataValidation type="list" allowBlank="1" showInputMessage="1" showErrorMessage="1" sqref="D2:D10 D16">
      <formula1>$N$2:$N$9</formula1>
    </dataValidation>
    <dataValidation type="list" allowBlank="1" showInputMessage="1" showErrorMessage="1" sqref="D11:D15 D17:D22">
      <formula1>$N$2:$N$13</formula1>
    </dataValidation>
  </dataValidations>
  <hyperlinks>
    <hyperlink ref="E2" r:id="rId2"/>
    <hyperlink ref="E3" r:id="rId3"/>
    <hyperlink ref="E4" r:id="rId4"/>
    <hyperlink ref="E5" r:id="rId5"/>
    <hyperlink ref="E6" r:id="rId6"/>
    <hyperlink ref="E7:E9" r:id="rId7" display="QD/AAC/11-022"/>
    <hyperlink ref="E10" r:id="rId8"/>
    <hyperlink ref="E11:E13" r:id="rId9" display="email from stephen"/>
    <hyperlink ref="E14" r:id="rId10"/>
    <hyperlink ref="E15" r:id="rId11"/>
    <hyperlink ref="E17:E19" r:id="rId12" display="email from stephen"/>
    <hyperlink ref="E16:E18" r:id="rId13" display="0691/DFSL/11"/>
  </hyperlinks>
  <pageMargins left="0.70866141732283472" right="0.70866141732283472" top="0.74803149606299213" bottom="0.74803149606299213" header="0.31496062992125984" footer="0.31496062992125984"/>
  <pageSetup paperSize="9" orientation="landscape" r:id="rId14"/>
  <legacyDrawing r:id="rId15"/>
</worksheet>
</file>

<file path=xl/worksheets/sheet6.xml><?xml version="1.0" encoding="utf-8"?>
<worksheet xmlns="http://schemas.openxmlformats.org/spreadsheetml/2006/main" xmlns:r="http://schemas.openxmlformats.org/officeDocument/2006/relationships">
  <dimension ref="A1:G77"/>
  <sheetViews>
    <sheetView topLeftCell="A40" workbookViewId="0">
      <selection activeCell="C61" sqref="C61"/>
    </sheetView>
  </sheetViews>
  <sheetFormatPr defaultRowHeight="13.2"/>
  <cols>
    <col min="1" max="1" width="22.44140625" customWidth="1"/>
    <col min="2" max="2" width="17.5546875" bestFit="1" customWidth="1"/>
    <col min="3" max="3" width="12.6640625" bestFit="1" customWidth="1"/>
    <col min="4" max="6" width="8.109375" bestFit="1" customWidth="1"/>
    <col min="7" max="7" width="22.109375" bestFit="1" customWidth="1"/>
  </cols>
  <sheetData>
    <row r="1" spans="1:7" ht="14.4" thickBot="1">
      <c r="A1" s="227" t="s">
        <v>359</v>
      </c>
      <c r="B1" s="227" t="s">
        <v>360</v>
      </c>
      <c r="C1" s="227" t="s">
        <v>361</v>
      </c>
      <c r="D1" s="227" t="s">
        <v>362</v>
      </c>
      <c r="E1" s="227" t="s">
        <v>363</v>
      </c>
      <c r="F1" s="227" t="s">
        <v>364</v>
      </c>
      <c r="G1" s="227" t="s">
        <v>365</v>
      </c>
    </row>
    <row r="2" spans="1:7" ht="15" thickTop="1" thickBot="1">
      <c r="A2" s="228" t="s">
        <v>366</v>
      </c>
      <c r="B2" s="229">
        <v>1</v>
      </c>
      <c r="C2" s="229">
        <v>1</v>
      </c>
      <c r="D2" s="230">
        <v>0</v>
      </c>
      <c r="E2" s="229">
        <v>1</v>
      </c>
      <c r="F2" s="230">
        <v>0</v>
      </c>
      <c r="G2" s="229">
        <v>1</v>
      </c>
    </row>
    <row r="3" spans="1:7" ht="14.4" thickBot="1">
      <c r="A3" s="231" t="s">
        <v>367</v>
      </c>
      <c r="B3" s="232">
        <v>1</v>
      </c>
      <c r="C3" s="232">
        <v>1</v>
      </c>
      <c r="D3" s="233">
        <v>0</v>
      </c>
      <c r="E3" s="232">
        <v>1</v>
      </c>
      <c r="F3" s="233">
        <v>0</v>
      </c>
      <c r="G3" s="233">
        <v>0</v>
      </c>
    </row>
    <row r="4" spans="1:7" ht="14.4" thickBot="1">
      <c r="A4" s="231" t="s">
        <v>368</v>
      </c>
      <c r="B4" s="232">
        <v>2</v>
      </c>
      <c r="C4" s="232">
        <v>7</v>
      </c>
      <c r="D4" s="233">
        <v>0</v>
      </c>
      <c r="E4" s="232">
        <v>3</v>
      </c>
      <c r="F4" s="232">
        <v>4</v>
      </c>
      <c r="G4" s="233">
        <v>0</v>
      </c>
    </row>
    <row r="5" spans="1:7" ht="14.4" thickBot="1">
      <c r="A5" s="231" t="s">
        <v>369</v>
      </c>
      <c r="B5" s="232">
        <v>1</v>
      </c>
      <c r="C5" s="233">
        <v>2</v>
      </c>
      <c r="D5" s="233">
        <v>0</v>
      </c>
      <c r="E5" s="232">
        <v>2</v>
      </c>
      <c r="F5" s="233">
        <v>0</v>
      </c>
      <c r="G5" s="233">
        <v>0</v>
      </c>
    </row>
    <row r="6" spans="1:7" ht="14.4" thickBot="1">
      <c r="A6" s="231" t="s">
        <v>370</v>
      </c>
      <c r="B6" s="232">
        <v>3</v>
      </c>
      <c r="C6" s="232">
        <v>4</v>
      </c>
      <c r="D6" s="232">
        <v>0</v>
      </c>
      <c r="E6" s="232">
        <v>4</v>
      </c>
      <c r="F6" s="232">
        <v>0</v>
      </c>
      <c r="G6" s="232">
        <v>0</v>
      </c>
    </row>
    <row r="7" spans="1:7" ht="14.4" thickBot="1">
      <c r="A7" s="231" t="s">
        <v>371</v>
      </c>
      <c r="B7" s="234">
        <v>2</v>
      </c>
      <c r="C7" s="234">
        <v>9</v>
      </c>
      <c r="D7" s="235">
        <v>0</v>
      </c>
      <c r="E7" s="234">
        <v>9</v>
      </c>
      <c r="F7" s="235">
        <v>0</v>
      </c>
      <c r="G7" s="234">
        <v>1</v>
      </c>
    </row>
    <row r="8" spans="1:7" ht="14.4" thickBot="1">
      <c r="A8" s="231" t="s">
        <v>372</v>
      </c>
      <c r="B8" s="234">
        <v>1</v>
      </c>
      <c r="C8" s="234">
        <v>2</v>
      </c>
      <c r="D8" s="235">
        <v>0</v>
      </c>
      <c r="E8" s="234">
        <v>1</v>
      </c>
      <c r="F8" s="235">
        <v>0</v>
      </c>
      <c r="G8" s="234">
        <v>0</v>
      </c>
    </row>
    <row r="9" spans="1:7" ht="14.4" thickBot="1">
      <c r="A9" s="231" t="s">
        <v>373</v>
      </c>
      <c r="B9" s="234"/>
      <c r="C9" s="234"/>
      <c r="D9" s="235"/>
      <c r="E9" s="234"/>
      <c r="F9" s="235"/>
      <c r="G9" s="234"/>
    </row>
    <row r="10" spans="1:7" ht="14.4" thickBot="1">
      <c r="A10" s="231" t="s">
        <v>374</v>
      </c>
      <c r="B10" s="234"/>
      <c r="C10" s="234"/>
      <c r="D10" s="235"/>
      <c r="E10" s="234"/>
      <c r="F10" s="235"/>
      <c r="G10" s="234"/>
    </row>
    <row r="11" spans="1:7" ht="14.4" thickBot="1">
      <c r="A11" s="231" t="s">
        <v>375</v>
      </c>
      <c r="B11" s="234"/>
      <c r="C11" s="234"/>
      <c r="D11" s="235"/>
      <c r="E11" s="234"/>
      <c r="F11" s="235"/>
      <c r="G11" s="234"/>
    </row>
    <row r="12" spans="1:7" ht="14.4" thickBot="1">
      <c r="A12" s="231" t="s">
        <v>376</v>
      </c>
      <c r="B12" s="234"/>
      <c r="C12" s="234"/>
      <c r="D12" s="235"/>
      <c r="E12" s="234"/>
      <c r="F12" s="235"/>
      <c r="G12" s="234"/>
    </row>
    <row r="13" spans="1:7" ht="14.4" thickBot="1">
      <c r="A13" s="231" t="s">
        <v>377</v>
      </c>
      <c r="B13" s="234"/>
      <c r="C13" s="234"/>
      <c r="D13" s="235"/>
      <c r="E13" s="234"/>
      <c r="F13" s="235"/>
      <c r="G13" s="234"/>
    </row>
    <row r="14" spans="1:7" ht="13.8">
      <c r="A14" s="236" t="s">
        <v>378</v>
      </c>
      <c r="B14" s="237">
        <f>SUM(B2:B13)</f>
        <v>11</v>
      </c>
      <c r="C14" s="237">
        <f t="shared" ref="C14:G14" si="0">SUM(C2:C13)</f>
        <v>26</v>
      </c>
      <c r="D14" s="237">
        <f t="shared" si="0"/>
        <v>0</v>
      </c>
      <c r="E14" s="237">
        <f t="shared" si="0"/>
        <v>21</v>
      </c>
      <c r="F14" s="237">
        <f t="shared" si="0"/>
        <v>4</v>
      </c>
      <c r="G14" s="237">
        <f t="shared" si="0"/>
        <v>2</v>
      </c>
    </row>
    <row r="32" spans="1:2">
      <c r="A32" s="239" t="s">
        <v>379</v>
      </c>
      <c r="B32" s="239" t="s">
        <v>380</v>
      </c>
    </row>
    <row r="33" spans="1:2">
      <c r="A33" s="4" t="s">
        <v>155</v>
      </c>
      <c r="B33" s="238">
        <f>COUNTIF(Control!$G$2:$G$999,'2013 Analysis'!A33)</f>
        <v>12</v>
      </c>
    </row>
    <row r="34" spans="1:2">
      <c r="A34" s="4" t="s">
        <v>388</v>
      </c>
      <c r="B34" s="238">
        <f>COUNTIF(Control!$G$2:$G$999,'2013 Analysis'!A34)</f>
        <v>1</v>
      </c>
    </row>
    <row r="35" spans="1:2">
      <c r="A35" s="4" t="s">
        <v>320</v>
      </c>
      <c r="B35" s="238">
        <f>COUNTIF(Control!$G$2:$G$999,'2013 Analysis'!A35)</f>
        <v>1</v>
      </c>
    </row>
    <row r="36" spans="1:2">
      <c r="A36" s="4" t="s">
        <v>387</v>
      </c>
      <c r="B36" s="238">
        <f>COUNTIF(Control!$G$2:$G$999,'2013 Analysis'!A36)</f>
        <v>1</v>
      </c>
    </row>
    <row r="37" spans="1:2">
      <c r="A37" s="4" t="s">
        <v>337</v>
      </c>
      <c r="B37" s="238">
        <f>COUNTIF(Control!$G$2:$G$999,'2013 Analysis'!A37)</f>
        <v>1</v>
      </c>
    </row>
    <row r="38" spans="1:2">
      <c r="A38" s="4" t="s">
        <v>156</v>
      </c>
      <c r="B38" s="238">
        <f>COUNTIF(Control!$G$2:$G$999,'2013 Analysis'!A38)</f>
        <v>4</v>
      </c>
    </row>
    <row r="39" spans="1:2">
      <c r="A39" s="4" t="s">
        <v>424</v>
      </c>
      <c r="B39" s="238">
        <f>COUNTIF(Control!$G$2:$G$999,'2013 Analysis'!A39)</f>
        <v>1</v>
      </c>
    </row>
    <row r="40" spans="1:2">
      <c r="A40" s="4" t="s">
        <v>458</v>
      </c>
      <c r="B40" s="238">
        <f>COUNTIF(Control!$G$2:$G$999,'2013 Analysis'!A40)</f>
        <v>2</v>
      </c>
    </row>
    <row r="41" spans="1:2">
      <c r="A41" s="4" t="s">
        <v>422</v>
      </c>
      <c r="B41" s="238">
        <f>COUNTIF(Control!$G$2:$G$999,'2013 Analysis'!A41)</f>
        <v>3</v>
      </c>
    </row>
    <row r="42" spans="1:2">
      <c r="A42" s="4" t="s">
        <v>423</v>
      </c>
      <c r="B42" s="238">
        <f>COUNTIF(Control!$G$2:$G$999,'2013 Analysis'!A42)</f>
        <v>1</v>
      </c>
    </row>
    <row r="43" spans="1:2">
      <c r="A43" s="10" t="s">
        <v>541</v>
      </c>
      <c r="B43" s="238">
        <f>COUNTIF(Control!$G$2:$G$999,'2013 Analysis'!A43)</f>
        <v>1</v>
      </c>
    </row>
    <row r="44" spans="1:2" ht="26.4">
      <c r="A44" s="4" t="s">
        <v>542</v>
      </c>
      <c r="B44" s="238">
        <f>COUNTIF(Control!$G$2:$G$999,'2013 Analysis'!A44)</f>
        <v>1</v>
      </c>
    </row>
    <row r="45" spans="1:2">
      <c r="A45" s="4" t="s">
        <v>543</v>
      </c>
      <c r="B45" s="238">
        <f>COUNTIF(Control!$G$2:$G$999,'2013 Analysis'!A45)</f>
        <v>1</v>
      </c>
    </row>
    <row r="46" spans="1:2" ht="26.4">
      <c r="A46" s="10" t="s">
        <v>622</v>
      </c>
      <c r="B46" s="238">
        <f>COUNTIF(Control!$G$2:$G$999,'2013 Analysis'!A46)</f>
        <v>1</v>
      </c>
    </row>
    <row r="47" spans="1:2">
      <c r="A47" s="10"/>
    </row>
    <row r="48" spans="1:2">
      <c r="A48" s="10"/>
    </row>
    <row r="54" spans="1:6">
      <c r="A54" s="240" t="s">
        <v>386</v>
      </c>
      <c r="B54" s="241" t="s">
        <v>381</v>
      </c>
      <c r="C54" s="241" t="s">
        <v>382</v>
      </c>
      <c r="D54" s="241" t="s">
        <v>383</v>
      </c>
      <c r="E54" s="241" t="s">
        <v>384</v>
      </c>
      <c r="F54" s="241" t="s">
        <v>385</v>
      </c>
    </row>
    <row r="55" spans="1:6">
      <c r="A55" s="4" t="s">
        <v>155</v>
      </c>
      <c r="B55" s="241">
        <f>COUNTIFS(Control!$E$2:$E$142,'2013 Analysis'!$B$54,Control!$G$2:$G$142,'2013 Analysis'!$A$55)</f>
        <v>1</v>
      </c>
      <c r="C55" s="241">
        <f>COUNTIFS(Control!$E$2:$E$142,'2013 Analysis'!$C$54,Control!$G$2:$G$142,'2013 Analysis'!$A$55)</f>
        <v>1</v>
      </c>
      <c r="D55" s="241">
        <f>COUNTIFS(Control!$E$2:$E$142,'2013 Analysis'!$D$54,Control!$G$2:$G$142,'2013 Analysis'!$A$55)</f>
        <v>10</v>
      </c>
      <c r="E55" s="241">
        <f>COUNTIFS(Control!$E$2:$E$142,'2013 Analysis'!$E$54,Control!$G$2:$G$142,'2013 Analysis'!$A$55)</f>
        <v>0</v>
      </c>
      <c r="F55" s="241">
        <f>COUNTIFS(Control!$E$2:$E$142,'2013 Analysis'!$F$54,Control!$G$2:$G$142,'2013 Analysis'!$A$55)</f>
        <v>0</v>
      </c>
    </row>
    <row r="56" spans="1:6">
      <c r="A56" s="4" t="s">
        <v>388</v>
      </c>
      <c r="B56" s="241">
        <f>COUNTIFS(Control!$E$2:$E$142,'2013 Analysis'!$B$54,Control!$G$2:$G$142,'2013 Analysis'!$A$56)</f>
        <v>0</v>
      </c>
      <c r="C56" s="241">
        <f>COUNTIFS(Control!$E$2:$E$142,'2013 Analysis'!$C$54,Control!$G$2:$G$142,'2013 Analysis'!$A$56)</f>
        <v>0</v>
      </c>
      <c r="D56" s="241">
        <f>COUNTIFS(Control!$E$2:$E$142,'2013 Analysis'!$D$54,Control!$G$2:$G$142,'2013 Analysis'!$A$56)</f>
        <v>1</v>
      </c>
      <c r="E56" s="241">
        <f>COUNTIFS(Control!$E$2:$E$142,'2013 Analysis'!$E$54,Control!$G$2:$G$142,'2013 Analysis'!$A$56)</f>
        <v>0</v>
      </c>
      <c r="F56" s="241">
        <f>COUNTIFS(Control!$E$2:$E$142,'2013 Analysis'!$F$54,Control!$G$2:$G$142,'2013 Analysis'!$A$56)</f>
        <v>0</v>
      </c>
    </row>
    <row r="57" spans="1:6">
      <c r="A57" s="4" t="s">
        <v>617</v>
      </c>
      <c r="B57" s="241">
        <f>COUNTIFS(Control!$E$2:$E$142,'2013 Analysis'!$B$54,Control!$G$2:$G$142,'2013 Analysis'!$A$57)</f>
        <v>0</v>
      </c>
      <c r="C57" s="241">
        <f>COUNTIFS(Control!$E$2:$E$142,'2013 Analysis'!$C$54,Control!$G$2:$G$142,'2013 Analysis'!$A$57)</f>
        <v>3</v>
      </c>
      <c r="D57" s="241">
        <f>COUNTIFS(Control!$E$2:$E$142,'2013 Analysis'!$D$54,Control!$G$2:$G$142,'2013 Analysis'!$A$57)</f>
        <v>0</v>
      </c>
      <c r="E57" s="241">
        <f>COUNTIFS(Control!$E$2:$E$142,'2013 Analysis'!$E$54,Control!$G$2:$G$142,'2013 Analysis'!$A$57)</f>
        <v>0</v>
      </c>
      <c r="F57" s="241">
        <f>COUNTIFS(Control!$E$2:$E$142,'2013 Analysis'!$F$54,Control!$G$2:$G$142,'2013 Analysis'!$A$57)</f>
        <v>0</v>
      </c>
    </row>
    <row r="58" spans="1:6">
      <c r="A58" s="4" t="s">
        <v>320</v>
      </c>
      <c r="B58" s="241">
        <f>COUNTIFS(Control!$E$2:$E$142,'2013 Analysis'!$B$54,Control!$G$2:$G$142,'2013 Analysis'!$A$58)</f>
        <v>1</v>
      </c>
      <c r="C58" s="241">
        <f>COUNTIFS(Control!$E$2:$E$142,'2013 Analysis'!$C$54,Control!$G$2:$G$142,'2013 Analysis'!$A$58)</f>
        <v>0</v>
      </c>
      <c r="D58" s="241">
        <f>COUNTIFS(Control!$E$2:$E$142,'2013 Analysis'!$D$54,Control!$G$2:$G$142,'2013 Analysis'!$A$58)</f>
        <v>0</v>
      </c>
      <c r="E58" s="241">
        <f>COUNTIFS(Control!$E$2:$E$142,'2013 Analysis'!$E$54,Control!$G$2:$G$142,'2013 Analysis'!$A$58)</f>
        <v>0</v>
      </c>
      <c r="F58" s="241">
        <f>COUNTIFS(Control!$E$2:$E$142,'2013 Analysis'!$F$54,Control!$G$2:$G$142,'2013 Analysis'!$A$58)</f>
        <v>0</v>
      </c>
    </row>
    <row r="59" spans="1:6">
      <c r="A59" s="4" t="s">
        <v>387</v>
      </c>
      <c r="B59" s="241">
        <f>COUNTIFS(Control!$E$2:$E$142,'2013 Analysis'!$B$54,Control!$G$2:$G$142,'2013 Analysis'!$A$59)</f>
        <v>0</v>
      </c>
      <c r="C59" s="241">
        <f>COUNTIFS(Control!$E$2:$E$142,'2013 Analysis'!$C$54,Control!$G$2:$G$142,'2013 Analysis'!$A$59)</f>
        <v>0</v>
      </c>
      <c r="D59" s="241">
        <f>COUNTIFS(Control!$E$2:$E$142,'2013 Analysis'!$D$54,Control!$G$2:$G$142,'2013 Analysis'!$A$59)</f>
        <v>0</v>
      </c>
      <c r="E59" s="241">
        <f>COUNTIFS(Control!$E$2:$E$142,'2013 Analysis'!$E$54,Control!$G$2:$G$142,'2013 Analysis'!$A$59)</f>
        <v>0</v>
      </c>
      <c r="F59" s="241">
        <f>COUNTIFS(Control!$E$2:$E$142,'2013 Analysis'!$F$54,Control!$G$2:$G$142,'2013 Analysis'!$A$59)</f>
        <v>1</v>
      </c>
    </row>
    <row r="60" spans="1:6">
      <c r="A60" s="4" t="s">
        <v>337</v>
      </c>
      <c r="B60" s="241">
        <f>COUNTIFS(Control!$E$2:$E$142,'2013 Analysis'!$B$54,Control!$G$2:$G$142,'2013 Analysis'!$A$60)</f>
        <v>0</v>
      </c>
      <c r="C60" s="241">
        <f>COUNTIFS(Control!$E$2:$E$142,'2013 Analysis'!$C$54,Control!$G$2:$G$142,'2013 Analysis'!$A$60)</f>
        <v>0</v>
      </c>
      <c r="D60" s="241">
        <f>COUNTIFS(Control!$E$2:$E$142,'2013 Analysis'!$D$54,Control!$G$2:$G$142,'2013 Analysis'!$A$60)</f>
        <v>1</v>
      </c>
      <c r="E60" s="241">
        <f>COUNTIFS(Control!$E$2:$E$142,'2013 Analysis'!$E$54,Control!$G$2:$G$142,'2013 Analysis'!$A$60)</f>
        <v>0</v>
      </c>
      <c r="F60" s="241">
        <f>COUNTIFS(Control!$E$2:$E$142,'2013 Analysis'!$F$54,Control!$G$2:$G$142,'2013 Analysis'!$A$60)</f>
        <v>0</v>
      </c>
    </row>
    <row r="61" spans="1:6">
      <c r="A61" s="4" t="s">
        <v>156</v>
      </c>
      <c r="B61" s="241">
        <f>COUNTIFS(Control!$E$2:$E$142,'2013 Analysis'!$B$54,Control!$G$2:$G$142,'2013 Analysis'!$A$61)</f>
        <v>0</v>
      </c>
      <c r="C61" s="241">
        <f>COUNTIFS(Control!$E$2:$E$142,'2013 Analysis'!$C$54,Control!$G$2:$G$142,'2013 Analysis'!$A$61)</f>
        <v>1</v>
      </c>
      <c r="D61" s="241">
        <f>COUNTIFS(Control!$E$2:$E$142,'2013 Analysis'!$D$54,Control!$G$2:$G$142,'2013 Analysis'!$A$61)</f>
        <v>3</v>
      </c>
      <c r="E61" s="241">
        <f>COUNTIFS(Control!$E$2:$E$142,'2013 Analysis'!$E$54,Control!$G$2:$G$142,'2013 Analysis'!$A$61)</f>
        <v>0</v>
      </c>
      <c r="F61" s="241">
        <f>COUNTIFS(Control!$E$2:$E$142,'2013 Analysis'!$F$54,Control!$G$2:$G$142,'2013 Analysis'!$A$61)</f>
        <v>0</v>
      </c>
    </row>
    <row r="62" spans="1:6">
      <c r="A62" s="4" t="s">
        <v>424</v>
      </c>
      <c r="B62" s="241">
        <f>COUNTIFS(Control!$E$2:$E$142,'2013 Analysis'!$B$54,Control!$G$2:$G$142,'2013 Analysis'!$A$62)</f>
        <v>1</v>
      </c>
      <c r="C62" s="241">
        <f>COUNTIFS(Control!$E$2:$E$142,'2013 Analysis'!$C$54,Control!$G$2:$G$142,'2013 Analysis'!$A$62)</f>
        <v>0</v>
      </c>
      <c r="D62" s="241">
        <f>COUNTIFS(Control!$E$2:$E$142,'2013 Analysis'!$D$54,Control!$G$2:$G$142,'2013 Analysis'!$A$62)</f>
        <v>0</v>
      </c>
      <c r="E62" s="241">
        <f>COUNTIFS(Control!$E$2:$E$142,'2013 Analysis'!$E$54,Control!$G$2:$G$142,'2013 Analysis'!$A$62)</f>
        <v>0</v>
      </c>
      <c r="F62" s="241">
        <f>COUNTIFS(Control!$E$2:$E$142,'2013 Analysis'!$F$54,Control!$G$2:$G$142,'2013 Analysis'!$A$62)</f>
        <v>0</v>
      </c>
    </row>
    <row r="63" spans="1:6">
      <c r="A63" s="4" t="s">
        <v>458</v>
      </c>
      <c r="B63" s="241">
        <f>COUNTIFS(Control!$E$2:$E$142,'2013 Analysis'!$B$54,Control!$G$2:$G$142,'2013 Analysis'!$A$63)</f>
        <v>0</v>
      </c>
      <c r="C63" s="241">
        <f>COUNTIFS(Control!$E$2:$E$142,'2013 Analysis'!$C$54,Control!$G$2:$G$142,'2013 Analysis'!$A$63)</f>
        <v>0</v>
      </c>
      <c r="D63" s="241">
        <f>COUNTIFS(Control!$E$2:$E$142,'2013 Analysis'!$D$54,Control!$G$2:$G$142,'2013 Analysis'!$A$63)</f>
        <v>2</v>
      </c>
      <c r="E63" s="241">
        <f>COUNTIFS(Control!$E$2:$E$142,'2013 Analysis'!$E$54,Control!$G$2:$G$142,'2013 Analysis'!$A$63)</f>
        <v>0</v>
      </c>
      <c r="F63" s="241">
        <f>COUNTIFS(Control!$E$2:$E$142,'2013 Analysis'!$F$54,Control!$G$2:$G$142,'2013 Analysis'!$A$63)</f>
        <v>0</v>
      </c>
    </row>
    <row r="64" spans="1:6">
      <c r="A64" s="4" t="s">
        <v>422</v>
      </c>
      <c r="B64" s="241">
        <f>COUNTIFS(Control!$E$2:$E$142,'2013 Analysis'!$B$54,Control!$G$2:$G$142,'2013 Analysis'!$A$64)</f>
        <v>0</v>
      </c>
      <c r="C64" s="241">
        <f>COUNTIFS(Control!$E$2:$E$142,'2013 Analysis'!$C$54,Control!$G$2:$G$142,'2013 Analysis'!$A$64)</f>
        <v>2</v>
      </c>
      <c r="D64" s="241">
        <f>COUNTIFS(Control!$E$2:$E$142,'2013 Analysis'!$D$54,Control!$G$2:$G$142,'2013 Analysis'!$A$64)</f>
        <v>0</v>
      </c>
      <c r="E64" s="241">
        <f>COUNTIFS(Control!$E$2:$E$142,'2013 Analysis'!$E$54,Control!$G$2:$G$142,'2013 Analysis'!$A$64)</f>
        <v>1</v>
      </c>
      <c r="F64" s="241">
        <f>COUNTIFS(Control!$E$2:$E$142,'2013 Analysis'!$F$54,Control!$G$2:$G$142,'2013 Analysis'!$A$64)</f>
        <v>0</v>
      </c>
    </row>
    <row r="65" spans="1:6">
      <c r="A65" s="4" t="s">
        <v>423</v>
      </c>
      <c r="B65" s="241">
        <f>COUNTIFS(Control!$E$2:$E$142,'2013 Analysis'!$B$54,Control!$G$2:$G$142,'2013 Analysis'!$A$65)</f>
        <v>0</v>
      </c>
      <c r="C65" s="241">
        <f>COUNTIFS(Control!$E$2:$E$142,'2013 Analysis'!$C$54,Control!$G$2:$G$142,'2013 Analysis'!$A$65)</f>
        <v>1</v>
      </c>
      <c r="D65" s="241">
        <f>COUNTIFS(Control!$E$2:$E$142,'2013 Analysis'!$D$54,Control!$G$2:$G$142,'2013 Analysis'!$A$65)</f>
        <v>0</v>
      </c>
      <c r="E65" s="241">
        <f>COUNTIFS(Control!$E$2:$E$142,'2013 Analysis'!$E$54,Control!$G$2:$G$142,'2013 Analysis'!$A$65)</f>
        <v>0</v>
      </c>
      <c r="F65" s="241">
        <f>COUNTIFS(Control!$E$2:$E$142,'2013 Analysis'!$F$54,Control!$G$2:$G$142,'2013 Analysis'!$A$65)</f>
        <v>0</v>
      </c>
    </row>
    <row r="66" spans="1:6">
      <c r="A66" s="4" t="s">
        <v>541</v>
      </c>
      <c r="B66" s="241">
        <f>COUNTIFS(Control!$E$2:$E$142,'2013 Analysis'!$B$54,Control!$G$2:$G$142,'2013 Analysis'!$A$66)</f>
        <v>1</v>
      </c>
      <c r="C66" s="241">
        <f>COUNTIFS(Control!$E$2:$E$142,'2013 Analysis'!$C$54,Control!$G$2:$G$142,'2013 Analysis'!$A$66)</f>
        <v>0</v>
      </c>
      <c r="D66" s="241">
        <f>COUNTIFS(Control!$E$2:$E$142,'2013 Analysis'!$D$54,Control!$G$2:$G$142,'2013 Analysis'!$A$66)</f>
        <v>0</v>
      </c>
      <c r="E66" s="241">
        <f>COUNTIFS(Control!$E$2:$E$142,'2013 Analysis'!$E$54,Control!$G$2:$G$142,'2013 Analysis'!$A$66)</f>
        <v>0</v>
      </c>
      <c r="F66" s="241">
        <f>COUNTIFS(Control!$E$2:$E$142,'2013 Analysis'!$F$54,Control!$G$2:$G$142,'2013 Analysis'!$A$66)</f>
        <v>0</v>
      </c>
    </row>
    <row r="67" spans="1:6" ht="26.4">
      <c r="A67" s="4" t="s">
        <v>542</v>
      </c>
      <c r="B67" s="241">
        <f>COUNTIFS(Control!$E$2:$E$142,'2013 Analysis'!$B$54,Control!$G$2:$G$142,'2013 Analysis'!$A$67)</f>
        <v>0</v>
      </c>
      <c r="C67" s="241">
        <f>COUNTIFS(Control!$E$2:$E$142,'2013 Analysis'!$C$54,Control!$G$2:$G$142,'2013 Analysis'!$A$67)</f>
        <v>0</v>
      </c>
      <c r="D67" s="241">
        <f>COUNTIFS(Control!$E$2:$E$142,'2013 Analysis'!$D$54,Control!$G$2:$G$142,'2013 Analysis'!$A$67)</f>
        <v>1</v>
      </c>
      <c r="E67" s="241">
        <f>COUNTIFS(Control!$E$2:$E$142,'2013 Analysis'!$E$54,Control!$G$2:$G$142,'2013 Analysis'!$A$67)</f>
        <v>0</v>
      </c>
      <c r="F67" s="241">
        <f>COUNTIFS(Control!$E$2:$E$142,'2013 Analysis'!$F$54,Control!$G$2:$G$142,'2013 Analysis'!$A$67)</f>
        <v>0</v>
      </c>
    </row>
    <row r="68" spans="1:6">
      <c r="A68" s="10" t="s">
        <v>623</v>
      </c>
      <c r="B68" s="241">
        <f>COUNTIFS(Control!$E$2:$E$142,'2013 Analysis'!$B$54,Control!$G$2:$G$142,'2013 Analysis'!$A$68)</f>
        <v>0</v>
      </c>
      <c r="C68" s="241">
        <f>COUNTIFS(Control!$E$2:$E$142,'2013 Analysis'!$C$54,Control!$G$2:$G$142,'2013 Analysis'!$A$68)</f>
        <v>1</v>
      </c>
      <c r="D68" s="241">
        <f>COUNTIFS(Control!$E$2:$E$142,'2013 Analysis'!$D$54,Control!$G$2:$G$142,'2013 Analysis'!$A$68)</f>
        <v>0</v>
      </c>
      <c r="E68" s="241">
        <f>COUNTIFS(Control!$E$2:$E$142,'2013 Analysis'!$E$54,Control!$G$2:$G$142,'2013 Analysis'!$A$68)</f>
        <v>0</v>
      </c>
      <c r="F68" s="241">
        <f>COUNTIFS(Control!$E$2:$E$142,'2013 Analysis'!$F$54,Control!$G$2:$G$142,'2013 Analysis'!$A$68)</f>
        <v>0</v>
      </c>
    </row>
    <row r="69" spans="1:6" ht="26.4">
      <c r="A69" s="10" t="s">
        <v>622</v>
      </c>
      <c r="B69" s="241">
        <f>COUNTIFS(Control!$E$2:$E$142,'2013 Analysis'!$B$54,Control!$G$2:$G$142,'2013 Analysis'!$A$69)</f>
        <v>0</v>
      </c>
      <c r="C69" s="241">
        <f>COUNTIFS(Control!$E$2:$E$142,'2013 Analysis'!$C$54,Control!$G$2:$G$142,'2013 Analysis'!$A$69)</f>
        <v>1</v>
      </c>
      <c r="D69" s="241">
        <f>COUNTIFS(Control!$E$2:$E$142,'2013 Analysis'!$D$54,Control!$G$2:$G$142,'2013 Analysis'!$A$69)</f>
        <v>0</v>
      </c>
      <c r="E69" s="241">
        <f>COUNTIFS(Control!$E$2:$E$142,'2013 Analysis'!$E$54,Control!$G$2:$G$142,'2013 Analysis'!$A$69)</f>
        <v>0</v>
      </c>
      <c r="F69" s="241">
        <f>COUNTIFS(Control!$E$2:$E$142,'2013 Analysis'!$F$54,Control!$G$2:$G$142,'2013 Analysis'!$A$69)</f>
        <v>0</v>
      </c>
    </row>
    <row r="70" spans="1:6">
      <c r="A70" s="4" t="s">
        <v>543</v>
      </c>
      <c r="B70" s="241">
        <f>COUNTIFS(Control!$E$2:$E$142,'2013 Analysis'!$B$54,Control!$G$2:$G$142,'2013 Analysis'!$A$70)</f>
        <v>1</v>
      </c>
      <c r="C70" s="241">
        <f>COUNTIFS(Control!$E$2:$E$142,'2013 Analysis'!$C$54,Control!$G$2:$G$142,'2013 Analysis'!$A$70)</f>
        <v>0</v>
      </c>
      <c r="D70" s="241">
        <f>COUNTIFS(Control!$E$2:$E$142,'2013 Analysis'!$D$54,Control!$G$2:$G$142,'2013 Analysis'!$A$70)</f>
        <v>0</v>
      </c>
      <c r="E70" s="241">
        <f>COUNTIFS(Control!$E$2:$E$142,'2013 Analysis'!$E$54,Control!$G$2:$G$142,'2013 Analysis'!$A$70)</f>
        <v>0</v>
      </c>
      <c r="F70" s="241">
        <f>COUNTIFS(Control!$E$2:$E$142,'2013 Analysis'!$F$54,Control!$G$2:$G$142,'2013 Analysis'!$A$70)</f>
        <v>0</v>
      </c>
    </row>
    <row r="71" spans="1:6">
      <c r="A71" s="240" t="s">
        <v>380</v>
      </c>
      <c r="B71" s="241">
        <f>COUNTIF(Control!$E$2:$E$143,'2013 Analysis'!B54)</f>
        <v>5</v>
      </c>
      <c r="C71" s="241">
        <f>COUNTIF(Control!$E$2:$E$143,'2013 Analysis'!C54)</f>
        <v>12</v>
      </c>
      <c r="D71" s="241">
        <f>COUNTIF(Control!$E$2:$E$143,'2013 Analysis'!D54)</f>
        <v>18</v>
      </c>
      <c r="E71" s="241">
        <f>COUNTIF(Control!$E$2:$E$143,'2013 Analysis'!E54)</f>
        <v>1</v>
      </c>
      <c r="F71" s="241">
        <f>COUNTIF(Control!$E$2:$E$143,'2013 Analysis'!F54)</f>
        <v>1</v>
      </c>
    </row>
    <row r="77" spans="1:6" ht="15" customHeight="1"/>
  </sheetData>
  <phoneticPr fontId="9" type="noConversion"/>
  <pageMargins left="0.7" right="0.7" top="0.75" bottom="0.75" header="0.3" footer="0.3"/>
  <pageSetup paperSize="9" orientation="portrait" r:id="rId1"/>
  <ignoredErrors>
    <ignoredError sqref="D58:D65 D55:D56"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Sheet2</vt:lpstr>
      <vt:lpstr>Control</vt:lpstr>
      <vt:lpstr>2012~2011 Analysis</vt:lpstr>
      <vt:lpstr>2011~2010 Analysis</vt:lpstr>
      <vt:lpstr>Follow-up</vt:lpstr>
      <vt:lpstr>2013 Analysis</vt:lpstr>
      <vt:lpstr>'2011~2010 Analysis'!Print_Area</vt:lpstr>
      <vt:lpstr>'2012~2011 Analysis'!Print_Area</vt:lpstr>
      <vt:lpstr>Control!Print_Area</vt:lpstr>
      <vt:lpstr>Control!Print_Titles</vt:lpstr>
      <vt:lpstr>'Follow-up'!Print_Titles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ENMWZN</cp:lastModifiedBy>
  <cp:lastPrinted>2013-05-22T11:08:43Z</cp:lastPrinted>
  <dcterms:created xsi:type="dcterms:W3CDTF">2009-09-13T01:39:10Z</dcterms:created>
  <dcterms:modified xsi:type="dcterms:W3CDTF">2013-11-04T10:22:23Z</dcterms:modified>
</cp:coreProperties>
</file>