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efebv\Downloads\P_17458_12D3 MS_TSMEL_Préparation de commandes_Cas SAFERIEN\"/>
    </mc:Choice>
  </mc:AlternateContent>
  <xr:revisionPtr revIDLastSave="0" documentId="13_ncr:1_{6A8EA22F-D912-42DE-9A95-97CF421D38A4}" xr6:coauthVersionLast="47" xr6:coauthVersionMax="47" xr10:uidLastSave="{00000000-0000-0000-0000-000000000000}"/>
  <bookViews>
    <workbookView xWindow="-120" yWindow="-120" windowWidth="29040" windowHeight="15840" tabRatio="892" xr2:uid="{00000000-000D-0000-FFFF-FFFF00000000}"/>
  </bookViews>
  <sheets>
    <sheet name="1 PREP - 1 CDE" sheetId="16" r:id="rId1"/>
    <sheet name="1 PREP - PLUSIEURS CDES MONO" sheetId="19" r:id="rId2"/>
    <sheet name="1 PREP - PLUSIEURS CDES MULTI" sheetId="20" r:id="rId3"/>
    <sheet name="RECAP SOLUTIONS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7" l="1"/>
  <c r="I8" i="17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3" i="20"/>
  <c r="J20" i="20"/>
  <c r="F11" i="17" s="1"/>
  <c r="L19" i="20"/>
  <c r="K19" i="20"/>
  <c r="H19" i="20"/>
  <c r="I19" i="20" s="1"/>
  <c r="L18" i="20"/>
  <c r="K18" i="20"/>
  <c r="H18" i="20"/>
  <c r="I18" i="20" s="1"/>
  <c r="L17" i="20"/>
  <c r="K17" i="20"/>
  <c r="H17" i="20"/>
  <c r="I17" i="20" s="1"/>
  <c r="L16" i="20"/>
  <c r="K16" i="20"/>
  <c r="H16" i="20"/>
  <c r="I16" i="20" s="1"/>
  <c r="L15" i="20"/>
  <c r="K15" i="20"/>
  <c r="H15" i="20"/>
  <c r="I15" i="20" s="1"/>
  <c r="L14" i="20"/>
  <c r="K14" i="20"/>
  <c r="H14" i="20"/>
  <c r="I14" i="20" s="1"/>
  <c r="L13" i="20"/>
  <c r="K13" i="20"/>
  <c r="H13" i="20"/>
  <c r="I13" i="20" s="1"/>
  <c r="L12" i="20"/>
  <c r="K12" i="20"/>
  <c r="H12" i="20"/>
  <c r="I12" i="20" s="1"/>
  <c r="L11" i="20"/>
  <c r="K11" i="20"/>
  <c r="H11" i="20"/>
  <c r="I11" i="20" s="1"/>
  <c r="L10" i="20"/>
  <c r="K10" i="20"/>
  <c r="H10" i="20"/>
  <c r="I10" i="20" s="1"/>
  <c r="L9" i="20"/>
  <c r="K9" i="20"/>
  <c r="H9" i="20"/>
  <c r="I9" i="20" s="1"/>
  <c r="L8" i="20"/>
  <c r="K8" i="20"/>
  <c r="H8" i="20"/>
  <c r="I8" i="20" s="1"/>
  <c r="L7" i="20"/>
  <c r="K7" i="20"/>
  <c r="H7" i="20"/>
  <c r="I7" i="20" s="1"/>
  <c r="L6" i="20"/>
  <c r="K6" i="20"/>
  <c r="H6" i="20"/>
  <c r="I6" i="20" s="1"/>
  <c r="L5" i="20"/>
  <c r="K5" i="20"/>
  <c r="H5" i="20"/>
  <c r="I5" i="20" s="1"/>
  <c r="L4" i="20"/>
  <c r="K4" i="20"/>
  <c r="H4" i="20"/>
  <c r="I4" i="20" s="1"/>
  <c r="M3" i="20"/>
  <c r="M20" i="20" s="1"/>
  <c r="L3" i="20"/>
  <c r="K3" i="20"/>
  <c r="H3" i="20"/>
  <c r="I3" i="20" s="1"/>
  <c r="J104" i="19"/>
  <c r="F8" i="17" s="1"/>
  <c r="L103" i="19"/>
  <c r="K103" i="19"/>
  <c r="H103" i="19"/>
  <c r="I103" i="19" s="1"/>
  <c r="N103" i="19" s="1"/>
  <c r="F103" i="19"/>
  <c r="L102" i="19"/>
  <c r="K102" i="19"/>
  <c r="H102" i="19"/>
  <c r="I102" i="19" s="1"/>
  <c r="F102" i="19"/>
  <c r="L101" i="19"/>
  <c r="K101" i="19"/>
  <c r="H101" i="19"/>
  <c r="I101" i="19" s="1"/>
  <c r="F101" i="19"/>
  <c r="L100" i="19"/>
  <c r="K100" i="19"/>
  <c r="H100" i="19"/>
  <c r="I100" i="19" s="1"/>
  <c r="F100" i="19"/>
  <c r="L99" i="19"/>
  <c r="K99" i="19"/>
  <c r="H99" i="19"/>
  <c r="I99" i="19" s="1"/>
  <c r="F99" i="19"/>
  <c r="L98" i="19"/>
  <c r="K98" i="19"/>
  <c r="H98" i="19"/>
  <c r="I98" i="19" s="1"/>
  <c r="F98" i="19"/>
  <c r="L97" i="19"/>
  <c r="K97" i="19"/>
  <c r="H97" i="19"/>
  <c r="I97" i="19" s="1"/>
  <c r="F97" i="19"/>
  <c r="L96" i="19"/>
  <c r="K96" i="19"/>
  <c r="H96" i="19"/>
  <c r="I96" i="19" s="1"/>
  <c r="F96" i="19"/>
  <c r="L95" i="19"/>
  <c r="K95" i="19"/>
  <c r="H95" i="19"/>
  <c r="I95" i="19" s="1"/>
  <c r="F95" i="19"/>
  <c r="L94" i="19"/>
  <c r="K94" i="19"/>
  <c r="H94" i="19"/>
  <c r="I94" i="19" s="1"/>
  <c r="F94" i="19"/>
  <c r="L93" i="19"/>
  <c r="K93" i="19"/>
  <c r="H93" i="19"/>
  <c r="I93" i="19" s="1"/>
  <c r="F93" i="19"/>
  <c r="L92" i="19"/>
  <c r="K92" i="19"/>
  <c r="H92" i="19"/>
  <c r="I92" i="19" s="1"/>
  <c r="F92" i="19"/>
  <c r="L91" i="19"/>
  <c r="K91" i="19"/>
  <c r="H91" i="19"/>
  <c r="I91" i="19" s="1"/>
  <c r="F91" i="19"/>
  <c r="L90" i="19"/>
  <c r="K90" i="19"/>
  <c r="H90" i="19"/>
  <c r="I90" i="19" s="1"/>
  <c r="F90" i="19"/>
  <c r="L89" i="19"/>
  <c r="K89" i="19"/>
  <c r="H89" i="19"/>
  <c r="I89" i="19" s="1"/>
  <c r="F89" i="19"/>
  <c r="L88" i="19"/>
  <c r="K88" i="19"/>
  <c r="H88" i="19"/>
  <c r="I88" i="19" s="1"/>
  <c r="F88" i="19"/>
  <c r="L87" i="19"/>
  <c r="K87" i="19"/>
  <c r="H87" i="19"/>
  <c r="I87" i="19" s="1"/>
  <c r="F87" i="19"/>
  <c r="L86" i="19"/>
  <c r="K86" i="19"/>
  <c r="H86" i="19"/>
  <c r="I86" i="19" s="1"/>
  <c r="F86" i="19"/>
  <c r="L85" i="19"/>
  <c r="K85" i="19"/>
  <c r="H85" i="19"/>
  <c r="I85" i="19" s="1"/>
  <c r="F85" i="19"/>
  <c r="L84" i="19"/>
  <c r="K84" i="19"/>
  <c r="H84" i="19"/>
  <c r="I84" i="19" s="1"/>
  <c r="F84" i="19"/>
  <c r="L83" i="19"/>
  <c r="K83" i="19"/>
  <c r="H83" i="19"/>
  <c r="I83" i="19" s="1"/>
  <c r="F83" i="19"/>
  <c r="L82" i="19"/>
  <c r="K82" i="19"/>
  <c r="H82" i="19"/>
  <c r="I82" i="19" s="1"/>
  <c r="F82" i="19"/>
  <c r="L81" i="19"/>
  <c r="K81" i="19"/>
  <c r="H81" i="19"/>
  <c r="I81" i="19" s="1"/>
  <c r="F81" i="19"/>
  <c r="L80" i="19"/>
  <c r="K80" i="19"/>
  <c r="H80" i="19"/>
  <c r="I80" i="19" s="1"/>
  <c r="F80" i="19"/>
  <c r="L79" i="19"/>
  <c r="K79" i="19"/>
  <c r="H79" i="19"/>
  <c r="I79" i="19" s="1"/>
  <c r="F79" i="19"/>
  <c r="L78" i="19"/>
  <c r="K78" i="19"/>
  <c r="H78" i="19"/>
  <c r="I78" i="19" s="1"/>
  <c r="F78" i="19"/>
  <c r="L77" i="19"/>
  <c r="K77" i="19"/>
  <c r="H77" i="19"/>
  <c r="I77" i="19" s="1"/>
  <c r="F77" i="19"/>
  <c r="L76" i="19"/>
  <c r="K76" i="19"/>
  <c r="H76" i="19"/>
  <c r="I76" i="19" s="1"/>
  <c r="F76" i="19"/>
  <c r="L75" i="19"/>
  <c r="K75" i="19"/>
  <c r="H75" i="19"/>
  <c r="I75" i="19" s="1"/>
  <c r="F75" i="19"/>
  <c r="L74" i="19"/>
  <c r="K74" i="19"/>
  <c r="H74" i="19"/>
  <c r="I74" i="19" s="1"/>
  <c r="F74" i="19"/>
  <c r="L73" i="19"/>
  <c r="K73" i="19"/>
  <c r="H73" i="19"/>
  <c r="I73" i="19" s="1"/>
  <c r="F73" i="19"/>
  <c r="L72" i="19"/>
  <c r="K72" i="19"/>
  <c r="H72" i="19"/>
  <c r="I72" i="19" s="1"/>
  <c r="F72" i="19"/>
  <c r="L71" i="19"/>
  <c r="K71" i="19"/>
  <c r="H71" i="19"/>
  <c r="I71" i="19" s="1"/>
  <c r="F71" i="19"/>
  <c r="L70" i="19"/>
  <c r="K70" i="19"/>
  <c r="H70" i="19"/>
  <c r="I70" i="19" s="1"/>
  <c r="F70" i="19"/>
  <c r="L69" i="19"/>
  <c r="K69" i="19"/>
  <c r="H69" i="19"/>
  <c r="I69" i="19" s="1"/>
  <c r="F69" i="19"/>
  <c r="L68" i="19"/>
  <c r="K68" i="19"/>
  <c r="H68" i="19"/>
  <c r="I68" i="19" s="1"/>
  <c r="F68" i="19"/>
  <c r="L67" i="19"/>
  <c r="K67" i="19"/>
  <c r="H67" i="19"/>
  <c r="I67" i="19" s="1"/>
  <c r="F67" i="19"/>
  <c r="L66" i="19"/>
  <c r="K66" i="19"/>
  <c r="H66" i="19"/>
  <c r="I66" i="19" s="1"/>
  <c r="F66" i="19"/>
  <c r="L65" i="19"/>
  <c r="K65" i="19"/>
  <c r="H65" i="19"/>
  <c r="I65" i="19" s="1"/>
  <c r="F65" i="19"/>
  <c r="L64" i="19"/>
  <c r="K64" i="19"/>
  <c r="H64" i="19"/>
  <c r="I64" i="19" s="1"/>
  <c r="F64" i="19"/>
  <c r="L63" i="19"/>
  <c r="K63" i="19"/>
  <c r="H63" i="19"/>
  <c r="I63" i="19" s="1"/>
  <c r="F63" i="19"/>
  <c r="L62" i="19"/>
  <c r="K62" i="19"/>
  <c r="H62" i="19"/>
  <c r="I62" i="19" s="1"/>
  <c r="F62" i="19"/>
  <c r="L61" i="19"/>
  <c r="K61" i="19"/>
  <c r="H61" i="19"/>
  <c r="I61" i="19" s="1"/>
  <c r="F61" i="19"/>
  <c r="L60" i="19"/>
  <c r="K60" i="19"/>
  <c r="H60" i="19"/>
  <c r="I60" i="19" s="1"/>
  <c r="F60" i="19"/>
  <c r="L59" i="19"/>
  <c r="K59" i="19"/>
  <c r="H59" i="19"/>
  <c r="I59" i="19" s="1"/>
  <c r="F59" i="19"/>
  <c r="L58" i="19"/>
  <c r="K58" i="19"/>
  <c r="H58" i="19"/>
  <c r="I58" i="19" s="1"/>
  <c r="F58" i="19"/>
  <c r="L57" i="19"/>
  <c r="K57" i="19"/>
  <c r="H57" i="19"/>
  <c r="I57" i="19" s="1"/>
  <c r="F57" i="19"/>
  <c r="L56" i="19"/>
  <c r="K56" i="19"/>
  <c r="H56" i="19"/>
  <c r="I56" i="19" s="1"/>
  <c r="F56" i="19"/>
  <c r="L55" i="19"/>
  <c r="K55" i="19"/>
  <c r="H55" i="19"/>
  <c r="I55" i="19" s="1"/>
  <c r="F55" i="19"/>
  <c r="L54" i="19"/>
  <c r="K54" i="19"/>
  <c r="H54" i="19"/>
  <c r="I54" i="19" s="1"/>
  <c r="F54" i="19"/>
  <c r="L53" i="19"/>
  <c r="K53" i="19"/>
  <c r="H53" i="19"/>
  <c r="I53" i="19" s="1"/>
  <c r="F53" i="19"/>
  <c r="L52" i="19"/>
  <c r="K52" i="19"/>
  <c r="H52" i="19"/>
  <c r="I52" i="19" s="1"/>
  <c r="F52" i="19"/>
  <c r="L51" i="19"/>
  <c r="K51" i="19"/>
  <c r="H51" i="19"/>
  <c r="I51" i="19" s="1"/>
  <c r="F51" i="19"/>
  <c r="L50" i="19"/>
  <c r="K50" i="19"/>
  <c r="H50" i="19"/>
  <c r="I50" i="19" s="1"/>
  <c r="F50" i="19"/>
  <c r="L49" i="19"/>
  <c r="K49" i="19"/>
  <c r="H49" i="19"/>
  <c r="I49" i="19" s="1"/>
  <c r="F49" i="19"/>
  <c r="L48" i="19"/>
  <c r="K48" i="19"/>
  <c r="H48" i="19"/>
  <c r="I48" i="19" s="1"/>
  <c r="F48" i="19"/>
  <c r="L47" i="19"/>
  <c r="K47" i="19"/>
  <c r="H47" i="19"/>
  <c r="I47" i="19" s="1"/>
  <c r="F47" i="19"/>
  <c r="L46" i="19"/>
  <c r="K46" i="19"/>
  <c r="H46" i="19"/>
  <c r="I46" i="19" s="1"/>
  <c r="F46" i="19"/>
  <c r="L45" i="19"/>
  <c r="K45" i="19"/>
  <c r="H45" i="19"/>
  <c r="I45" i="19" s="1"/>
  <c r="F45" i="19"/>
  <c r="L44" i="19"/>
  <c r="K44" i="19"/>
  <c r="H44" i="19"/>
  <c r="I44" i="19" s="1"/>
  <c r="F44" i="19"/>
  <c r="L43" i="19"/>
  <c r="K43" i="19"/>
  <c r="H43" i="19"/>
  <c r="I43" i="19" s="1"/>
  <c r="F43" i="19"/>
  <c r="L42" i="19"/>
  <c r="K42" i="19"/>
  <c r="H42" i="19"/>
  <c r="I42" i="19" s="1"/>
  <c r="F42" i="19"/>
  <c r="L41" i="19"/>
  <c r="K41" i="19"/>
  <c r="H41" i="19"/>
  <c r="I41" i="19" s="1"/>
  <c r="F41" i="19"/>
  <c r="L40" i="19"/>
  <c r="K40" i="19"/>
  <c r="H40" i="19"/>
  <c r="I40" i="19" s="1"/>
  <c r="F40" i="19"/>
  <c r="L39" i="19"/>
  <c r="K39" i="19"/>
  <c r="H39" i="19"/>
  <c r="I39" i="19" s="1"/>
  <c r="F39" i="19"/>
  <c r="L38" i="19"/>
  <c r="K38" i="19"/>
  <c r="H38" i="19"/>
  <c r="I38" i="19" s="1"/>
  <c r="F38" i="19"/>
  <c r="L37" i="19"/>
  <c r="K37" i="19"/>
  <c r="H37" i="19"/>
  <c r="I37" i="19" s="1"/>
  <c r="F37" i="19"/>
  <c r="L36" i="19"/>
  <c r="K36" i="19"/>
  <c r="H36" i="19"/>
  <c r="I36" i="19" s="1"/>
  <c r="F36" i="19"/>
  <c r="L35" i="19"/>
  <c r="K35" i="19"/>
  <c r="H35" i="19"/>
  <c r="I35" i="19" s="1"/>
  <c r="F35" i="19"/>
  <c r="L34" i="19"/>
  <c r="K34" i="19"/>
  <c r="H34" i="19"/>
  <c r="I34" i="19" s="1"/>
  <c r="F34" i="19"/>
  <c r="L33" i="19"/>
  <c r="K33" i="19"/>
  <c r="H33" i="19"/>
  <c r="I33" i="19" s="1"/>
  <c r="F33" i="19"/>
  <c r="L32" i="19"/>
  <c r="K32" i="19"/>
  <c r="H32" i="19"/>
  <c r="I32" i="19" s="1"/>
  <c r="F32" i="19"/>
  <c r="L31" i="19"/>
  <c r="K31" i="19"/>
  <c r="H31" i="19"/>
  <c r="I31" i="19" s="1"/>
  <c r="F31" i="19"/>
  <c r="L30" i="19"/>
  <c r="K30" i="19"/>
  <c r="H30" i="19"/>
  <c r="I30" i="19" s="1"/>
  <c r="F30" i="19"/>
  <c r="L29" i="19"/>
  <c r="K29" i="19"/>
  <c r="H29" i="19"/>
  <c r="I29" i="19" s="1"/>
  <c r="F29" i="19"/>
  <c r="L28" i="19"/>
  <c r="K28" i="19"/>
  <c r="H28" i="19"/>
  <c r="I28" i="19" s="1"/>
  <c r="F28" i="19"/>
  <c r="L27" i="19"/>
  <c r="K27" i="19"/>
  <c r="H27" i="19"/>
  <c r="I27" i="19" s="1"/>
  <c r="F27" i="19"/>
  <c r="L26" i="19"/>
  <c r="K26" i="19"/>
  <c r="H26" i="19"/>
  <c r="I26" i="19" s="1"/>
  <c r="F26" i="19"/>
  <c r="L25" i="19"/>
  <c r="K25" i="19"/>
  <c r="H25" i="19"/>
  <c r="I25" i="19" s="1"/>
  <c r="F25" i="19"/>
  <c r="L24" i="19"/>
  <c r="K24" i="19"/>
  <c r="I24" i="19"/>
  <c r="H24" i="19"/>
  <c r="F24" i="19"/>
  <c r="L23" i="19"/>
  <c r="K23" i="19"/>
  <c r="H23" i="19"/>
  <c r="I23" i="19" s="1"/>
  <c r="F23" i="19"/>
  <c r="L22" i="19"/>
  <c r="K22" i="19"/>
  <c r="H22" i="19"/>
  <c r="I22" i="19" s="1"/>
  <c r="F22" i="19"/>
  <c r="L21" i="19"/>
  <c r="K21" i="19"/>
  <c r="H21" i="19"/>
  <c r="I21" i="19" s="1"/>
  <c r="F21" i="19"/>
  <c r="L20" i="19"/>
  <c r="K20" i="19"/>
  <c r="H20" i="19"/>
  <c r="I20" i="19" s="1"/>
  <c r="F20" i="19"/>
  <c r="L19" i="19"/>
  <c r="K19" i="19"/>
  <c r="H19" i="19"/>
  <c r="I19" i="19" s="1"/>
  <c r="F19" i="19"/>
  <c r="L18" i="19"/>
  <c r="K18" i="19"/>
  <c r="H18" i="19"/>
  <c r="I18" i="19" s="1"/>
  <c r="F18" i="19"/>
  <c r="L17" i="19"/>
  <c r="K17" i="19"/>
  <c r="H17" i="19"/>
  <c r="I17" i="19" s="1"/>
  <c r="F17" i="19"/>
  <c r="L16" i="19"/>
  <c r="K16" i="19"/>
  <c r="H16" i="19"/>
  <c r="I16" i="19" s="1"/>
  <c r="F16" i="19"/>
  <c r="L15" i="19"/>
  <c r="K15" i="19"/>
  <c r="H15" i="19"/>
  <c r="I15" i="19" s="1"/>
  <c r="F15" i="19"/>
  <c r="L14" i="19"/>
  <c r="K14" i="19"/>
  <c r="H14" i="19"/>
  <c r="I14" i="19" s="1"/>
  <c r="F14" i="19"/>
  <c r="L13" i="19"/>
  <c r="K13" i="19"/>
  <c r="H13" i="19"/>
  <c r="I13" i="19" s="1"/>
  <c r="F13" i="19"/>
  <c r="L12" i="19"/>
  <c r="K12" i="19"/>
  <c r="H12" i="19"/>
  <c r="I12" i="19" s="1"/>
  <c r="F12" i="19"/>
  <c r="L11" i="19"/>
  <c r="K11" i="19"/>
  <c r="H11" i="19"/>
  <c r="I11" i="19" s="1"/>
  <c r="F11" i="19"/>
  <c r="L10" i="19"/>
  <c r="K10" i="19"/>
  <c r="H10" i="19"/>
  <c r="I10" i="19" s="1"/>
  <c r="F10" i="19"/>
  <c r="L9" i="19"/>
  <c r="K9" i="19"/>
  <c r="H9" i="19"/>
  <c r="I9" i="19" s="1"/>
  <c r="F9" i="19"/>
  <c r="L8" i="19"/>
  <c r="K8" i="19"/>
  <c r="H8" i="19"/>
  <c r="I8" i="19" s="1"/>
  <c r="F8" i="19"/>
  <c r="L7" i="19"/>
  <c r="K7" i="19"/>
  <c r="H7" i="19"/>
  <c r="I7" i="19" s="1"/>
  <c r="F7" i="19"/>
  <c r="L6" i="19"/>
  <c r="K6" i="19"/>
  <c r="H6" i="19"/>
  <c r="I6" i="19" s="1"/>
  <c r="F6" i="19"/>
  <c r="L5" i="19"/>
  <c r="K5" i="19"/>
  <c r="H5" i="19"/>
  <c r="I5" i="19" s="1"/>
  <c r="F5" i="19"/>
  <c r="L4" i="19"/>
  <c r="K4" i="19"/>
  <c r="H4" i="19"/>
  <c r="I4" i="19" s="1"/>
  <c r="F4" i="19"/>
  <c r="M3" i="19"/>
  <c r="M104" i="19" s="1"/>
  <c r="L3" i="19"/>
  <c r="K3" i="19"/>
  <c r="H3" i="19"/>
  <c r="F3" i="19"/>
  <c r="L20" i="20" l="1"/>
  <c r="H11" i="17" s="1"/>
  <c r="N15" i="20"/>
  <c r="N9" i="20"/>
  <c r="N11" i="20"/>
  <c r="N5" i="20"/>
  <c r="N13" i="20"/>
  <c r="K20" i="20"/>
  <c r="G11" i="17" s="1"/>
  <c r="N18" i="20"/>
  <c r="N8" i="20"/>
  <c r="N17" i="20"/>
  <c r="N6" i="20"/>
  <c r="N3" i="20"/>
  <c r="N10" i="20"/>
  <c r="N16" i="20"/>
  <c r="N14" i="20"/>
  <c r="N17" i="19"/>
  <c r="N19" i="19"/>
  <c r="N34" i="19"/>
  <c r="N12" i="19"/>
  <c r="N102" i="19"/>
  <c r="N33" i="19"/>
  <c r="N35" i="19"/>
  <c r="N44" i="19"/>
  <c r="N18" i="19"/>
  <c r="N49" i="19"/>
  <c r="N51" i="19"/>
  <c r="F104" i="19"/>
  <c r="C8" i="17" s="1"/>
  <c r="N8" i="19"/>
  <c r="N40" i="19"/>
  <c r="H104" i="19"/>
  <c r="D8" i="17" s="1"/>
  <c r="N6" i="19"/>
  <c r="N21" i="19"/>
  <c r="N23" i="19"/>
  <c r="N38" i="19"/>
  <c r="N53" i="19"/>
  <c r="N55" i="19"/>
  <c r="I3" i="19"/>
  <c r="N3" i="19" s="1"/>
  <c r="N10" i="19"/>
  <c r="N16" i="19"/>
  <c r="N25" i="19"/>
  <c r="N27" i="19"/>
  <c r="N42" i="19"/>
  <c r="N48" i="19"/>
  <c r="N57" i="19"/>
  <c r="N59" i="19"/>
  <c r="N61" i="19"/>
  <c r="N63" i="19"/>
  <c r="N65" i="19"/>
  <c r="N67" i="19"/>
  <c r="N69" i="19"/>
  <c r="N71" i="19"/>
  <c r="N73" i="19"/>
  <c r="N75" i="19"/>
  <c r="N77" i="19"/>
  <c r="N79" i="19"/>
  <c r="N81" i="19"/>
  <c r="N83" i="19"/>
  <c r="N85" i="19"/>
  <c r="N87" i="19"/>
  <c r="N89" i="19"/>
  <c r="N91" i="19"/>
  <c r="N93" i="19"/>
  <c r="N95" i="19"/>
  <c r="N97" i="19"/>
  <c r="N99" i="19"/>
  <c r="N101" i="19"/>
  <c r="K104" i="19"/>
  <c r="G8" i="17" s="1"/>
  <c r="N14" i="19"/>
  <c r="N20" i="19"/>
  <c r="N29" i="19"/>
  <c r="N31" i="19"/>
  <c r="N46" i="19"/>
  <c r="N52" i="19"/>
  <c r="L104" i="19"/>
  <c r="H8" i="17" s="1"/>
  <c r="N24" i="19"/>
  <c r="N50" i="19"/>
  <c r="N56" i="19"/>
  <c r="N5" i="19"/>
  <c r="N7" i="19"/>
  <c r="N22" i="19"/>
  <c r="N28" i="19"/>
  <c r="N37" i="19"/>
  <c r="N39" i="19"/>
  <c r="N54" i="19"/>
  <c r="N60" i="19"/>
  <c r="N64" i="19"/>
  <c r="N68" i="19"/>
  <c r="N72" i="19"/>
  <c r="N76" i="19"/>
  <c r="N80" i="19"/>
  <c r="N84" i="19"/>
  <c r="N88" i="19"/>
  <c r="N92" i="19"/>
  <c r="N96" i="19"/>
  <c r="N100" i="19"/>
  <c r="N9" i="19"/>
  <c r="N11" i="19"/>
  <c r="N26" i="19"/>
  <c r="N32" i="19"/>
  <c r="N41" i="19"/>
  <c r="N43" i="19"/>
  <c r="N58" i="19"/>
  <c r="N62" i="19"/>
  <c r="N66" i="19"/>
  <c r="N70" i="19"/>
  <c r="N74" i="19"/>
  <c r="N78" i="19"/>
  <c r="N82" i="19"/>
  <c r="N86" i="19"/>
  <c r="N90" i="19"/>
  <c r="N94" i="19"/>
  <c r="N98" i="19"/>
  <c r="N4" i="19"/>
  <c r="N13" i="19"/>
  <c r="N15" i="19"/>
  <c r="N30" i="19"/>
  <c r="N36" i="19"/>
  <c r="N45" i="19"/>
  <c r="N47" i="19"/>
  <c r="N7" i="20"/>
  <c r="N4" i="20"/>
  <c r="N19" i="20"/>
  <c r="N12" i="20"/>
  <c r="I20" i="20"/>
  <c r="E11" i="17" s="1"/>
  <c r="F20" i="20"/>
  <c r="C11" i="17" s="1"/>
  <c r="H20" i="20"/>
  <c r="D11" i="17" s="1"/>
  <c r="I104" i="19"/>
  <c r="E8" i="17" s="1"/>
  <c r="N20" i="20" l="1"/>
  <c r="J11" i="17" s="1"/>
  <c r="N104" i="19"/>
  <c r="I105" i="19" s="1"/>
  <c r="E9" i="17" s="1"/>
  <c r="O20" i="20"/>
  <c r="M21" i="20"/>
  <c r="I12" i="17" s="1"/>
  <c r="K21" i="20"/>
  <c r="G12" i="17" s="1"/>
  <c r="L21" i="20"/>
  <c r="H12" i="17" s="1"/>
  <c r="F21" i="20"/>
  <c r="C12" i="17" s="1"/>
  <c r="I21" i="20"/>
  <c r="E12" i="17" s="1"/>
  <c r="P20" i="20" l="1"/>
  <c r="L11" i="17" s="1"/>
  <c r="K11" i="17"/>
  <c r="M105" i="19"/>
  <c r="I9" i="17" s="1"/>
  <c r="O104" i="19"/>
  <c r="J8" i="17"/>
  <c r="K105" i="19"/>
  <c r="G9" i="17" s="1"/>
  <c r="L105" i="19"/>
  <c r="H9" i="17" s="1"/>
  <c r="F105" i="19"/>
  <c r="C9" i="17" s="1"/>
  <c r="N105" i="19"/>
  <c r="J9" i="17" s="1"/>
  <c r="N21" i="20"/>
  <c r="J12" i="17" s="1"/>
  <c r="P104" i="19" l="1"/>
  <c r="L8" i="17" s="1"/>
  <c r="K8" i="17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" i="16"/>
  <c r="H32" i="16"/>
  <c r="I32" i="16" s="1"/>
  <c r="H31" i="16"/>
  <c r="I31" i="16" s="1"/>
  <c r="H30" i="16"/>
  <c r="I30" i="16" s="1"/>
  <c r="H29" i="16"/>
  <c r="I29" i="16" s="1"/>
  <c r="H28" i="16"/>
  <c r="I28" i="16" s="1"/>
  <c r="H27" i="16"/>
  <c r="I27" i="16" s="1"/>
  <c r="H26" i="16"/>
  <c r="I26" i="16" s="1"/>
  <c r="H25" i="16"/>
  <c r="I25" i="16" s="1"/>
  <c r="H24" i="16"/>
  <c r="I24" i="16" s="1"/>
  <c r="H23" i="16"/>
  <c r="I23" i="16" s="1"/>
  <c r="H22" i="16"/>
  <c r="I22" i="16" s="1"/>
  <c r="H21" i="16"/>
  <c r="I21" i="16" s="1"/>
  <c r="H20" i="16"/>
  <c r="I20" i="16" s="1"/>
  <c r="H19" i="16"/>
  <c r="I19" i="16" s="1"/>
  <c r="H18" i="16"/>
  <c r="I18" i="16" s="1"/>
  <c r="H17" i="16"/>
  <c r="I17" i="16" s="1"/>
  <c r="H16" i="16"/>
  <c r="I16" i="16" s="1"/>
  <c r="H15" i="16"/>
  <c r="I15" i="16" s="1"/>
  <c r="H14" i="16"/>
  <c r="I14" i="16" s="1"/>
  <c r="H13" i="16"/>
  <c r="I13" i="16" s="1"/>
  <c r="H12" i="16"/>
  <c r="I12" i="16" s="1"/>
  <c r="H11" i="16"/>
  <c r="I11" i="16" s="1"/>
  <c r="H10" i="16"/>
  <c r="I10" i="16" s="1"/>
  <c r="H9" i="16"/>
  <c r="I9" i="16" s="1"/>
  <c r="H8" i="16"/>
  <c r="I8" i="16" s="1"/>
  <c r="H7" i="16"/>
  <c r="I7" i="16" s="1"/>
  <c r="H6" i="16"/>
  <c r="I6" i="16" s="1"/>
  <c r="H5" i="16"/>
  <c r="I5" i="16" s="1"/>
  <c r="H4" i="16"/>
  <c r="I4" i="16" s="1"/>
  <c r="H3" i="16"/>
  <c r="I3" i="16" s="1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" i="16"/>
  <c r="M33" i="16" l="1"/>
  <c r="I5" i="17" s="1"/>
  <c r="N18" i="16"/>
  <c r="N26" i="16"/>
  <c r="F33" i="16"/>
  <c r="C5" i="17" s="1"/>
  <c r="I33" i="16"/>
  <c r="E5" i="17" s="1"/>
  <c r="N10" i="16"/>
  <c r="N11" i="16"/>
  <c r="N19" i="16"/>
  <c r="N27" i="16"/>
  <c r="N4" i="16"/>
  <c r="N12" i="16"/>
  <c r="N20" i="16"/>
  <c r="N28" i="16"/>
  <c r="N5" i="16"/>
  <c r="N13" i="16"/>
  <c r="N21" i="16"/>
  <c r="N29" i="16"/>
  <c r="N6" i="16"/>
  <c r="N14" i="16"/>
  <c r="N22" i="16"/>
  <c r="N30" i="16"/>
  <c r="H33" i="16"/>
  <c r="D5" i="17" s="1"/>
  <c r="N7" i="16"/>
  <c r="N15" i="16"/>
  <c r="N23" i="16"/>
  <c r="N31" i="16"/>
  <c r="N8" i="16"/>
  <c r="N16" i="16"/>
  <c r="N24" i="16"/>
  <c r="N32" i="16"/>
  <c r="N9" i="16"/>
  <c r="N17" i="16"/>
  <c r="N25" i="16"/>
  <c r="J33" i="16"/>
  <c r="F5" i="17" s="1"/>
  <c r="K3" i="16"/>
  <c r="K33" i="16" s="1"/>
  <c r="G5" i="17" s="1"/>
  <c r="N3" i="16" l="1"/>
  <c r="N33" i="16" s="1"/>
  <c r="O33" i="16" l="1"/>
  <c r="K5" i="17" s="1"/>
  <c r="J5" i="17"/>
  <c r="K34" i="16"/>
  <c r="G6" i="17" s="1"/>
  <c r="I34" i="16"/>
  <c r="E6" i="17" s="1"/>
  <c r="F34" i="16"/>
  <c r="C6" i="17" s="1"/>
  <c r="M34" i="16"/>
  <c r="I6" i="17" s="1"/>
  <c r="P33" i="16" l="1"/>
  <c r="L5" i="17" s="1"/>
  <c r="N34" i="16"/>
  <c r="J6" i="17" s="1"/>
</calcChain>
</file>

<file path=xl/sharedStrings.xml><?xml version="1.0" encoding="utf-8"?>
<sst xmlns="http://schemas.openxmlformats.org/spreadsheetml/2006/main" count="220" uniqueCount="168">
  <si>
    <t>CDES</t>
  </si>
  <si>
    <t>PRISE EN COMPTE</t>
  </si>
  <si>
    <t>DISTANCE DEPLACEMENT</t>
  </si>
  <si>
    <t>DUREE DEPLACEMENT</t>
  </si>
  <si>
    <t>NBR PDTS</t>
  </si>
  <si>
    <t>TEMPS PICKING</t>
  </si>
  <si>
    <t>EMBALLAGE ETIQUETAGE</t>
  </si>
  <si>
    <t>CIRCUIT PREPARATION</t>
  </si>
  <si>
    <t>O-A01-A04-A26-C27-B11-O</t>
  </si>
  <si>
    <t>Prise en compte commande</t>
  </si>
  <si>
    <t>Temps déplacement en m/Min</t>
  </si>
  <si>
    <t>Temps picking/produit</t>
  </si>
  <si>
    <t>Temps emballage, étiquetage</t>
  </si>
  <si>
    <t>O-A02-A30-C31-E35-B03-O</t>
  </si>
  <si>
    <t>O-A05-A07-D17-D03-B14-O</t>
  </si>
  <si>
    <t>O-A01-A04-C24-C25-B11-O</t>
  </si>
  <si>
    <t>O-A02-A06-D30-E06-A28-B03-O</t>
  </si>
  <si>
    <t>O-A05-A14-D22-C29-E03-O</t>
  </si>
  <si>
    <t>O-A01-A04-C17-C10-O</t>
  </si>
  <si>
    <t>O-A02-A07-A12-D29-D15-O</t>
  </si>
  <si>
    <t>O-A05-A14-D31-D18-C23-A36-O</t>
  </si>
  <si>
    <t>O-A01-A04-C22-B25-D05-O</t>
  </si>
  <si>
    <t>O-A02-A03-D35-D03-E10-O</t>
  </si>
  <si>
    <t>O-A05-A06-B17-D06-C16-O</t>
  </si>
  <si>
    <t>O-A01-A04-D20-C20-C07-C16-O</t>
  </si>
  <si>
    <t>O-A02-A12-B19-E11-E10-O</t>
  </si>
  <si>
    <t>O-A05-A11-D19-A35-C04-O</t>
  </si>
  <si>
    <t>O-A01-A06-E03-C02-O</t>
  </si>
  <si>
    <t>O-A02-A08-D07-D10-E26-O</t>
  </si>
  <si>
    <t>O-A05-A20-A23-B01-O</t>
  </si>
  <si>
    <t>O-A02-A06-D25-E15-A31-O</t>
  </si>
  <si>
    <t>O-A01-A10-D24-C13-B06-E11-O</t>
  </si>
  <si>
    <t>O-A05-A07-D34-A36-O</t>
  </si>
  <si>
    <t>O-A02-A15-E12-B12-A36-O</t>
  </si>
  <si>
    <t>O-A01-A11-A21-A25-D04-O</t>
  </si>
  <si>
    <t>O-A18-A09-D23-D32-B34-O</t>
  </si>
  <si>
    <t>O-A16-A17-C01-C35-O</t>
  </si>
  <si>
    <t>O-A05-A11-A13-B18-D04-B34-O</t>
  </si>
  <si>
    <t>O-A18-A09-D11-D10-O</t>
  </si>
  <si>
    <t>O-A01-A10-D23-C34-E05-D10-O</t>
  </si>
  <si>
    <t>O-A18-A19-D21-B14-O</t>
  </si>
  <si>
    <t>O-A18-A19-D25-E13-D01-C36-O</t>
  </si>
  <si>
    <t>Total pour 27647 cdes</t>
  </si>
  <si>
    <t>TEMPS TOTAL</t>
  </si>
  <si>
    <t>TEMPS OPERATOIRES
1 PREP / 1 CDE</t>
  </si>
  <si>
    <t>Besoin ETP/J</t>
  </si>
  <si>
    <t>TEMPS OPERATOIRES
1 PREP / PLUSIEURS CDES MONO REF</t>
  </si>
  <si>
    <t>Temps dispatch</t>
  </si>
  <si>
    <t>O-A02-O</t>
  </si>
  <si>
    <t>O-A03-O</t>
  </si>
  <si>
    <t>O-A01-O</t>
  </si>
  <si>
    <t>O-A04-O</t>
  </si>
  <si>
    <t>O-A05-O</t>
  </si>
  <si>
    <t>O-A06-O</t>
  </si>
  <si>
    <t>O-A07-O</t>
  </si>
  <si>
    <t>O-A08-O</t>
  </si>
  <si>
    <t>O-A09-O</t>
  </si>
  <si>
    <t>O-A10-O</t>
  </si>
  <si>
    <t>O-A11-O</t>
  </si>
  <si>
    <t>O-A12-O</t>
  </si>
  <si>
    <t>O-A13-O</t>
  </si>
  <si>
    <t>O-A14-O</t>
  </si>
  <si>
    <t>O-A15-O</t>
  </si>
  <si>
    <t>O-A16-O</t>
  </si>
  <si>
    <t>O-A17-O</t>
  </si>
  <si>
    <t>O-A18-O</t>
  </si>
  <si>
    <t>O-A19-O</t>
  </si>
  <si>
    <t>O-A20-O</t>
  </si>
  <si>
    <t>O-A21-O</t>
  </si>
  <si>
    <t>O-A23-O</t>
  </si>
  <si>
    <t>O-A25-O</t>
  </si>
  <si>
    <t>O-A26-O</t>
  </si>
  <si>
    <t>O-A28-O</t>
  </si>
  <si>
    <t>O-A30-O</t>
  </si>
  <si>
    <t>O-A31-O</t>
  </si>
  <si>
    <t>O-A35-O</t>
  </si>
  <si>
    <t>O-A36-O</t>
  </si>
  <si>
    <t>O-B01-O</t>
  </si>
  <si>
    <t>O-B03-O</t>
  </si>
  <si>
    <t>O-B06-O</t>
  </si>
  <si>
    <t>O-B11-O</t>
  </si>
  <si>
    <t>O-B12-O</t>
  </si>
  <si>
    <t>O-B14-O</t>
  </si>
  <si>
    <t>O-B17-O</t>
  </si>
  <si>
    <t>O-B18-O</t>
  </si>
  <si>
    <t>O-B19-O</t>
  </si>
  <si>
    <t>O-B25-O</t>
  </si>
  <si>
    <t>O-B34-O</t>
  </si>
  <si>
    <t>O-C01-O</t>
  </si>
  <si>
    <t>O-C02-O</t>
  </si>
  <si>
    <t>O-C04-O</t>
  </si>
  <si>
    <t>O-C10-O</t>
  </si>
  <si>
    <t>O-C13-O</t>
  </si>
  <si>
    <t>O-C16-O</t>
  </si>
  <si>
    <t>O-C17-O</t>
  </si>
  <si>
    <t>O-C20-O</t>
  </si>
  <si>
    <t>O-C22-O</t>
  </si>
  <si>
    <t>O-C23-O</t>
  </si>
  <si>
    <t>O-C24-O</t>
  </si>
  <si>
    <t>O-C25-O</t>
  </si>
  <si>
    <t>O-C27-O</t>
  </si>
  <si>
    <t>O-C29-O</t>
  </si>
  <si>
    <t>O-C31-O</t>
  </si>
  <si>
    <t>O-C34-O</t>
  </si>
  <si>
    <t>O-C35-O</t>
  </si>
  <si>
    <t>O-C36-O</t>
  </si>
  <si>
    <t>O-D01-O</t>
  </si>
  <si>
    <t>O-D03-O</t>
  </si>
  <si>
    <t>O-D04-O</t>
  </si>
  <si>
    <t>O-D05-O</t>
  </si>
  <si>
    <t>O-D06-O</t>
  </si>
  <si>
    <t>O-D07-O</t>
  </si>
  <si>
    <t>O-D08-O</t>
  </si>
  <si>
    <t>O-D10-O</t>
  </si>
  <si>
    <t>O-D11-O</t>
  </si>
  <si>
    <t>O-D15-O</t>
  </si>
  <si>
    <t>TEMPS DISPATCH</t>
  </si>
  <si>
    <t>O-C07-O</t>
  </si>
  <si>
    <t>O-A01-A07-A09-O</t>
  </si>
  <si>
    <t>TEMPS OPERATOIRES
1 PREP / PLUSIEURS CDES MULTI REF</t>
  </si>
  <si>
    <t>O-A03-A05-A21-O</t>
  </si>
  <si>
    <t>O-A04-A12-O</t>
  </si>
  <si>
    <t>O-A11-A15-A17-A19-O</t>
  </si>
  <si>
    <r>
      <t>O-A02-A06-</t>
    </r>
    <r>
      <rPr>
        <sz val="11"/>
        <rFont val="Calibri"/>
        <family val="2"/>
        <scheme val="minor"/>
      </rPr>
      <t>B03</t>
    </r>
    <r>
      <rPr>
        <sz val="11"/>
        <color theme="1"/>
        <rFont val="Calibri"/>
        <family val="2"/>
        <scheme val="minor"/>
      </rPr>
      <t>-O</t>
    </r>
  </si>
  <si>
    <t>O-A13-A23-A25-A31-A35-A36-A30-A28-A26-A20-B19-O</t>
  </si>
  <si>
    <r>
      <t>O-A08-A14-A16-</t>
    </r>
    <r>
      <rPr>
        <sz val="11"/>
        <rFont val="Calibri"/>
        <family val="2"/>
        <scheme val="minor"/>
      </rPr>
      <t>B01</t>
    </r>
    <r>
      <rPr>
        <sz val="11"/>
        <color theme="1"/>
        <rFont val="Calibri"/>
        <family val="2"/>
        <scheme val="minor"/>
      </rPr>
      <t>-O</t>
    </r>
  </si>
  <si>
    <t>O-B11-A18-B17-B25-B34-B18-B12-C07-B06-C01-O</t>
  </si>
  <si>
    <t>O-B14-C13-C17-C23-C25-C27-C29-C31-C35-C36-C34-C24-C22-D17-O</t>
  </si>
  <si>
    <t>O-C02-C04-C10-C16-C20-D01-D03-D05-D07-D11-D15-D19-D23-D25-O</t>
  </si>
  <si>
    <t>O-D21-D29-D31-D35-D34-D32-D30-D28-D24-D22-D20-D10-O</t>
  </si>
  <si>
    <t>O-D18-D08-D06-D04-E03-E05-E11-E13-E15-E35-E26-E12-E10-E08-E06-O</t>
  </si>
  <si>
    <t>O-D17-O</t>
  </si>
  <si>
    <t>O-D18-O</t>
  </si>
  <si>
    <t>O-D19-O</t>
  </si>
  <si>
    <t>O-D20-O</t>
  </si>
  <si>
    <t>O-D21-O</t>
  </si>
  <si>
    <t>O-D22-O</t>
  </si>
  <si>
    <t>O-D23-O</t>
  </si>
  <si>
    <t>O-D24-O</t>
  </si>
  <si>
    <t>O-D25-O</t>
  </si>
  <si>
    <t>O-D28-O</t>
  </si>
  <si>
    <t>O-D29-O</t>
  </si>
  <si>
    <t>O-D30-O</t>
  </si>
  <si>
    <t>O-D31-O</t>
  </si>
  <si>
    <t>O-D32-O</t>
  </si>
  <si>
    <t>O-D34-O</t>
  </si>
  <si>
    <t>O-D35-O</t>
  </si>
  <si>
    <t>O-E03-O</t>
  </si>
  <si>
    <t>O-E05-O</t>
  </si>
  <si>
    <t>O-E06-O</t>
  </si>
  <si>
    <t>O-E08-O</t>
  </si>
  <si>
    <t>O-E10-O</t>
  </si>
  <si>
    <t>O-E11-O</t>
  </si>
  <si>
    <t>O-E12-O</t>
  </si>
  <si>
    <t>O-E13-O</t>
  </si>
  <si>
    <t>O-E15-O</t>
  </si>
  <si>
    <t>O-E26-O</t>
  </si>
  <si>
    <t>O-E35-O</t>
  </si>
  <si>
    <t>TEMPS PRISE EN COMPTE</t>
  </si>
  <si>
    <t>TEMPS EMBALLAGE ETIQUETAGE</t>
  </si>
  <si>
    <t>TEMPS TOTAL POUR 27647 CDES</t>
  </si>
  <si>
    <t>BESOIN ETP/J</t>
  </si>
  <si>
    <t>30 COMMANDES TYPES</t>
  </si>
  <si>
    <t>COMMANDES ANNUELLES</t>
  </si>
  <si>
    <t>PROPOSITION DE SOLUTION</t>
  </si>
  <si>
    <t>La méthode de préparation "1 préparateur/plusieurs commandes multi références" semble la plus intéressante.
Elle nécessite moins de préparateurs et moins de temps.
La durée des déplacements est réduite et ne cosomme que 14,20% du temps global de préparation alors que les 2 autres méthodes consomment entre 20% et 24% de temps supplémentaire.
la diminution de ces déplacement engendrera moins de fatique pour les préparateurs et réduira le risque d'accidents (renversements ou chutes de caddies, heurts entre préparateurs...)</t>
  </si>
  <si>
    <t>AXES D'AMELIORATIONS</t>
  </si>
  <si>
    <t>Une analyse ABC permettra de repérer les produits à forte rotation qui sont prélevés le plus souvent.
Actuellement les produits les plus prélevés sont implantés en allée A (éloignées du point de prise de dépose des commande).
A contrario des produits à très faible rotation sont implantés en allée C (proches du point de prise de dépose des commande).
Une réimplantation suite à l'analyse ABC permettra d'optimiser encore plus les déplacements des préparateurs.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</si>
</sst>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0" fillId="8" borderId="24" xfId="0" applyNumberFormat="1" applyFill="1" applyBorder="1" applyAlignment="1">
      <alignment horizontal="center" vertical="center"/>
    </xf>
    <xf numFmtId="10" fontId="0" fillId="8" borderId="27" xfId="1" applyNumberFormat="1" applyFont="1" applyFill="1" applyBorder="1" applyAlignment="1">
      <alignment horizontal="center" vertical="center"/>
    </xf>
    <xf numFmtId="2" fontId="0" fillId="9" borderId="12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10" fontId="5" fillId="8" borderId="15" xfId="1" applyNumberFormat="1" applyFont="1" applyFill="1" applyBorder="1" applyAlignment="1">
      <alignment horizontal="center" vertical="center"/>
    </xf>
    <xf numFmtId="10" fontId="5" fillId="9" borderId="15" xfId="0" applyNumberFormat="1" applyFont="1" applyFill="1" applyBorder="1" applyAlignment="1">
      <alignment horizontal="center" vertical="center"/>
    </xf>
    <xf numFmtId="10" fontId="5" fillId="6" borderId="15" xfId="0" applyNumberFormat="1" applyFont="1" applyFill="1" applyBorder="1" applyAlignment="1">
      <alignment horizontal="center" vertical="center"/>
    </xf>
    <xf numFmtId="0" fontId="8" fillId="0" borderId="0" xfId="0" applyFont="1"/>
    <xf numFmtId="0" fontId="3" fillId="2" borderId="3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/>
    </xf>
    <xf numFmtId="2" fontId="3" fillId="8" borderId="13" xfId="0" applyNumberFormat="1" applyFont="1" applyFill="1" applyBorder="1" applyAlignment="1">
      <alignment horizontal="center" vertical="center"/>
    </xf>
    <xf numFmtId="10" fontId="5" fillId="8" borderId="14" xfId="1" applyNumberFormat="1" applyFont="1" applyFill="1" applyBorder="1" applyAlignment="1">
      <alignment horizontal="center" vertical="center"/>
    </xf>
    <xf numFmtId="10" fontId="6" fillId="8" borderId="16" xfId="1" applyNumberFormat="1" applyFont="1" applyFill="1" applyBorder="1" applyAlignment="1">
      <alignment horizontal="center" vertical="center"/>
    </xf>
    <xf numFmtId="2" fontId="0" fillId="9" borderId="11" xfId="0" applyNumberFormat="1" applyFill="1" applyBorder="1" applyAlignment="1">
      <alignment horizontal="center" vertical="center"/>
    </xf>
    <xf numFmtId="2" fontId="3" fillId="9" borderId="13" xfId="0" applyNumberFormat="1" applyFont="1" applyFill="1" applyBorder="1" applyAlignment="1">
      <alignment horizontal="center" vertical="center"/>
    </xf>
    <xf numFmtId="10" fontId="5" fillId="9" borderId="14" xfId="0" applyNumberFormat="1" applyFont="1" applyFill="1" applyBorder="1" applyAlignment="1">
      <alignment horizontal="center" vertical="center"/>
    </xf>
    <xf numFmtId="10" fontId="6" fillId="9" borderId="16" xfId="0" applyNumberFormat="1" applyFon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10" fontId="5" fillId="6" borderId="14" xfId="0" applyNumberFormat="1" applyFont="1" applyFill="1" applyBorder="1" applyAlignment="1">
      <alignment horizontal="center" vertical="center"/>
    </xf>
    <xf numFmtId="10" fontId="6" fillId="6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3" fillId="10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1" fontId="0" fillId="6" borderId="23" xfId="0" applyNumberFormat="1" applyFill="1" applyBorder="1" applyAlignment="1">
      <alignment horizontal="center" vertical="center"/>
    </xf>
    <xf numFmtId="1" fontId="0" fillId="6" borderId="26" xfId="0" applyNumberFormat="1" applyFill="1" applyBorder="1" applyAlignment="1">
      <alignment horizontal="center" vertical="center"/>
    </xf>
    <xf numFmtId="2" fontId="7" fillId="6" borderId="35" xfId="0" applyNumberFormat="1" applyFont="1" applyFill="1" applyBorder="1" applyAlignment="1">
      <alignment horizontal="center" vertical="center"/>
    </xf>
    <xf numFmtId="2" fontId="7" fillId="6" borderId="36" xfId="0" applyNumberFormat="1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/>
    </xf>
    <xf numFmtId="0" fontId="9" fillId="4" borderId="30" xfId="0" applyFont="1" applyFill="1" applyBorder="1" applyAlignment="1">
      <alignment horizontal="center"/>
    </xf>
    <xf numFmtId="0" fontId="9" fillId="4" borderId="31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1" fontId="7" fillId="8" borderId="25" xfId="0" applyNumberFormat="1" applyFont="1" applyFill="1" applyBorder="1" applyAlignment="1">
      <alignment horizontal="center" vertical="center"/>
    </xf>
    <xf numFmtId="1" fontId="7" fillId="8" borderId="28" xfId="0" applyNumberFormat="1" applyFont="1" applyFill="1" applyBorder="1" applyAlignment="1">
      <alignment horizontal="center" vertical="center"/>
    </xf>
    <xf numFmtId="0" fontId="7" fillId="9" borderId="25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1" fontId="0" fillId="8" borderId="23" xfId="0" applyNumberFormat="1" applyFill="1" applyBorder="1" applyAlignment="1">
      <alignment horizontal="center" vertical="center"/>
    </xf>
    <xf numFmtId="1" fontId="0" fillId="8" borderId="26" xfId="0" applyNumberFormat="1" applyFill="1" applyBorder="1" applyAlignment="1">
      <alignment horizontal="center" vertical="center"/>
    </xf>
    <xf numFmtId="1" fontId="0" fillId="9" borderId="23" xfId="0" applyNumberFormat="1" applyFill="1" applyBorder="1" applyAlignment="1">
      <alignment horizontal="center" vertical="center"/>
    </xf>
    <xf numFmtId="1" fontId="0" fillId="9" borderId="26" xfId="0" applyNumberFormat="1" applyFill="1" applyBorder="1" applyAlignment="1">
      <alignment horizontal="center" vertical="center"/>
    </xf>
    <xf numFmtId="2" fontId="7" fillId="9" borderId="35" xfId="0" applyNumberFormat="1" applyFont="1" applyFill="1" applyBorder="1" applyAlignment="1">
      <alignment horizontal="center" vertical="center"/>
    </xf>
    <xf numFmtId="2" fontId="7" fillId="9" borderId="36" xfId="0" applyNumberFormat="1" applyFont="1" applyFill="1" applyBorder="1" applyAlignment="1">
      <alignment horizontal="center" vertical="center"/>
    </xf>
    <xf numFmtId="2" fontId="7" fillId="8" borderId="35" xfId="0" applyNumberFormat="1" applyFont="1" applyFill="1" applyBorder="1" applyAlignment="1">
      <alignment horizontal="center" vertical="center"/>
    </xf>
    <xf numFmtId="2" fontId="7" fillId="8" borderId="36" xfId="0" applyNumberFormat="1" applyFont="1" applyFill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 wrapText="1"/>
    </xf>
    <xf numFmtId="0" fontId="7" fillId="10" borderId="34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3300"/>
      <color rgb="FF19E754"/>
      <color rgb="FFFF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34"/>
  <sheetViews>
    <sheetView showGridLines="0" tabSelected="1" showRuler="0" view="pageLayout" topLeftCell="A2" zoomScaleNormal="100" workbookViewId="0">
      <selection activeCell="B31" sqref="B31"/>
    </sheetView>
  </sheetViews>
  <sheetFormatPr baseColWidth="10" defaultRowHeight="15" x14ac:dyDescent="0.25"/>
  <cols>
    <col min="1" max="1" width="5.5703125" customWidth="1"/>
    <col min="2" max="2" width="30.42578125" customWidth="1"/>
    <col min="3" max="3" width="10.85546875" style="3"/>
    <col min="4" max="4" width="2.5703125" style="3" customWidth="1"/>
    <col min="5" max="6" width="10.85546875" style="2"/>
    <col min="7" max="7" width="60.5703125" style="2" customWidth="1"/>
    <col min="8" max="8" width="13.140625" style="2" customWidth="1"/>
    <col min="9" max="9" width="13.5703125" style="2" customWidth="1"/>
    <col min="10" max="12" width="10.85546875" style="2"/>
    <col min="13" max="13" width="12.7109375" style="2" customWidth="1"/>
    <col min="14" max="14" width="10.85546875" style="2"/>
    <col min="15" max="15" width="21.42578125" customWidth="1"/>
    <col min="16" max="16" width="12.140625" customWidth="1"/>
  </cols>
  <sheetData>
    <row r="1" spans="2:14" ht="50.1" customHeight="1" x14ac:dyDescent="0.25"/>
    <row r="2" spans="2:14" s="5" customFormat="1" ht="39.6" customHeight="1" x14ac:dyDescent="0.25">
      <c r="B2" s="50" t="s">
        <v>44</v>
      </c>
      <c r="C2" s="50"/>
      <c r="D2" s="6"/>
      <c r="E2" s="21" t="s">
        <v>0</v>
      </c>
      <c r="F2" s="21" t="s">
        <v>1</v>
      </c>
      <c r="G2" s="21" t="s">
        <v>7</v>
      </c>
      <c r="H2" s="21" t="s">
        <v>2</v>
      </c>
      <c r="I2" s="21" t="s">
        <v>3</v>
      </c>
      <c r="J2" s="21" t="s">
        <v>4</v>
      </c>
      <c r="K2" s="21" t="s">
        <v>5</v>
      </c>
      <c r="L2" s="21" t="s">
        <v>116</v>
      </c>
      <c r="M2" s="21" t="s">
        <v>6</v>
      </c>
      <c r="N2" s="21" t="s">
        <v>43</v>
      </c>
    </row>
    <row r="3" spans="2:14" x14ac:dyDescent="0.25">
      <c r="B3" s="1" t="s">
        <v>9</v>
      </c>
      <c r="C3" s="1">
        <v>1</v>
      </c>
      <c r="E3" s="1">
        <v>1</v>
      </c>
      <c r="F3" s="1">
        <f>$C$3</f>
        <v>1</v>
      </c>
      <c r="G3" s="1" t="s">
        <v>8</v>
      </c>
      <c r="H3" s="1">
        <f>14+5+11+23+24+15</f>
        <v>92</v>
      </c>
      <c r="I3" s="7">
        <f>H3/$C$4</f>
        <v>2.2999999999999998</v>
      </c>
      <c r="J3" s="1">
        <v>16</v>
      </c>
      <c r="K3" s="7">
        <f>J3*$C$5</f>
        <v>1.6</v>
      </c>
      <c r="L3" s="7">
        <v>0</v>
      </c>
      <c r="M3" s="7">
        <f>$C$6</f>
        <v>1.5</v>
      </c>
      <c r="N3" s="7">
        <f>F3+I3+K3+M3</f>
        <v>6.4</v>
      </c>
    </row>
    <row r="4" spans="2:14" x14ac:dyDescent="0.25">
      <c r="B4" s="1" t="s">
        <v>10</v>
      </c>
      <c r="C4" s="1">
        <v>40</v>
      </c>
      <c r="E4" s="1">
        <v>2</v>
      </c>
      <c r="F4" s="1">
        <f t="shared" ref="F4:F32" si="0">$C$3</f>
        <v>1</v>
      </c>
      <c r="G4" s="1" t="s">
        <v>13</v>
      </c>
      <c r="H4" s="1">
        <f>11+14+19+19+34+11</f>
        <v>108</v>
      </c>
      <c r="I4" s="7">
        <f t="shared" ref="I4:I32" si="1">H4/$C$4</f>
        <v>2.7</v>
      </c>
      <c r="J4" s="1">
        <v>13</v>
      </c>
      <c r="K4" s="7">
        <f t="shared" ref="K4:K32" si="2">J4*$C$5</f>
        <v>1.3</v>
      </c>
      <c r="L4" s="7">
        <v>0</v>
      </c>
      <c r="M4" s="7">
        <f t="shared" ref="M4:M32" si="3">$C$6</f>
        <v>1.5</v>
      </c>
      <c r="N4" s="7">
        <f t="shared" ref="N4:N32" si="4">F4+I4+K4+M4</f>
        <v>6.5</v>
      </c>
    </row>
    <row r="5" spans="2:14" x14ac:dyDescent="0.25">
      <c r="B5" s="1" t="s">
        <v>11</v>
      </c>
      <c r="C5" s="1">
        <v>0.1</v>
      </c>
      <c r="E5" s="1">
        <v>3</v>
      </c>
      <c r="F5" s="1">
        <f t="shared" si="0"/>
        <v>1</v>
      </c>
      <c r="G5" s="1" t="s">
        <v>14</v>
      </c>
      <c r="H5" s="1">
        <f>16+1+27+7+15+13</f>
        <v>79</v>
      </c>
      <c r="I5" s="7">
        <f t="shared" si="1"/>
        <v>1.9750000000000001</v>
      </c>
      <c r="J5" s="1">
        <v>14</v>
      </c>
      <c r="K5" s="7">
        <f t="shared" si="2"/>
        <v>1.4000000000000001</v>
      </c>
      <c r="L5" s="7">
        <v>0</v>
      </c>
      <c r="M5" s="7">
        <f t="shared" si="3"/>
        <v>1.5</v>
      </c>
      <c r="N5" s="7">
        <f t="shared" si="4"/>
        <v>5.875</v>
      </c>
    </row>
    <row r="6" spans="2:14" x14ac:dyDescent="0.25">
      <c r="B6" s="1" t="s">
        <v>12</v>
      </c>
      <c r="C6" s="1">
        <v>1.5</v>
      </c>
      <c r="E6" s="1">
        <v>4</v>
      </c>
      <c r="F6" s="1">
        <f t="shared" si="0"/>
        <v>1</v>
      </c>
      <c r="G6" s="1" t="s">
        <v>15</v>
      </c>
      <c r="H6" s="1">
        <f>14+5+23+21+23+15</f>
        <v>101</v>
      </c>
      <c r="I6" s="7">
        <f t="shared" si="1"/>
        <v>2.5249999999999999</v>
      </c>
      <c r="J6" s="1">
        <v>24</v>
      </c>
      <c r="K6" s="7">
        <f t="shared" si="2"/>
        <v>2.4000000000000004</v>
      </c>
      <c r="L6" s="7">
        <v>0</v>
      </c>
      <c r="M6" s="7">
        <f t="shared" si="3"/>
        <v>1.5</v>
      </c>
      <c r="N6" s="7">
        <f t="shared" si="4"/>
        <v>7.4250000000000007</v>
      </c>
    </row>
    <row r="7" spans="2:14" x14ac:dyDescent="0.25">
      <c r="E7" s="1">
        <v>5</v>
      </c>
      <c r="F7" s="1">
        <f t="shared" si="0"/>
        <v>1</v>
      </c>
      <c r="G7" s="1" t="s">
        <v>16</v>
      </c>
      <c r="H7" s="1">
        <f>11+2+32+22+36+15+11</f>
        <v>129</v>
      </c>
      <c r="I7" s="7">
        <f t="shared" si="1"/>
        <v>3.2250000000000001</v>
      </c>
      <c r="J7" s="1">
        <v>17</v>
      </c>
      <c r="K7" s="7">
        <f t="shared" si="2"/>
        <v>1.7000000000000002</v>
      </c>
      <c r="L7" s="7">
        <v>0</v>
      </c>
      <c r="M7" s="7">
        <f t="shared" si="3"/>
        <v>1.5</v>
      </c>
      <c r="N7" s="7">
        <f t="shared" si="4"/>
        <v>7.4249999999999998</v>
      </c>
    </row>
    <row r="8" spans="2:14" x14ac:dyDescent="0.25">
      <c r="E8" s="1">
        <v>6</v>
      </c>
      <c r="F8" s="1">
        <f t="shared" si="0"/>
        <v>1</v>
      </c>
      <c r="G8" s="1" t="s">
        <v>17</v>
      </c>
      <c r="H8" s="1">
        <f>16+12+32+25+26+12</f>
        <v>123</v>
      </c>
      <c r="I8" s="7">
        <f t="shared" si="1"/>
        <v>3.0750000000000002</v>
      </c>
      <c r="J8" s="1">
        <v>23</v>
      </c>
      <c r="K8" s="7">
        <f t="shared" si="2"/>
        <v>2.3000000000000003</v>
      </c>
      <c r="L8" s="7">
        <v>0</v>
      </c>
      <c r="M8" s="7">
        <f t="shared" si="3"/>
        <v>1.5</v>
      </c>
      <c r="N8" s="7">
        <f t="shared" si="4"/>
        <v>7.875</v>
      </c>
    </row>
    <row r="9" spans="2:14" x14ac:dyDescent="0.25">
      <c r="E9" s="1">
        <v>7</v>
      </c>
      <c r="F9" s="1">
        <f t="shared" si="0"/>
        <v>1</v>
      </c>
      <c r="G9" s="1" t="s">
        <v>18</v>
      </c>
      <c r="H9" s="1">
        <f>14+5+16+16+10</f>
        <v>61</v>
      </c>
      <c r="I9" s="7">
        <f t="shared" si="1"/>
        <v>1.5249999999999999</v>
      </c>
      <c r="J9" s="1">
        <v>18</v>
      </c>
      <c r="K9" s="7">
        <f t="shared" si="2"/>
        <v>1.8</v>
      </c>
      <c r="L9" s="7">
        <v>0</v>
      </c>
      <c r="M9" s="7">
        <f t="shared" si="3"/>
        <v>1.5</v>
      </c>
      <c r="N9" s="7">
        <f t="shared" si="4"/>
        <v>5.8250000000000002</v>
      </c>
    </row>
    <row r="10" spans="2:14" x14ac:dyDescent="0.25">
      <c r="E10" s="1">
        <v>8</v>
      </c>
      <c r="F10" s="1">
        <f t="shared" si="0"/>
        <v>1</v>
      </c>
      <c r="G10" s="1" t="s">
        <v>19</v>
      </c>
      <c r="H10" s="1">
        <f>11+7+12+32+7+14</f>
        <v>83</v>
      </c>
      <c r="I10" s="7">
        <f t="shared" si="1"/>
        <v>2.0750000000000002</v>
      </c>
      <c r="J10" s="1">
        <v>18</v>
      </c>
      <c r="K10" s="7">
        <f t="shared" si="2"/>
        <v>1.8</v>
      </c>
      <c r="L10" s="7">
        <v>0</v>
      </c>
      <c r="M10" s="7">
        <f t="shared" si="3"/>
        <v>1.5</v>
      </c>
      <c r="N10" s="7">
        <f t="shared" si="4"/>
        <v>6.375</v>
      </c>
    </row>
    <row r="11" spans="2:14" x14ac:dyDescent="0.25">
      <c r="E11" s="1">
        <v>9</v>
      </c>
      <c r="F11" s="1">
        <f t="shared" si="0"/>
        <v>1</v>
      </c>
      <c r="G11" s="1" t="s">
        <v>20</v>
      </c>
      <c r="H11" s="1">
        <f>16+32+21+28+20+28</f>
        <v>145</v>
      </c>
      <c r="I11" s="7">
        <f t="shared" si="1"/>
        <v>3.625</v>
      </c>
      <c r="J11" s="1">
        <v>26</v>
      </c>
      <c r="K11" s="7">
        <f t="shared" si="2"/>
        <v>2.6</v>
      </c>
      <c r="L11" s="7">
        <v>0</v>
      </c>
      <c r="M11" s="7">
        <f t="shared" si="3"/>
        <v>1.5</v>
      </c>
      <c r="N11" s="7">
        <f t="shared" si="4"/>
        <v>8.7249999999999996</v>
      </c>
    </row>
    <row r="12" spans="2:14" x14ac:dyDescent="0.25">
      <c r="E12" s="1">
        <v>10</v>
      </c>
      <c r="F12" s="1">
        <f t="shared" si="0"/>
        <v>1</v>
      </c>
      <c r="G12" s="1" t="s">
        <v>21</v>
      </c>
      <c r="H12" s="1">
        <f>14+5+22+27+25+9</f>
        <v>102</v>
      </c>
      <c r="I12" s="7">
        <f t="shared" si="1"/>
        <v>2.5499999999999998</v>
      </c>
      <c r="J12" s="1">
        <v>22</v>
      </c>
      <c r="K12" s="7">
        <f t="shared" si="2"/>
        <v>2.2000000000000002</v>
      </c>
      <c r="L12" s="7">
        <v>0</v>
      </c>
      <c r="M12" s="7">
        <f t="shared" si="3"/>
        <v>1.5</v>
      </c>
      <c r="N12" s="7">
        <f t="shared" si="4"/>
        <v>7.25</v>
      </c>
    </row>
    <row r="13" spans="2:14" x14ac:dyDescent="0.25">
      <c r="E13" s="1">
        <v>11</v>
      </c>
      <c r="F13" s="1">
        <f t="shared" si="0"/>
        <v>1</v>
      </c>
      <c r="G13" s="1" t="s">
        <v>22</v>
      </c>
      <c r="H13" s="1">
        <f>11+5+34+16+14+18</f>
        <v>98</v>
      </c>
      <c r="I13" s="7">
        <f t="shared" si="1"/>
        <v>2.4500000000000002</v>
      </c>
      <c r="J13" s="1">
        <v>17</v>
      </c>
      <c r="K13" s="7">
        <f t="shared" si="2"/>
        <v>1.7000000000000002</v>
      </c>
      <c r="L13" s="7">
        <v>0</v>
      </c>
      <c r="M13" s="7">
        <f t="shared" si="3"/>
        <v>1.5</v>
      </c>
      <c r="N13" s="7">
        <f t="shared" si="4"/>
        <v>6.65</v>
      </c>
    </row>
    <row r="14" spans="2:14" x14ac:dyDescent="0.25">
      <c r="E14" s="1">
        <v>12</v>
      </c>
      <c r="F14" s="1">
        <f t="shared" si="0"/>
        <v>1</v>
      </c>
      <c r="G14" s="1" t="s">
        <v>23</v>
      </c>
      <c r="H14" s="1">
        <f>16+8+12+24+15+13</f>
        <v>88</v>
      </c>
      <c r="I14" s="7">
        <f t="shared" si="1"/>
        <v>2.2000000000000002</v>
      </c>
      <c r="J14" s="1">
        <v>17</v>
      </c>
      <c r="K14" s="7">
        <f t="shared" si="2"/>
        <v>1.7000000000000002</v>
      </c>
      <c r="L14" s="7">
        <v>0</v>
      </c>
      <c r="M14" s="7">
        <f t="shared" si="3"/>
        <v>1.5</v>
      </c>
      <c r="N14" s="7">
        <f t="shared" si="4"/>
        <v>6.4</v>
      </c>
    </row>
    <row r="15" spans="2:14" x14ac:dyDescent="0.25">
      <c r="E15" s="1">
        <v>13</v>
      </c>
      <c r="F15" s="1">
        <f t="shared" si="0"/>
        <v>1</v>
      </c>
      <c r="G15" s="1" t="s">
        <v>24</v>
      </c>
      <c r="H15" s="1">
        <f>14+5+26+24+16+14+13</f>
        <v>112</v>
      </c>
      <c r="I15" s="7">
        <f t="shared" si="1"/>
        <v>2.8</v>
      </c>
      <c r="J15" s="1">
        <v>23</v>
      </c>
      <c r="K15" s="7">
        <f t="shared" si="2"/>
        <v>2.3000000000000003</v>
      </c>
      <c r="L15" s="7">
        <v>0</v>
      </c>
      <c r="M15" s="7">
        <f t="shared" si="3"/>
        <v>1.5</v>
      </c>
      <c r="N15" s="7">
        <f t="shared" si="4"/>
        <v>7.6</v>
      </c>
    </row>
    <row r="16" spans="2:14" x14ac:dyDescent="0.25">
      <c r="E16" s="1">
        <v>14</v>
      </c>
      <c r="F16" s="1">
        <f t="shared" si="0"/>
        <v>1</v>
      </c>
      <c r="G16" s="1" t="s">
        <v>25</v>
      </c>
      <c r="H16" s="1">
        <f>11+5+7+30+13+18</f>
        <v>84</v>
      </c>
      <c r="I16" s="7">
        <f t="shared" si="1"/>
        <v>2.1</v>
      </c>
      <c r="J16" s="1">
        <v>11</v>
      </c>
      <c r="K16" s="7">
        <f t="shared" si="2"/>
        <v>1.1000000000000001</v>
      </c>
      <c r="L16" s="7">
        <v>0</v>
      </c>
      <c r="M16" s="7">
        <f t="shared" si="3"/>
        <v>1.5</v>
      </c>
      <c r="N16" s="7">
        <f t="shared" si="4"/>
        <v>5.7</v>
      </c>
    </row>
    <row r="17" spans="5:16" x14ac:dyDescent="0.25">
      <c r="E17" s="1">
        <v>15</v>
      </c>
      <c r="F17" s="1">
        <f t="shared" si="0"/>
        <v>1</v>
      </c>
      <c r="G17" s="1" t="s">
        <v>26</v>
      </c>
      <c r="H17" s="1">
        <f>16+3+30+30+32+7</f>
        <v>118</v>
      </c>
      <c r="I17" s="7">
        <f t="shared" si="1"/>
        <v>2.95</v>
      </c>
      <c r="J17" s="1">
        <v>14</v>
      </c>
      <c r="K17" s="7">
        <f t="shared" si="2"/>
        <v>1.4000000000000001</v>
      </c>
      <c r="L17" s="7">
        <v>0</v>
      </c>
      <c r="M17" s="7">
        <f t="shared" si="3"/>
        <v>1.5</v>
      </c>
      <c r="N17" s="7">
        <f t="shared" si="4"/>
        <v>6.8500000000000005</v>
      </c>
    </row>
    <row r="18" spans="5:16" x14ac:dyDescent="0.25">
      <c r="E18" s="1">
        <v>16</v>
      </c>
      <c r="F18" s="1">
        <f t="shared" si="0"/>
        <v>1</v>
      </c>
      <c r="G18" s="1" t="s">
        <v>27</v>
      </c>
      <c r="H18" s="1">
        <f>14+6+20+8+6</f>
        <v>54</v>
      </c>
      <c r="I18" s="7">
        <f t="shared" si="1"/>
        <v>1.35</v>
      </c>
      <c r="J18" s="1">
        <v>13</v>
      </c>
      <c r="K18" s="7">
        <f t="shared" si="2"/>
        <v>1.3</v>
      </c>
      <c r="L18" s="7">
        <v>0</v>
      </c>
      <c r="M18" s="7">
        <f t="shared" si="3"/>
        <v>1.5</v>
      </c>
      <c r="N18" s="7">
        <f t="shared" si="4"/>
        <v>5.15</v>
      </c>
    </row>
    <row r="19" spans="5:16" x14ac:dyDescent="0.25">
      <c r="E19" s="1">
        <v>17</v>
      </c>
      <c r="F19" s="1">
        <f t="shared" si="0"/>
        <v>1</v>
      </c>
      <c r="G19" s="1" t="s">
        <v>28</v>
      </c>
      <c r="H19" s="1">
        <f>11+3+18+11+22+26</f>
        <v>91</v>
      </c>
      <c r="I19" s="7">
        <f t="shared" si="1"/>
        <v>2.2749999999999999</v>
      </c>
      <c r="J19" s="1">
        <v>17</v>
      </c>
      <c r="K19" s="7">
        <f t="shared" si="2"/>
        <v>1.7000000000000002</v>
      </c>
      <c r="L19" s="7">
        <v>0</v>
      </c>
      <c r="M19" s="7">
        <f t="shared" si="3"/>
        <v>1.5</v>
      </c>
      <c r="N19" s="7">
        <f t="shared" si="4"/>
        <v>6.4749999999999996</v>
      </c>
    </row>
    <row r="20" spans="5:16" x14ac:dyDescent="0.25">
      <c r="E20" s="1">
        <v>18</v>
      </c>
      <c r="F20" s="1">
        <f t="shared" si="0"/>
        <v>1</v>
      </c>
      <c r="G20" s="1" t="s">
        <v>29</v>
      </c>
      <c r="H20" s="1">
        <f>16+15+24+17+10</f>
        <v>82</v>
      </c>
      <c r="I20" s="7">
        <f t="shared" si="1"/>
        <v>2.0499999999999998</v>
      </c>
      <c r="J20" s="1">
        <v>11</v>
      </c>
      <c r="K20" s="7">
        <f t="shared" si="2"/>
        <v>1.1000000000000001</v>
      </c>
      <c r="L20" s="7">
        <v>0</v>
      </c>
      <c r="M20" s="7">
        <f t="shared" si="3"/>
        <v>1.5</v>
      </c>
      <c r="N20" s="7">
        <f t="shared" si="4"/>
        <v>5.65</v>
      </c>
    </row>
    <row r="21" spans="5:16" x14ac:dyDescent="0.25">
      <c r="E21" s="1">
        <v>19</v>
      </c>
      <c r="F21" s="1">
        <f t="shared" si="0"/>
        <v>1</v>
      </c>
      <c r="G21" s="1" t="s">
        <v>30</v>
      </c>
      <c r="H21" s="1">
        <f>11+2+26+25+39+29</f>
        <v>132</v>
      </c>
      <c r="I21" s="7">
        <f t="shared" si="1"/>
        <v>3.3</v>
      </c>
      <c r="J21" s="1">
        <v>12</v>
      </c>
      <c r="K21" s="7">
        <f t="shared" si="2"/>
        <v>1.2000000000000002</v>
      </c>
      <c r="L21" s="7">
        <v>0</v>
      </c>
      <c r="M21" s="7">
        <f t="shared" si="3"/>
        <v>1.5</v>
      </c>
      <c r="N21" s="7">
        <f t="shared" si="4"/>
        <v>7</v>
      </c>
    </row>
    <row r="22" spans="5:16" x14ac:dyDescent="0.25">
      <c r="E22" s="1">
        <v>20</v>
      </c>
      <c r="F22" s="1">
        <f t="shared" si="0"/>
        <v>1</v>
      </c>
      <c r="G22" s="1" t="s">
        <v>31</v>
      </c>
      <c r="H22" s="1">
        <f>14+8+31+26+10+19+16</f>
        <v>124</v>
      </c>
      <c r="I22" s="7">
        <f t="shared" si="1"/>
        <v>3.1</v>
      </c>
      <c r="J22" s="1">
        <v>16</v>
      </c>
      <c r="K22" s="7">
        <f t="shared" si="2"/>
        <v>1.6</v>
      </c>
      <c r="L22" s="7">
        <v>0</v>
      </c>
      <c r="M22" s="7">
        <f t="shared" si="3"/>
        <v>1.5</v>
      </c>
      <c r="N22" s="7">
        <f t="shared" si="4"/>
        <v>7.1999999999999993</v>
      </c>
    </row>
    <row r="23" spans="5:16" x14ac:dyDescent="0.25">
      <c r="E23" s="1">
        <v>21</v>
      </c>
      <c r="F23" s="1">
        <f t="shared" si="0"/>
        <v>1</v>
      </c>
      <c r="G23" s="1" t="s">
        <v>32</v>
      </c>
      <c r="H23" s="1">
        <f>16+1+38+23+28</f>
        <v>106</v>
      </c>
      <c r="I23" s="7">
        <f t="shared" si="1"/>
        <v>2.65</v>
      </c>
      <c r="J23" s="1">
        <v>16</v>
      </c>
      <c r="K23" s="7">
        <f t="shared" si="2"/>
        <v>1.6</v>
      </c>
      <c r="L23" s="7">
        <v>0</v>
      </c>
      <c r="M23" s="7">
        <f t="shared" si="3"/>
        <v>1.5</v>
      </c>
      <c r="N23" s="7">
        <f t="shared" si="4"/>
        <v>6.75</v>
      </c>
    </row>
    <row r="24" spans="5:16" x14ac:dyDescent="0.25">
      <c r="E24" s="1">
        <v>22</v>
      </c>
      <c r="F24" s="1">
        <f t="shared" si="0"/>
        <v>1</v>
      </c>
      <c r="G24" s="1" t="s">
        <v>33</v>
      </c>
      <c r="H24" s="1">
        <f>11+11+36+26+24+28</f>
        <v>136</v>
      </c>
      <c r="I24" s="7">
        <f t="shared" si="1"/>
        <v>3.4</v>
      </c>
      <c r="J24" s="1">
        <v>16</v>
      </c>
      <c r="K24" s="7">
        <f t="shared" si="2"/>
        <v>1.6</v>
      </c>
      <c r="L24" s="7">
        <v>0</v>
      </c>
      <c r="M24" s="7">
        <f t="shared" si="3"/>
        <v>1.5</v>
      </c>
      <c r="N24" s="7">
        <f t="shared" si="4"/>
        <v>7.5</v>
      </c>
    </row>
    <row r="25" spans="5:16" x14ac:dyDescent="0.25">
      <c r="E25" s="1">
        <v>23</v>
      </c>
      <c r="F25" s="1">
        <f t="shared" si="0"/>
        <v>1</v>
      </c>
      <c r="G25" s="1" t="s">
        <v>34</v>
      </c>
      <c r="H25" s="1">
        <f>14+5+5+2+32+11</f>
        <v>69</v>
      </c>
      <c r="I25" s="7">
        <f t="shared" si="1"/>
        <v>1.7250000000000001</v>
      </c>
      <c r="J25" s="1">
        <v>13</v>
      </c>
      <c r="K25" s="7">
        <f t="shared" si="2"/>
        <v>1.3</v>
      </c>
      <c r="L25" s="7">
        <v>0</v>
      </c>
      <c r="M25" s="7">
        <f t="shared" si="3"/>
        <v>1.5</v>
      </c>
      <c r="N25" s="7">
        <f t="shared" si="4"/>
        <v>5.5250000000000004</v>
      </c>
    </row>
    <row r="26" spans="5:16" x14ac:dyDescent="0.25">
      <c r="E26" s="1">
        <v>24</v>
      </c>
      <c r="F26" s="1">
        <f t="shared" si="0"/>
        <v>1</v>
      </c>
      <c r="G26" s="1" t="s">
        <v>35</v>
      </c>
      <c r="H26" s="1">
        <f>19+16+31+18+20+23</f>
        <v>127</v>
      </c>
      <c r="I26" s="7">
        <f t="shared" si="1"/>
        <v>3.1749999999999998</v>
      </c>
      <c r="J26" s="1">
        <v>24</v>
      </c>
      <c r="K26" s="7">
        <f t="shared" si="2"/>
        <v>2.4000000000000004</v>
      </c>
      <c r="L26" s="7">
        <v>0</v>
      </c>
      <c r="M26" s="7">
        <f t="shared" si="3"/>
        <v>1.5</v>
      </c>
      <c r="N26" s="7">
        <f t="shared" si="4"/>
        <v>8.0749999999999993</v>
      </c>
    </row>
    <row r="27" spans="5:16" x14ac:dyDescent="0.25">
      <c r="E27" s="1">
        <v>25</v>
      </c>
      <c r="F27" s="1">
        <f t="shared" si="0"/>
        <v>1</v>
      </c>
      <c r="G27" s="1" t="s">
        <v>36</v>
      </c>
      <c r="H27" s="1">
        <f>18+19+19+17+23</f>
        <v>96</v>
      </c>
      <c r="I27" s="7">
        <f t="shared" si="1"/>
        <v>2.4</v>
      </c>
      <c r="J27" s="1">
        <v>15</v>
      </c>
      <c r="K27" s="7">
        <f t="shared" si="2"/>
        <v>1.5</v>
      </c>
      <c r="L27" s="7">
        <v>0</v>
      </c>
      <c r="M27" s="7">
        <f t="shared" si="3"/>
        <v>1.5</v>
      </c>
      <c r="N27" s="7">
        <f t="shared" si="4"/>
        <v>6.4</v>
      </c>
    </row>
    <row r="28" spans="5:16" x14ac:dyDescent="0.25">
      <c r="E28" s="1">
        <v>26</v>
      </c>
      <c r="F28" s="1">
        <f t="shared" si="0"/>
        <v>1</v>
      </c>
      <c r="G28" s="1" t="s">
        <v>37</v>
      </c>
      <c r="H28" s="1">
        <f>16+3+1+23+20+28+23</f>
        <v>114</v>
      </c>
      <c r="I28" s="7">
        <f t="shared" si="1"/>
        <v>2.85</v>
      </c>
      <c r="J28" s="1">
        <v>16</v>
      </c>
      <c r="K28" s="7">
        <f t="shared" si="2"/>
        <v>1.6</v>
      </c>
      <c r="L28" s="7">
        <v>0</v>
      </c>
      <c r="M28" s="7">
        <f t="shared" si="3"/>
        <v>1.5</v>
      </c>
      <c r="N28" s="7">
        <f t="shared" si="4"/>
        <v>6.95</v>
      </c>
    </row>
    <row r="29" spans="5:16" x14ac:dyDescent="0.25">
      <c r="E29" s="1">
        <v>27</v>
      </c>
      <c r="F29" s="1">
        <f t="shared" si="0"/>
        <v>1</v>
      </c>
      <c r="G29" s="1" t="s">
        <v>38</v>
      </c>
      <c r="H29" s="1">
        <f>19+16+25+13+14</f>
        <v>87</v>
      </c>
      <c r="I29" s="7">
        <f t="shared" si="1"/>
        <v>2.1749999999999998</v>
      </c>
      <c r="J29" s="1">
        <v>16</v>
      </c>
      <c r="K29" s="7">
        <f t="shared" si="2"/>
        <v>1.6</v>
      </c>
      <c r="L29" s="7">
        <v>0</v>
      </c>
      <c r="M29" s="7">
        <f t="shared" si="3"/>
        <v>1.5</v>
      </c>
      <c r="N29" s="7">
        <f t="shared" si="4"/>
        <v>6.2750000000000004</v>
      </c>
    </row>
    <row r="30" spans="5:16" x14ac:dyDescent="0.25">
      <c r="E30" s="1">
        <v>28</v>
      </c>
      <c r="F30" s="1">
        <f t="shared" si="0"/>
        <v>1</v>
      </c>
      <c r="G30" s="1" t="s">
        <v>39</v>
      </c>
      <c r="H30" s="1">
        <f>14+8+27+8+26+8+14</f>
        <v>105</v>
      </c>
      <c r="I30" s="7">
        <f t="shared" si="1"/>
        <v>2.625</v>
      </c>
      <c r="J30" s="1">
        <v>18</v>
      </c>
      <c r="K30" s="7">
        <f t="shared" si="2"/>
        <v>1.8</v>
      </c>
      <c r="L30" s="7">
        <v>0</v>
      </c>
      <c r="M30" s="7">
        <f t="shared" si="3"/>
        <v>1.5</v>
      </c>
      <c r="N30" s="7">
        <f t="shared" si="4"/>
        <v>6.9249999999999998</v>
      </c>
    </row>
    <row r="31" spans="5:16" x14ac:dyDescent="0.25">
      <c r="E31" s="1">
        <v>29</v>
      </c>
      <c r="F31" s="1">
        <f t="shared" si="0"/>
        <v>1</v>
      </c>
      <c r="G31" s="1" t="s">
        <v>40</v>
      </c>
      <c r="H31" s="1">
        <f>19+21+35+24+13</f>
        <v>112</v>
      </c>
      <c r="I31" s="7">
        <f t="shared" si="1"/>
        <v>2.8</v>
      </c>
      <c r="J31" s="1">
        <v>20</v>
      </c>
      <c r="K31" s="7">
        <f t="shared" si="2"/>
        <v>2</v>
      </c>
      <c r="L31" s="7">
        <v>0</v>
      </c>
      <c r="M31" s="7">
        <f t="shared" si="3"/>
        <v>1.5</v>
      </c>
      <c r="N31" s="7">
        <f t="shared" si="4"/>
        <v>7.3</v>
      </c>
    </row>
    <row r="32" spans="5:16" x14ac:dyDescent="0.25">
      <c r="E32" s="1">
        <v>30</v>
      </c>
      <c r="F32" s="1">
        <f t="shared" si="0"/>
        <v>1</v>
      </c>
      <c r="G32" s="1" t="s">
        <v>41</v>
      </c>
      <c r="H32" s="1">
        <f>19+21+35+24+12+20+23</f>
        <v>154</v>
      </c>
      <c r="I32" s="7">
        <f t="shared" si="1"/>
        <v>3.85</v>
      </c>
      <c r="J32" s="1">
        <v>14</v>
      </c>
      <c r="K32" s="7">
        <f t="shared" si="2"/>
        <v>1.4000000000000001</v>
      </c>
      <c r="L32" s="7">
        <v>0</v>
      </c>
      <c r="M32" s="7">
        <f t="shared" si="3"/>
        <v>1.5</v>
      </c>
      <c r="N32" s="7">
        <f t="shared" si="4"/>
        <v>7.75</v>
      </c>
      <c r="O32" s="20" t="s">
        <v>42</v>
      </c>
      <c r="P32" s="20" t="s">
        <v>45</v>
      </c>
    </row>
    <row r="33" spans="3:16" s="4" customFormat="1" x14ac:dyDescent="0.25">
      <c r="C33" s="8"/>
      <c r="D33" s="8"/>
      <c r="E33" s="9"/>
      <c r="F33" s="10">
        <f t="shared" ref="F33:M33" si="5">SUM(F3:F32)</f>
        <v>30</v>
      </c>
      <c r="G33" s="10"/>
      <c r="H33" s="11">
        <f t="shared" si="5"/>
        <v>3112</v>
      </c>
      <c r="I33" s="10">
        <f t="shared" si="5"/>
        <v>77.799999999999983</v>
      </c>
      <c r="J33" s="11">
        <f t="shared" si="5"/>
        <v>510</v>
      </c>
      <c r="K33" s="10">
        <f t="shared" si="5"/>
        <v>51.000000000000007</v>
      </c>
      <c r="L33" s="10"/>
      <c r="M33" s="10">
        <f t="shared" si="5"/>
        <v>45</v>
      </c>
      <c r="N33" s="10">
        <f>SUM(N3:N32)</f>
        <v>203.80000000000004</v>
      </c>
      <c r="O33" s="10">
        <f>($N$33/30)*27647</f>
        <v>187815.28666666671</v>
      </c>
      <c r="P33" s="9">
        <f>ROUNDUP((O33/(47*5*240)),0)</f>
        <v>4</v>
      </c>
    </row>
    <row r="34" spans="3:16" x14ac:dyDescent="0.25">
      <c r="F34" s="12">
        <f>F33/N33</f>
        <v>0.14720314033366041</v>
      </c>
      <c r="I34" s="12">
        <f>I33/N33</f>
        <v>0.38174681059862592</v>
      </c>
      <c r="K34" s="12">
        <f>K33/N33</f>
        <v>0.25024533856722275</v>
      </c>
      <c r="L34" s="12"/>
      <c r="M34" s="12">
        <f>M33/N33</f>
        <v>0.22080471050049064</v>
      </c>
      <c r="N34" s="13">
        <f>F34+I34+K34+M34</f>
        <v>0.99999999999999978</v>
      </c>
    </row>
  </sheetData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&amp;R&amp;G</oddHeader>
    <oddFooter>&amp;LP_18370_12D3_Corrigé&amp;C&amp;"-,Gras italique"1 PREPARATEUR / 1 COMMANDE&amp;RV1-Avril 2023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105"/>
  <sheetViews>
    <sheetView showGridLines="0" workbookViewId="0">
      <selection activeCell="F105" sqref="F105"/>
    </sheetView>
  </sheetViews>
  <sheetFormatPr baseColWidth="10" defaultRowHeight="15" x14ac:dyDescent="0.25"/>
  <cols>
    <col min="1" max="1" width="5.5703125" customWidth="1"/>
    <col min="2" max="2" width="30.42578125" customWidth="1"/>
    <col min="3" max="3" width="10.85546875" style="3"/>
    <col min="4" max="4" width="2.5703125" style="3" customWidth="1"/>
    <col min="5" max="6" width="10.85546875" style="2"/>
    <col min="7" max="7" width="60.5703125" style="2" customWidth="1"/>
    <col min="8" max="8" width="13.140625" style="2" customWidth="1"/>
    <col min="9" max="9" width="13.5703125" style="2" customWidth="1"/>
    <col min="10" max="12" width="10.85546875" style="2"/>
    <col min="13" max="13" width="12.7109375" style="2" customWidth="1"/>
    <col min="14" max="14" width="10.85546875" style="2"/>
    <col min="15" max="15" width="21.42578125" customWidth="1"/>
    <col min="16" max="16" width="12.140625" customWidth="1"/>
  </cols>
  <sheetData>
    <row r="1" spans="2:14" ht="50.1" customHeight="1" x14ac:dyDescent="0.25"/>
    <row r="2" spans="2:14" s="5" customFormat="1" ht="39.6" customHeight="1" x14ac:dyDescent="0.25">
      <c r="B2" s="51" t="s">
        <v>46</v>
      </c>
      <c r="C2" s="51"/>
      <c r="D2" s="6"/>
      <c r="E2" s="19" t="s">
        <v>0</v>
      </c>
      <c r="F2" s="19" t="s">
        <v>1</v>
      </c>
      <c r="G2" s="19" t="s">
        <v>7</v>
      </c>
      <c r="H2" s="19" t="s">
        <v>2</v>
      </c>
      <c r="I2" s="19" t="s">
        <v>3</v>
      </c>
      <c r="J2" s="19" t="s">
        <v>4</v>
      </c>
      <c r="K2" s="19" t="s">
        <v>5</v>
      </c>
      <c r="L2" s="19" t="s">
        <v>116</v>
      </c>
      <c r="M2" s="19" t="s">
        <v>6</v>
      </c>
      <c r="N2" s="19" t="s">
        <v>43</v>
      </c>
    </row>
    <row r="3" spans="2:14" x14ac:dyDescent="0.25">
      <c r="B3" s="1" t="s">
        <v>9</v>
      </c>
      <c r="C3" s="1">
        <v>0.5</v>
      </c>
      <c r="D3" s="14">
        <v>14</v>
      </c>
      <c r="E3" s="1">
        <v>1</v>
      </c>
      <c r="F3" s="1">
        <f>$C$3</f>
        <v>0.5</v>
      </c>
      <c r="G3" s="1" t="s">
        <v>50</v>
      </c>
      <c r="H3" s="1">
        <f>D3*2</f>
        <v>28</v>
      </c>
      <c r="I3" s="7">
        <f>H3/$C$4</f>
        <v>0.7</v>
      </c>
      <c r="J3" s="1">
        <v>30</v>
      </c>
      <c r="K3" s="7">
        <f>J3*$C$5</f>
        <v>3</v>
      </c>
      <c r="L3" s="7">
        <f>J3*$C$7</f>
        <v>0.89999999999999991</v>
      </c>
      <c r="M3" s="52">
        <f>30*C6</f>
        <v>45</v>
      </c>
      <c r="N3" s="7">
        <f>F3+I3+K3+M3+L3</f>
        <v>50.1</v>
      </c>
    </row>
    <row r="4" spans="2:14" x14ac:dyDescent="0.25">
      <c r="B4" s="1" t="s">
        <v>10</v>
      </c>
      <c r="C4" s="1">
        <v>40</v>
      </c>
      <c r="D4" s="14">
        <v>14</v>
      </c>
      <c r="E4" s="1">
        <v>2</v>
      </c>
      <c r="F4" s="1">
        <f t="shared" ref="F4:F67" si="0">$C$3</f>
        <v>0.5</v>
      </c>
      <c r="G4" s="1" t="s">
        <v>50</v>
      </c>
      <c r="H4" s="1">
        <f t="shared" ref="H4:H67" si="1">D4*2</f>
        <v>28</v>
      </c>
      <c r="I4" s="7">
        <f t="shared" ref="I4:I67" si="2">H4/$C$4</f>
        <v>0.7</v>
      </c>
      <c r="J4" s="1">
        <v>30</v>
      </c>
      <c r="K4" s="7">
        <f t="shared" ref="K4:K67" si="3">J4*$C$5</f>
        <v>3</v>
      </c>
      <c r="L4" s="7">
        <f t="shared" ref="L4:L67" si="4">J4*$C$7</f>
        <v>0.89999999999999991</v>
      </c>
      <c r="M4" s="53"/>
      <c r="N4" s="7">
        <f t="shared" ref="N4:N67" si="5">F4+I4+K4+M4+L4</f>
        <v>5.0999999999999996</v>
      </c>
    </row>
    <row r="5" spans="2:14" x14ac:dyDescent="0.25">
      <c r="B5" s="1" t="s">
        <v>11</v>
      </c>
      <c r="C5" s="1">
        <v>0.1</v>
      </c>
      <c r="D5" s="14">
        <v>14</v>
      </c>
      <c r="E5" s="1">
        <v>3</v>
      </c>
      <c r="F5" s="1">
        <f t="shared" si="0"/>
        <v>0.5</v>
      </c>
      <c r="G5" s="1" t="s">
        <v>50</v>
      </c>
      <c r="H5" s="1">
        <f t="shared" si="1"/>
        <v>28</v>
      </c>
      <c r="I5" s="7">
        <f t="shared" si="2"/>
        <v>0.7</v>
      </c>
      <c r="J5" s="1">
        <v>10</v>
      </c>
      <c r="K5" s="7">
        <f t="shared" si="3"/>
        <v>1</v>
      </c>
      <c r="L5" s="7">
        <f t="shared" si="4"/>
        <v>0.3</v>
      </c>
      <c r="M5" s="53"/>
      <c r="N5" s="7">
        <f t="shared" si="5"/>
        <v>2.5</v>
      </c>
    </row>
    <row r="6" spans="2:14" x14ac:dyDescent="0.25">
      <c r="B6" s="1" t="s">
        <v>12</v>
      </c>
      <c r="C6" s="1">
        <v>1.5</v>
      </c>
      <c r="D6" s="14">
        <v>11</v>
      </c>
      <c r="E6" s="1">
        <v>4</v>
      </c>
      <c r="F6" s="1">
        <f t="shared" si="0"/>
        <v>0.5</v>
      </c>
      <c r="G6" s="1" t="s">
        <v>48</v>
      </c>
      <c r="H6" s="1">
        <f t="shared" si="1"/>
        <v>22</v>
      </c>
      <c r="I6" s="7">
        <f t="shared" si="2"/>
        <v>0.55000000000000004</v>
      </c>
      <c r="J6" s="1">
        <v>30</v>
      </c>
      <c r="K6" s="7">
        <f t="shared" si="3"/>
        <v>3</v>
      </c>
      <c r="L6" s="7">
        <f t="shared" si="4"/>
        <v>0.89999999999999991</v>
      </c>
      <c r="M6" s="53"/>
      <c r="N6" s="7">
        <f t="shared" si="5"/>
        <v>4.9499999999999993</v>
      </c>
    </row>
    <row r="7" spans="2:14" x14ac:dyDescent="0.25">
      <c r="B7" s="1" t="s">
        <v>47</v>
      </c>
      <c r="C7" s="1">
        <v>0.03</v>
      </c>
      <c r="D7" s="14">
        <v>11</v>
      </c>
      <c r="E7" s="1">
        <v>5</v>
      </c>
      <c r="F7" s="1">
        <f t="shared" si="0"/>
        <v>0.5</v>
      </c>
      <c r="G7" s="1" t="s">
        <v>48</v>
      </c>
      <c r="H7" s="1">
        <f t="shared" si="1"/>
        <v>22</v>
      </c>
      <c r="I7" s="7">
        <f t="shared" si="2"/>
        <v>0.55000000000000004</v>
      </c>
      <c r="J7" s="1">
        <v>16</v>
      </c>
      <c r="K7" s="7">
        <f t="shared" si="3"/>
        <v>1.6</v>
      </c>
      <c r="L7" s="7">
        <f t="shared" si="4"/>
        <v>0.48</v>
      </c>
      <c r="M7" s="53"/>
      <c r="N7" s="7">
        <f t="shared" si="5"/>
        <v>3.1300000000000003</v>
      </c>
    </row>
    <row r="8" spans="2:14" x14ac:dyDescent="0.25">
      <c r="B8" s="15"/>
      <c r="C8" s="15"/>
      <c r="D8" s="14">
        <v>15</v>
      </c>
      <c r="E8" s="1">
        <v>6</v>
      </c>
      <c r="F8" s="1">
        <f t="shared" si="0"/>
        <v>0.5</v>
      </c>
      <c r="G8" s="1" t="s">
        <v>49</v>
      </c>
      <c r="H8" s="1">
        <f t="shared" si="1"/>
        <v>30</v>
      </c>
      <c r="I8" s="7">
        <f t="shared" si="2"/>
        <v>0.75</v>
      </c>
      <c r="J8" s="1">
        <v>5</v>
      </c>
      <c r="K8" s="7">
        <f t="shared" si="3"/>
        <v>0.5</v>
      </c>
      <c r="L8" s="7">
        <f t="shared" si="4"/>
        <v>0.15</v>
      </c>
      <c r="M8" s="53"/>
      <c r="N8" s="7">
        <f t="shared" si="5"/>
        <v>1.9</v>
      </c>
    </row>
    <row r="9" spans="2:14" x14ac:dyDescent="0.25">
      <c r="B9" s="2"/>
      <c r="C9" s="2"/>
      <c r="D9" s="14">
        <v>12</v>
      </c>
      <c r="E9" s="1">
        <v>7</v>
      </c>
      <c r="F9" s="1">
        <f t="shared" si="0"/>
        <v>0.5</v>
      </c>
      <c r="G9" s="1" t="s">
        <v>51</v>
      </c>
      <c r="H9" s="1">
        <f t="shared" si="1"/>
        <v>24</v>
      </c>
      <c r="I9" s="7">
        <f t="shared" si="2"/>
        <v>0.6</v>
      </c>
      <c r="J9" s="1">
        <v>25</v>
      </c>
      <c r="K9" s="7">
        <f t="shared" si="3"/>
        <v>2.5</v>
      </c>
      <c r="L9" s="7">
        <f t="shared" si="4"/>
        <v>0.75</v>
      </c>
      <c r="M9" s="53"/>
      <c r="N9" s="7">
        <f t="shared" si="5"/>
        <v>4.3499999999999996</v>
      </c>
    </row>
    <row r="10" spans="2:14" x14ac:dyDescent="0.25">
      <c r="B10" s="2"/>
      <c r="C10" s="2"/>
      <c r="D10" s="14">
        <v>16</v>
      </c>
      <c r="E10" s="1">
        <v>8</v>
      </c>
      <c r="F10" s="1">
        <f t="shared" si="0"/>
        <v>0.5</v>
      </c>
      <c r="G10" s="1" t="s">
        <v>52</v>
      </c>
      <c r="H10" s="1">
        <f t="shared" si="1"/>
        <v>32</v>
      </c>
      <c r="I10" s="7">
        <f t="shared" si="2"/>
        <v>0.8</v>
      </c>
      <c r="J10" s="1">
        <v>30</v>
      </c>
      <c r="K10" s="7">
        <f t="shared" si="3"/>
        <v>3</v>
      </c>
      <c r="L10" s="7">
        <f t="shared" si="4"/>
        <v>0.89999999999999991</v>
      </c>
      <c r="M10" s="53"/>
      <c r="N10" s="7">
        <f t="shared" si="5"/>
        <v>5.1999999999999993</v>
      </c>
    </row>
    <row r="11" spans="2:14" x14ac:dyDescent="0.25">
      <c r="B11" s="2"/>
      <c r="C11" s="2"/>
      <c r="D11" s="14">
        <v>16</v>
      </c>
      <c r="E11" s="1">
        <v>9</v>
      </c>
      <c r="F11" s="1">
        <f t="shared" si="0"/>
        <v>0.5</v>
      </c>
      <c r="G11" s="1" t="s">
        <v>52</v>
      </c>
      <c r="H11" s="1">
        <f t="shared" si="1"/>
        <v>32</v>
      </c>
      <c r="I11" s="7">
        <f t="shared" si="2"/>
        <v>0.8</v>
      </c>
      <c r="J11" s="1">
        <v>23</v>
      </c>
      <c r="K11" s="7">
        <f t="shared" si="3"/>
        <v>2.3000000000000003</v>
      </c>
      <c r="L11" s="7">
        <f t="shared" si="4"/>
        <v>0.69</v>
      </c>
      <c r="M11" s="53"/>
      <c r="N11" s="7">
        <f t="shared" si="5"/>
        <v>4.2900000000000009</v>
      </c>
    </row>
    <row r="12" spans="2:14" x14ac:dyDescent="0.25">
      <c r="D12" s="14">
        <v>13</v>
      </c>
      <c r="E12" s="1">
        <v>10</v>
      </c>
      <c r="F12" s="1">
        <f t="shared" si="0"/>
        <v>0.5</v>
      </c>
      <c r="G12" s="1" t="s">
        <v>53</v>
      </c>
      <c r="H12" s="1">
        <f t="shared" si="1"/>
        <v>26</v>
      </c>
      <c r="I12" s="7">
        <f t="shared" si="2"/>
        <v>0.65</v>
      </c>
      <c r="J12" s="1">
        <v>12</v>
      </c>
      <c r="K12" s="7">
        <f t="shared" si="3"/>
        <v>1.2000000000000002</v>
      </c>
      <c r="L12" s="7">
        <f t="shared" si="4"/>
        <v>0.36</v>
      </c>
      <c r="M12" s="53"/>
      <c r="N12" s="7">
        <f t="shared" si="5"/>
        <v>2.71</v>
      </c>
    </row>
    <row r="13" spans="2:14" x14ac:dyDescent="0.25">
      <c r="D13" s="14">
        <v>17</v>
      </c>
      <c r="E13" s="1">
        <v>11</v>
      </c>
      <c r="F13" s="1">
        <f t="shared" si="0"/>
        <v>0.5</v>
      </c>
      <c r="G13" s="1" t="s">
        <v>54</v>
      </c>
      <c r="H13" s="1">
        <f t="shared" si="1"/>
        <v>34</v>
      </c>
      <c r="I13" s="7">
        <f t="shared" si="2"/>
        <v>0.85</v>
      </c>
      <c r="J13" s="1">
        <v>15</v>
      </c>
      <c r="K13" s="7">
        <f t="shared" si="3"/>
        <v>1.5</v>
      </c>
      <c r="L13" s="7">
        <f t="shared" si="4"/>
        <v>0.44999999999999996</v>
      </c>
      <c r="M13" s="53"/>
      <c r="N13" s="7">
        <f t="shared" si="5"/>
        <v>3.3</v>
      </c>
    </row>
    <row r="14" spans="2:14" x14ac:dyDescent="0.25">
      <c r="D14" s="14">
        <v>14</v>
      </c>
      <c r="E14" s="1">
        <v>12</v>
      </c>
      <c r="F14" s="1">
        <f t="shared" si="0"/>
        <v>0.5</v>
      </c>
      <c r="G14" s="1" t="s">
        <v>55</v>
      </c>
      <c r="H14" s="1">
        <f t="shared" si="1"/>
        <v>28</v>
      </c>
      <c r="I14" s="7">
        <f t="shared" si="2"/>
        <v>0.7</v>
      </c>
      <c r="J14" s="1">
        <v>4</v>
      </c>
      <c r="K14" s="7">
        <f t="shared" si="3"/>
        <v>0.4</v>
      </c>
      <c r="L14" s="7">
        <f t="shared" si="4"/>
        <v>0.12</v>
      </c>
      <c r="M14" s="53"/>
      <c r="N14" s="7">
        <f t="shared" si="5"/>
        <v>1.7200000000000002</v>
      </c>
    </row>
    <row r="15" spans="2:14" x14ac:dyDescent="0.25">
      <c r="D15" s="14">
        <v>18</v>
      </c>
      <c r="E15" s="1">
        <v>13</v>
      </c>
      <c r="F15" s="1">
        <f t="shared" si="0"/>
        <v>0.5</v>
      </c>
      <c r="G15" s="1" t="s">
        <v>56</v>
      </c>
      <c r="H15" s="1">
        <f t="shared" si="1"/>
        <v>36</v>
      </c>
      <c r="I15" s="7">
        <f t="shared" si="2"/>
        <v>0.9</v>
      </c>
      <c r="J15" s="1">
        <v>5</v>
      </c>
      <c r="K15" s="7">
        <f t="shared" si="3"/>
        <v>0.5</v>
      </c>
      <c r="L15" s="7">
        <f t="shared" si="4"/>
        <v>0.15</v>
      </c>
      <c r="M15" s="53"/>
      <c r="N15" s="7">
        <f t="shared" si="5"/>
        <v>2.0499999999999998</v>
      </c>
    </row>
    <row r="16" spans="2:14" x14ac:dyDescent="0.25">
      <c r="D16" s="14">
        <v>15</v>
      </c>
      <c r="E16" s="1">
        <v>14</v>
      </c>
      <c r="F16" s="1">
        <f t="shared" si="0"/>
        <v>0.5</v>
      </c>
      <c r="G16" s="1" t="s">
        <v>57</v>
      </c>
      <c r="H16" s="1">
        <f t="shared" si="1"/>
        <v>30</v>
      </c>
      <c r="I16" s="7">
        <f t="shared" si="2"/>
        <v>0.75</v>
      </c>
      <c r="J16" s="1">
        <v>8</v>
      </c>
      <c r="K16" s="7">
        <f t="shared" si="3"/>
        <v>0.8</v>
      </c>
      <c r="L16" s="7">
        <f t="shared" si="4"/>
        <v>0.24</v>
      </c>
      <c r="M16" s="53"/>
      <c r="N16" s="7">
        <f t="shared" si="5"/>
        <v>2.29</v>
      </c>
    </row>
    <row r="17" spans="4:14" x14ac:dyDescent="0.25">
      <c r="D17" s="14">
        <v>19</v>
      </c>
      <c r="E17" s="1">
        <v>15</v>
      </c>
      <c r="F17" s="1">
        <f t="shared" si="0"/>
        <v>0.5</v>
      </c>
      <c r="G17" s="1" t="s">
        <v>58</v>
      </c>
      <c r="H17" s="1">
        <f t="shared" si="1"/>
        <v>38</v>
      </c>
      <c r="I17" s="7">
        <f t="shared" si="2"/>
        <v>0.95</v>
      </c>
      <c r="J17" s="1">
        <v>12</v>
      </c>
      <c r="K17" s="7">
        <f t="shared" si="3"/>
        <v>1.2000000000000002</v>
      </c>
      <c r="L17" s="7">
        <f t="shared" si="4"/>
        <v>0.36</v>
      </c>
      <c r="M17" s="53"/>
      <c r="N17" s="7">
        <f t="shared" si="5"/>
        <v>3.0100000000000002</v>
      </c>
    </row>
    <row r="18" spans="4:14" x14ac:dyDescent="0.25">
      <c r="D18" s="14">
        <v>16</v>
      </c>
      <c r="E18" s="1">
        <v>16</v>
      </c>
      <c r="F18" s="1">
        <f t="shared" si="0"/>
        <v>0.5</v>
      </c>
      <c r="G18" s="1" t="s">
        <v>59</v>
      </c>
      <c r="H18" s="1">
        <f t="shared" si="1"/>
        <v>32</v>
      </c>
      <c r="I18" s="7">
        <f t="shared" si="2"/>
        <v>0.8</v>
      </c>
      <c r="J18" s="1">
        <v>5</v>
      </c>
      <c r="K18" s="7">
        <f t="shared" si="3"/>
        <v>0.5</v>
      </c>
      <c r="L18" s="7">
        <f t="shared" si="4"/>
        <v>0.15</v>
      </c>
      <c r="M18" s="53"/>
      <c r="N18" s="7">
        <f t="shared" si="5"/>
        <v>1.95</v>
      </c>
    </row>
    <row r="19" spans="4:14" x14ac:dyDescent="0.25">
      <c r="D19" s="14">
        <v>20</v>
      </c>
      <c r="E19" s="1">
        <v>17</v>
      </c>
      <c r="F19" s="1">
        <f t="shared" si="0"/>
        <v>0.5</v>
      </c>
      <c r="G19" s="1" t="s">
        <v>60</v>
      </c>
      <c r="H19" s="1">
        <f t="shared" si="1"/>
        <v>40</v>
      </c>
      <c r="I19" s="7">
        <f t="shared" si="2"/>
        <v>1</v>
      </c>
      <c r="J19" s="1">
        <v>5</v>
      </c>
      <c r="K19" s="7">
        <f t="shared" si="3"/>
        <v>0.5</v>
      </c>
      <c r="L19" s="7">
        <f t="shared" si="4"/>
        <v>0.15</v>
      </c>
      <c r="M19" s="53"/>
      <c r="N19" s="7">
        <f t="shared" si="5"/>
        <v>2.15</v>
      </c>
    </row>
    <row r="20" spans="4:14" x14ac:dyDescent="0.25">
      <c r="D20" s="14">
        <v>17</v>
      </c>
      <c r="E20" s="1">
        <v>18</v>
      </c>
      <c r="F20" s="1">
        <f t="shared" si="0"/>
        <v>0.5</v>
      </c>
      <c r="G20" s="1" t="s">
        <v>61</v>
      </c>
      <c r="H20" s="1">
        <f t="shared" si="1"/>
        <v>34</v>
      </c>
      <c r="I20" s="7">
        <f t="shared" si="2"/>
        <v>0.85</v>
      </c>
      <c r="J20" s="1">
        <v>9</v>
      </c>
      <c r="K20" s="7">
        <f t="shared" si="3"/>
        <v>0.9</v>
      </c>
      <c r="L20" s="7">
        <f t="shared" si="4"/>
        <v>0.27</v>
      </c>
      <c r="M20" s="53"/>
      <c r="N20" s="7">
        <f t="shared" si="5"/>
        <v>2.52</v>
      </c>
    </row>
    <row r="21" spans="4:14" x14ac:dyDescent="0.25">
      <c r="D21" s="14">
        <v>21</v>
      </c>
      <c r="E21" s="1">
        <v>19</v>
      </c>
      <c r="F21" s="1">
        <f t="shared" si="0"/>
        <v>0.5</v>
      </c>
      <c r="G21" s="1" t="s">
        <v>62</v>
      </c>
      <c r="H21" s="1">
        <f t="shared" si="1"/>
        <v>42</v>
      </c>
      <c r="I21" s="7">
        <f t="shared" si="2"/>
        <v>1.05</v>
      </c>
      <c r="J21" s="1">
        <v>6</v>
      </c>
      <c r="K21" s="7">
        <f t="shared" si="3"/>
        <v>0.60000000000000009</v>
      </c>
      <c r="L21" s="7">
        <f t="shared" si="4"/>
        <v>0.18</v>
      </c>
      <c r="M21" s="53"/>
      <c r="N21" s="7">
        <f t="shared" si="5"/>
        <v>2.3300000000000005</v>
      </c>
    </row>
    <row r="22" spans="4:14" x14ac:dyDescent="0.25">
      <c r="D22" s="14">
        <v>18</v>
      </c>
      <c r="E22" s="1">
        <v>20</v>
      </c>
      <c r="F22" s="1">
        <f t="shared" si="0"/>
        <v>0.5</v>
      </c>
      <c r="G22" s="1" t="s">
        <v>63</v>
      </c>
      <c r="H22" s="1">
        <f t="shared" si="1"/>
        <v>36</v>
      </c>
      <c r="I22" s="7">
        <f t="shared" si="2"/>
        <v>0.9</v>
      </c>
      <c r="J22" s="1">
        <v>7</v>
      </c>
      <c r="K22" s="7">
        <f t="shared" si="3"/>
        <v>0.70000000000000007</v>
      </c>
      <c r="L22" s="7">
        <f t="shared" si="4"/>
        <v>0.21</v>
      </c>
      <c r="M22" s="53"/>
      <c r="N22" s="7">
        <f t="shared" si="5"/>
        <v>2.31</v>
      </c>
    </row>
    <row r="23" spans="4:14" x14ac:dyDescent="0.25">
      <c r="D23" s="14">
        <v>22</v>
      </c>
      <c r="E23" s="1">
        <v>21</v>
      </c>
      <c r="F23" s="1">
        <f t="shared" si="0"/>
        <v>0.5</v>
      </c>
      <c r="G23" s="1" t="s">
        <v>64</v>
      </c>
      <c r="H23" s="1">
        <f t="shared" si="1"/>
        <v>44</v>
      </c>
      <c r="I23" s="7">
        <f t="shared" si="2"/>
        <v>1.1000000000000001</v>
      </c>
      <c r="J23" s="1">
        <v>4</v>
      </c>
      <c r="K23" s="7">
        <f t="shared" si="3"/>
        <v>0.4</v>
      </c>
      <c r="L23" s="7">
        <f t="shared" si="4"/>
        <v>0.12</v>
      </c>
      <c r="M23" s="53"/>
      <c r="N23" s="7">
        <f t="shared" si="5"/>
        <v>2.12</v>
      </c>
    </row>
    <row r="24" spans="4:14" x14ac:dyDescent="0.25">
      <c r="D24" s="14">
        <v>19</v>
      </c>
      <c r="E24" s="1">
        <v>22</v>
      </c>
      <c r="F24" s="1">
        <f t="shared" si="0"/>
        <v>0.5</v>
      </c>
      <c r="G24" s="1" t="s">
        <v>65</v>
      </c>
      <c r="H24" s="1">
        <f t="shared" si="1"/>
        <v>38</v>
      </c>
      <c r="I24" s="7">
        <f t="shared" si="2"/>
        <v>0.95</v>
      </c>
      <c r="J24" s="1">
        <v>30</v>
      </c>
      <c r="K24" s="7">
        <f t="shared" si="3"/>
        <v>3</v>
      </c>
      <c r="L24" s="7">
        <f t="shared" si="4"/>
        <v>0.89999999999999991</v>
      </c>
      <c r="M24" s="53"/>
      <c r="N24" s="7">
        <f t="shared" si="5"/>
        <v>5.35</v>
      </c>
    </row>
    <row r="25" spans="4:14" x14ac:dyDescent="0.25">
      <c r="D25" s="14">
        <v>19</v>
      </c>
      <c r="E25" s="1">
        <v>23</v>
      </c>
      <c r="F25" s="1">
        <f t="shared" si="0"/>
        <v>0.5</v>
      </c>
      <c r="G25" s="1" t="s">
        <v>65</v>
      </c>
      <c r="H25" s="1">
        <f t="shared" si="1"/>
        <v>38</v>
      </c>
      <c r="I25" s="7">
        <f t="shared" si="2"/>
        <v>0.95</v>
      </c>
      <c r="J25" s="1">
        <v>12</v>
      </c>
      <c r="K25" s="7">
        <f t="shared" si="3"/>
        <v>1.2000000000000002</v>
      </c>
      <c r="L25" s="7">
        <f t="shared" si="4"/>
        <v>0.36</v>
      </c>
      <c r="M25" s="53"/>
      <c r="N25" s="7">
        <f t="shared" si="5"/>
        <v>3.0100000000000002</v>
      </c>
    </row>
    <row r="26" spans="4:14" x14ac:dyDescent="0.25">
      <c r="D26" s="14">
        <v>23</v>
      </c>
      <c r="E26" s="1">
        <v>24</v>
      </c>
      <c r="F26" s="1">
        <f t="shared" si="0"/>
        <v>0.5</v>
      </c>
      <c r="G26" s="1" t="s">
        <v>66</v>
      </c>
      <c r="H26" s="1">
        <f t="shared" si="1"/>
        <v>46</v>
      </c>
      <c r="I26" s="7">
        <f t="shared" si="2"/>
        <v>1.1499999999999999</v>
      </c>
      <c r="J26" s="1">
        <v>8</v>
      </c>
      <c r="K26" s="7">
        <f t="shared" si="3"/>
        <v>0.8</v>
      </c>
      <c r="L26" s="7">
        <f t="shared" si="4"/>
        <v>0.24</v>
      </c>
      <c r="M26" s="53"/>
      <c r="N26" s="7">
        <f t="shared" si="5"/>
        <v>2.6900000000000004</v>
      </c>
    </row>
    <row r="27" spans="4:14" x14ac:dyDescent="0.25">
      <c r="D27" s="14">
        <v>20</v>
      </c>
      <c r="E27" s="1">
        <v>25</v>
      </c>
      <c r="F27" s="1">
        <f t="shared" si="0"/>
        <v>0.5</v>
      </c>
      <c r="G27" s="1" t="s">
        <v>67</v>
      </c>
      <c r="H27" s="1">
        <f t="shared" si="1"/>
        <v>40</v>
      </c>
      <c r="I27" s="7">
        <f t="shared" si="2"/>
        <v>1</v>
      </c>
      <c r="J27" s="1">
        <v>5</v>
      </c>
      <c r="K27" s="7">
        <f t="shared" si="3"/>
        <v>0.5</v>
      </c>
      <c r="L27" s="7">
        <f t="shared" si="4"/>
        <v>0.15</v>
      </c>
      <c r="M27" s="53"/>
      <c r="N27" s="7">
        <f t="shared" si="5"/>
        <v>2.15</v>
      </c>
    </row>
    <row r="28" spans="4:14" x14ac:dyDescent="0.25">
      <c r="D28" s="14">
        <v>24</v>
      </c>
      <c r="E28" s="1">
        <v>26</v>
      </c>
      <c r="F28" s="1">
        <f t="shared" si="0"/>
        <v>0.5</v>
      </c>
      <c r="G28" s="1" t="s">
        <v>68</v>
      </c>
      <c r="H28" s="1">
        <f t="shared" si="1"/>
        <v>48</v>
      </c>
      <c r="I28" s="7">
        <f t="shared" si="2"/>
        <v>1.2</v>
      </c>
      <c r="J28" s="1">
        <v>2</v>
      </c>
      <c r="K28" s="7">
        <f t="shared" si="3"/>
        <v>0.2</v>
      </c>
      <c r="L28" s="7">
        <f t="shared" si="4"/>
        <v>0.06</v>
      </c>
      <c r="M28" s="53"/>
      <c r="N28" s="7">
        <f t="shared" si="5"/>
        <v>1.96</v>
      </c>
    </row>
    <row r="29" spans="4:14" x14ac:dyDescent="0.25">
      <c r="D29" s="14">
        <v>25</v>
      </c>
      <c r="E29" s="1">
        <v>27</v>
      </c>
      <c r="F29" s="1">
        <f t="shared" si="0"/>
        <v>0.5</v>
      </c>
      <c r="G29" s="1" t="s">
        <v>69</v>
      </c>
      <c r="H29" s="1">
        <f t="shared" si="1"/>
        <v>50</v>
      </c>
      <c r="I29" s="7">
        <f t="shared" si="2"/>
        <v>1.25</v>
      </c>
      <c r="J29" s="1">
        <v>2</v>
      </c>
      <c r="K29" s="7">
        <f t="shared" si="3"/>
        <v>0.2</v>
      </c>
      <c r="L29" s="7">
        <f t="shared" si="4"/>
        <v>0.06</v>
      </c>
      <c r="M29" s="53"/>
      <c r="N29" s="7">
        <f t="shared" si="5"/>
        <v>2.0099999999999998</v>
      </c>
    </row>
    <row r="30" spans="4:14" x14ac:dyDescent="0.25">
      <c r="D30" s="14">
        <v>26</v>
      </c>
      <c r="E30" s="1">
        <v>28</v>
      </c>
      <c r="F30" s="1">
        <f t="shared" si="0"/>
        <v>0.5</v>
      </c>
      <c r="G30" s="1" t="s">
        <v>70</v>
      </c>
      <c r="H30" s="1">
        <f t="shared" si="1"/>
        <v>52</v>
      </c>
      <c r="I30" s="7">
        <f t="shared" si="2"/>
        <v>1.3</v>
      </c>
      <c r="J30" s="1">
        <v>2</v>
      </c>
      <c r="K30" s="7">
        <f t="shared" si="3"/>
        <v>0.2</v>
      </c>
      <c r="L30" s="7">
        <f t="shared" si="4"/>
        <v>0.06</v>
      </c>
      <c r="M30" s="53"/>
      <c r="N30" s="7">
        <f t="shared" si="5"/>
        <v>2.06</v>
      </c>
    </row>
    <row r="31" spans="4:14" x14ac:dyDescent="0.25">
      <c r="D31" s="14">
        <v>23</v>
      </c>
      <c r="E31" s="1">
        <v>29</v>
      </c>
      <c r="F31" s="1">
        <f t="shared" si="0"/>
        <v>0.5</v>
      </c>
      <c r="G31" s="1" t="s">
        <v>71</v>
      </c>
      <c r="H31" s="1">
        <f t="shared" si="1"/>
        <v>46</v>
      </c>
      <c r="I31" s="7">
        <f t="shared" si="2"/>
        <v>1.1499999999999999</v>
      </c>
      <c r="J31" s="1">
        <v>2</v>
      </c>
      <c r="K31" s="7">
        <f t="shared" si="3"/>
        <v>0.2</v>
      </c>
      <c r="L31" s="7">
        <f t="shared" si="4"/>
        <v>0.06</v>
      </c>
      <c r="M31" s="53"/>
      <c r="N31" s="7">
        <f t="shared" si="5"/>
        <v>1.91</v>
      </c>
    </row>
    <row r="32" spans="4:14" x14ac:dyDescent="0.25">
      <c r="D32" s="14">
        <v>24</v>
      </c>
      <c r="E32" s="1">
        <v>30</v>
      </c>
      <c r="F32" s="1">
        <f t="shared" si="0"/>
        <v>0.5</v>
      </c>
      <c r="G32" s="1" t="s">
        <v>72</v>
      </c>
      <c r="H32" s="1">
        <f t="shared" si="1"/>
        <v>48</v>
      </c>
      <c r="I32" s="7">
        <f t="shared" si="2"/>
        <v>1.2</v>
      </c>
      <c r="J32" s="1">
        <v>2</v>
      </c>
      <c r="K32" s="7">
        <f t="shared" si="3"/>
        <v>0.2</v>
      </c>
      <c r="L32" s="7">
        <f t="shared" si="4"/>
        <v>0.06</v>
      </c>
      <c r="M32" s="53"/>
      <c r="N32" s="7">
        <f t="shared" si="5"/>
        <v>1.96</v>
      </c>
    </row>
    <row r="33" spans="4:14" x14ac:dyDescent="0.25">
      <c r="D33" s="14">
        <v>25</v>
      </c>
      <c r="E33" s="1">
        <v>31</v>
      </c>
      <c r="F33" s="1">
        <f t="shared" si="0"/>
        <v>0.5</v>
      </c>
      <c r="G33" s="1" t="s">
        <v>73</v>
      </c>
      <c r="H33" s="1">
        <f t="shared" si="1"/>
        <v>50</v>
      </c>
      <c r="I33" s="7">
        <f t="shared" si="2"/>
        <v>1.25</v>
      </c>
      <c r="J33" s="1">
        <v>3</v>
      </c>
      <c r="K33" s="7">
        <f t="shared" si="3"/>
        <v>0.30000000000000004</v>
      </c>
      <c r="L33" s="7">
        <f t="shared" si="4"/>
        <v>0.09</v>
      </c>
      <c r="M33" s="53"/>
      <c r="N33" s="7">
        <f t="shared" si="5"/>
        <v>2.1399999999999997</v>
      </c>
    </row>
    <row r="34" spans="4:14" x14ac:dyDescent="0.25">
      <c r="D34" s="14">
        <v>29</v>
      </c>
      <c r="E34" s="1">
        <v>32</v>
      </c>
      <c r="F34" s="1">
        <f t="shared" si="0"/>
        <v>0.5</v>
      </c>
      <c r="G34" s="1" t="s">
        <v>74</v>
      </c>
      <c r="H34" s="1">
        <f t="shared" si="1"/>
        <v>58</v>
      </c>
      <c r="I34" s="7">
        <f t="shared" si="2"/>
        <v>1.45</v>
      </c>
      <c r="J34" s="1">
        <v>2</v>
      </c>
      <c r="K34" s="7">
        <f t="shared" si="3"/>
        <v>0.2</v>
      </c>
      <c r="L34" s="7">
        <f t="shared" si="4"/>
        <v>0.06</v>
      </c>
      <c r="M34" s="53"/>
      <c r="N34" s="7">
        <f t="shared" si="5"/>
        <v>2.21</v>
      </c>
    </row>
    <row r="35" spans="4:14" x14ac:dyDescent="0.25">
      <c r="D35" s="14">
        <v>31</v>
      </c>
      <c r="E35" s="1">
        <v>33</v>
      </c>
      <c r="F35" s="1">
        <f t="shared" si="0"/>
        <v>0.5</v>
      </c>
      <c r="G35" s="1" t="s">
        <v>75</v>
      </c>
      <c r="H35" s="1">
        <f t="shared" si="1"/>
        <v>62</v>
      </c>
      <c r="I35" s="7">
        <f t="shared" si="2"/>
        <v>1.55</v>
      </c>
      <c r="J35" s="1">
        <v>2</v>
      </c>
      <c r="K35" s="7">
        <f t="shared" si="3"/>
        <v>0.2</v>
      </c>
      <c r="L35" s="7">
        <f t="shared" si="4"/>
        <v>0.06</v>
      </c>
      <c r="M35" s="53"/>
      <c r="N35" s="7">
        <f t="shared" si="5"/>
        <v>2.31</v>
      </c>
    </row>
    <row r="36" spans="4:14" x14ac:dyDescent="0.25">
      <c r="D36" s="14">
        <v>28</v>
      </c>
      <c r="E36" s="1">
        <v>34</v>
      </c>
      <c r="F36" s="1">
        <f t="shared" si="0"/>
        <v>0.5</v>
      </c>
      <c r="G36" s="1" t="s">
        <v>76</v>
      </c>
      <c r="H36" s="1">
        <f t="shared" si="1"/>
        <v>56</v>
      </c>
      <c r="I36" s="7">
        <f t="shared" si="2"/>
        <v>1.4</v>
      </c>
      <c r="J36" s="1">
        <v>3</v>
      </c>
      <c r="K36" s="7">
        <f t="shared" si="3"/>
        <v>0.30000000000000004</v>
      </c>
      <c r="L36" s="7">
        <f t="shared" si="4"/>
        <v>0.09</v>
      </c>
      <c r="M36" s="53"/>
      <c r="N36" s="7">
        <f t="shared" si="5"/>
        <v>2.29</v>
      </c>
    </row>
    <row r="37" spans="4:14" x14ac:dyDescent="0.25">
      <c r="D37" s="14">
        <v>10</v>
      </c>
      <c r="E37" s="1">
        <v>35</v>
      </c>
      <c r="F37" s="1">
        <f t="shared" si="0"/>
        <v>0.5</v>
      </c>
      <c r="G37" s="1" t="s">
        <v>77</v>
      </c>
      <c r="H37" s="1">
        <f t="shared" si="1"/>
        <v>20</v>
      </c>
      <c r="I37" s="7">
        <f t="shared" si="2"/>
        <v>0.5</v>
      </c>
      <c r="J37" s="1">
        <v>2</v>
      </c>
      <c r="K37" s="7">
        <f t="shared" si="3"/>
        <v>0.2</v>
      </c>
      <c r="L37" s="7">
        <f t="shared" si="4"/>
        <v>0.06</v>
      </c>
      <c r="M37" s="53"/>
      <c r="N37" s="7">
        <f t="shared" si="5"/>
        <v>1.26</v>
      </c>
    </row>
    <row r="38" spans="4:14" x14ac:dyDescent="0.25">
      <c r="D38" s="14">
        <v>11</v>
      </c>
      <c r="E38" s="1">
        <v>36</v>
      </c>
      <c r="F38" s="1">
        <f t="shared" si="0"/>
        <v>0.5</v>
      </c>
      <c r="G38" s="1" t="s">
        <v>78</v>
      </c>
      <c r="H38" s="1">
        <f t="shared" si="1"/>
        <v>22</v>
      </c>
      <c r="I38" s="7">
        <f t="shared" si="2"/>
        <v>0.55000000000000004</v>
      </c>
      <c r="J38" s="1">
        <v>2</v>
      </c>
      <c r="K38" s="7">
        <f t="shared" si="3"/>
        <v>0.2</v>
      </c>
      <c r="L38" s="7">
        <f t="shared" si="4"/>
        <v>0.06</v>
      </c>
      <c r="M38" s="53"/>
      <c r="N38" s="7">
        <f t="shared" si="5"/>
        <v>1.31</v>
      </c>
    </row>
    <row r="39" spans="4:14" x14ac:dyDescent="0.25">
      <c r="D39" s="14">
        <v>9</v>
      </c>
      <c r="E39" s="1">
        <v>37</v>
      </c>
      <c r="F39" s="1">
        <f t="shared" si="0"/>
        <v>0.5</v>
      </c>
      <c r="G39" s="1" t="s">
        <v>79</v>
      </c>
      <c r="H39" s="1">
        <f t="shared" si="1"/>
        <v>18</v>
      </c>
      <c r="I39" s="7">
        <f t="shared" si="2"/>
        <v>0.45</v>
      </c>
      <c r="J39" s="1">
        <v>2</v>
      </c>
      <c r="K39" s="7">
        <f t="shared" si="3"/>
        <v>0.2</v>
      </c>
      <c r="L39" s="7">
        <f t="shared" si="4"/>
        <v>0.06</v>
      </c>
      <c r="M39" s="53"/>
      <c r="N39" s="7">
        <f t="shared" si="5"/>
        <v>1.21</v>
      </c>
    </row>
    <row r="40" spans="4:14" x14ac:dyDescent="0.25">
      <c r="D40" s="14">
        <v>15</v>
      </c>
      <c r="E40" s="1">
        <v>38</v>
      </c>
      <c r="F40" s="1">
        <f t="shared" si="0"/>
        <v>0.5</v>
      </c>
      <c r="G40" s="1" t="s">
        <v>80</v>
      </c>
      <c r="H40" s="1">
        <f t="shared" si="1"/>
        <v>30</v>
      </c>
      <c r="I40" s="7">
        <f t="shared" si="2"/>
        <v>0.75</v>
      </c>
      <c r="J40" s="1">
        <v>2</v>
      </c>
      <c r="K40" s="7">
        <f t="shared" si="3"/>
        <v>0.2</v>
      </c>
      <c r="L40" s="7">
        <f t="shared" si="4"/>
        <v>0.06</v>
      </c>
      <c r="M40" s="53"/>
      <c r="N40" s="7">
        <f t="shared" si="5"/>
        <v>1.51</v>
      </c>
    </row>
    <row r="41" spans="4:14" x14ac:dyDescent="0.25">
      <c r="D41" s="14">
        <v>12</v>
      </c>
      <c r="E41" s="1">
        <v>39</v>
      </c>
      <c r="F41" s="1">
        <f t="shared" si="0"/>
        <v>0.5</v>
      </c>
      <c r="G41" s="1" t="s">
        <v>81</v>
      </c>
      <c r="H41" s="1">
        <f t="shared" si="1"/>
        <v>24</v>
      </c>
      <c r="I41" s="7">
        <f t="shared" si="2"/>
        <v>0.6</v>
      </c>
      <c r="J41" s="1">
        <v>2</v>
      </c>
      <c r="K41" s="7">
        <f t="shared" si="3"/>
        <v>0.2</v>
      </c>
      <c r="L41" s="7">
        <f t="shared" si="4"/>
        <v>0.06</v>
      </c>
      <c r="M41" s="53"/>
      <c r="N41" s="7">
        <f t="shared" si="5"/>
        <v>1.36</v>
      </c>
    </row>
    <row r="42" spans="4:14" x14ac:dyDescent="0.25">
      <c r="D42" s="14">
        <v>13</v>
      </c>
      <c r="E42" s="1">
        <v>40</v>
      </c>
      <c r="F42" s="1">
        <f t="shared" si="0"/>
        <v>0.5</v>
      </c>
      <c r="G42" s="1" t="s">
        <v>82</v>
      </c>
      <c r="H42" s="1">
        <f t="shared" si="1"/>
        <v>26</v>
      </c>
      <c r="I42" s="7">
        <f t="shared" si="2"/>
        <v>0.65</v>
      </c>
      <c r="J42" s="1">
        <v>3</v>
      </c>
      <c r="K42" s="7">
        <f t="shared" si="3"/>
        <v>0.30000000000000004</v>
      </c>
      <c r="L42" s="7">
        <f t="shared" si="4"/>
        <v>0.09</v>
      </c>
      <c r="M42" s="53"/>
      <c r="N42" s="7">
        <f t="shared" si="5"/>
        <v>1.54</v>
      </c>
    </row>
    <row r="43" spans="4:14" x14ac:dyDescent="0.25">
      <c r="D43" s="14">
        <v>18</v>
      </c>
      <c r="E43" s="1">
        <v>41</v>
      </c>
      <c r="F43" s="1">
        <f t="shared" si="0"/>
        <v>0.5</v>
      </c>
      <c r="G43" s="1" t="s">
        <v>83</v>
      </c>
      <c r="H43" s="1">
        <f t="shared" si="1"/>
        <v>36</v>
      </c>
      <c r="I43" s="7">
        <f t="shared" si="2"/>
        <v>0.9</v>
      </c>
      <c r="J43" s="1">
        <v>2</v>
      </c>
      <c r="K43" s="7">
        <f t="shared" si="3"/>
        <v>0.2</v>
      </c>
      <c r="L43" s="7">
        <f t="shared" si="4"/>
        <v>0.06</v>
      </c>
      <c r="M43" s="53"/>
      <c r="N43" s="7">
        <f t="shared" si="5"/>
        <v>1.66</v>
      </c>
    </row>
    <row r="44" spans="4:14" x14ac:dyDescent="0.25">
      <c r="D44" s="14">
        <v>15</v>
      </c>
      <c r="E44" s="1">
        <v>42</v>
      </c>
      <c r="F44" s="1">
        <f t="shared" si="0"/>
        <v>0.5</v>
      </c>
      <c r="G44" s="1" t="s">
        <v>84</v>
      </c>
      <c r="H44" s="1">
        <f t="shared" si="1"/>
        <v>30</v>
      </c>
      <c r="I44" s="7">
        <f t="shared" si="2"/>
        <v>0.75</v>
      </c>
      <c r="J44" s="1">
        <v>2</v>
      </c>
      <c r="K44" s="7">
        <f t="shared" si="3"/>
        <v>0.2</v>
      </c>
      <c r="L44" s="7">
        <f t="shared" si="4"/>
        <v>0.06</v>
      </c>
      <c r="M44" s="53"/>
      <c r="N44" s="7">
        <f t="shared" si="5"/>
        <v>1.51</v>
      </c>
    </row>
    <row r="45" spans="4:14" x14ac:dyDescent="0.25">
      <c r="D45" s="14">
        <v>19</v>
      </c>
      <c r="E45" s="1">
        <v>43</v>
      </c>
      <c r="F45" s="1">
        <f t="shared" si="0"/>
        <v>0.5</v>
      </c>
      <c r="G45" s="1" t="s">
        <v>85</v>
      </c>
      <c r="H45" s="1">
        <f t="shared" si="1"/>
        <v>38</v>
      </c>
      <c r="I45" s="7">
        <f t="shared" si="2"/>
        <v>0.95</v>
      </c>
      <c r="J45" s="1">
        <v>2</v>
      </c>
      <c r="K45" s="7">
        <f t="shared" si="3"/>
        <v>0.2</v>
      </c>
      <c r="L45" s="7">
        <f t="shared" si="4"/>
        <v>0.06</v>
      </c>
      <c r="M45" s="53"/>
      <c r="N45" s="7">
        <f t="shared" si="5"/>
        <v>1.71</v>
      </c>
    </row>
    <row r="46" spans="4:14" x14ac:dyDescent="0.25">
      <c r="D46" s="14">
        <v>22</v>
      </c>
      <c r="E46" s="1">
        <v>44</v>
      </c>
      <c r="F46" s="1">
        <f t="shared" si="0"/>
        <v>0.5</v>
      </c>
      <c r="G46" s="1" t="s">
        <v>86</v>
      </c>
      <c r="H46" s="1">
        <f t="shared" si="1"/>
        <v>44</v>
      </c>
      <c r="I46" s="7">
        <f t="shared" si="2"/>
        <v>1.1000000000000001</v>
      </c>
      <c r="J46" s="1">
        <v>2</v>
      </c>
      <c r="K46" s="7">
        <f t="shared" si="3"/>
        <v>0.2</v>
      </c>
      <c r="L46" s="7">
        <f t="shared" si="4"/>
        <v>0.06</v>
      </c>
      <c r="M46" s="53"/>
      <c r="N46" s="7">
        <f t="shared" si="5"/>
        <v>1.86</v>
      </c>
    </row>
    <row r="47" spans="4:14" x14ac:dyDescent="0.25">
      <c r="D47" s="14">
        <v>23</v>
      </c>
      <c r="E47" s="1">
        <v>45</v>
      </c>
      <c r="F47" s="1">
        <f t="shared" si="0"/>
        <v>0.5</v>
      </c>
      <c r="G47" s="1" t="s">
        <v>87</v>
      </c>
      <c r="H47" s="1">
        <f t="shared" si="1"/>
        <v>46</v>
      </c>
      <c r="I47" s="7">
        <f t="shared" si="2"/>
        <v>1.1499999999999999</v>
      </c>
      <c r="J47" s="1">
        <v>2</v>
      </c>
      <c r="K47" s="7">
        <f t="shared" si="3"/>
        <v>0.2</v>
      </c>
      <c r="L47" s="7">
        <f t="shared" si="4"/>
        <v>0.06</v>
      </c>
      <c r="M47" s="53"/>
      <c r="N47" s="7">
        <f t="shared" si="5"/>
        <v>1.91</v>
      </c>
    </row>
    <row r="48" spans="4:14" x14ac:dyDescent="0.25">
      <c r="D48" s="14">
        <v>6</v>
      </c>
      <c r="E48" s="1">
        <v>46</v>
      </c>
      <c r="F48" s="1">
        <f t="shared" si="0"/>
        <v>0.5</v>
      </c>
      <c r="G48" s="1" t="s">
        <v>88</v>
      </c>
      <c r="H48" s="1">
        <f t="shared" si="1"/>
        <v>12</v>
      </c>
      <c r="I48" s="7">
        <f t="shared" si="2"/>
        <v>0.3</v>
      </c>
      <c r="J48" s="1">
        <v>2</v>
      </c>
      <c r="K48" s="7">
        <f t="shared" si="3"/>
        <v>0.2</v>
      </c>
      <c r="L48" s="7">
        <f t="shared" si="4"/>
        <v>0.06</v>
      </c>
      <c r="M48" s="53"/>
      <c r="N48" s="7">
        <f t="shared" si="5"/>
        <v>1.06</v>
      </c>
    </row>
    <row r="49" spans="4:14" x14ac:dyDescent="0.25">
      <c r="D49" s="14">
        <v>6</v>
      </c>
      <c r="E49" s="1">
        <v>47</v>
      </c>
      <c r="F49" s="1">
        <f t="shared" si="0"/>
        <v>0.5</v>
      </c>
      <c r="G49" s="1" t="s">
        <v>89</v>
      </c>
      <c r="H49" s="1">
        <f t="shared" si="1"/>
        <v>12</v>
      </c>
      <c r="I49" s="7">
        <f t="shared" si="2"/>
        <v>0.3</v>
      </c>
      <c r="J49" s="1">
        <v>2</v>
      </c>
      <c r="K49" s="7">
        <f t="shared" si="3"/>
        <v>0.2</v>
      </c>
      <c r="L49" s="7">
        <f t="shared" si="4"/>
        <v>0.06</v>
      </c>
      <c r="M49" s="53"/>
      <c r="N49" s="7">
        <f t="shared" si="5"/>
        <v>1.06</v>
      </c>
    </row>
    <row r="50" spans="4:14" x14ac:dyDescent="0.25">
      <c r="D50" s="14">
        <v>7</v>
      </c>
      <c r="E50" s="1">
        <v>48</v>
      </c>
      <c r="F50" s="1">
        <f t="shared" si="0"/>
        <v>0.5</v>
      </c>
      <c r="G50" s="1" t="s">
        <v>90</v>
      </c>
      <c r="H50" s="1">
        <f t="shared" si="1"/>
        <v>14</v>
      </c>
      <c r="I50" s="7">
        <f t="shared" si="2"/>
        <v>0.35</v>
      </c>
      <c r="J50" s="1">
        <v>2</v>
      </c>
      <c r="K50" s="7">
        <f t="shared" si="3"/>
        <v>0.2</v>
      </c>
      <c r="L50" s="7">
        <f t="shared" si="4"/>
        <v>0.06</v>
      </c>
      <c r="M50" s="53"/>
      <c r="N50" s="7">
        <f t="shared" si="5"/>
        <v>1.1100000000000001</v>
      </c>
    </row>
    <row r="51" spans="4:14" x14ac:dyDescent="0.25">
      <c r="D51" s="14">
        <v>9</v>
      </c>
      <c r="E51" s="1">
        <v>49</v>
      </c>
      <c r="F51" s="1">
        <f t="shared" si="0"/>
        <v>0.5</v>
      </c>
      <c r="G51" s="1" t="s">
        <v>117</v>
      </c>
      <c r="H51" s="1">
        <f t="shared" si="1"/>
        <v>18</v>
      </c>
      <c r="I51" s="7">
        <f t="shared" si="2"/>
        <v>0.45</v>
      </c>
      <c r="J51" s="1">
        <v>2</v>
      </c>
      <c r="K51" s="7">
        <f t="shared" si="3"/>
        <v>0.2</v>
      </c>
      <c r="L51" s="7">
        <f t="shared" si="4"/>
        <v>0.06</v>
      </c>
      <c r="M51" s="53"/>
      <c r="N51" s="7">
        <f t="shared" si="5"/>
        <v>1.21</v>
      </c>
    </row>
    <row r="52" spans="4:14" x14ac:dyDescent="0.25">
      <c r="D52" s="14">
        <v>10</v>
      </c>
      <c r="E52" s="1">
        <v>50</v>
      </c>
      <c r="F52" s="1">
        <f t="shared" si="0"/>
        <v>0.5</v>
      </c>
      <c r="G52" s="1" t="s">
        <v>91</v>
      </c>
      <c r="H52" s="1">
        <f t="shared" si="1"/>
        <v>20</v>
      </c>
      <c r="I52" s="7">
        <f t="shared" si="2"/>
        <v>0.5</v>
      </c>
      <c r="J52" s="1">
        <v>2</v>
      </c>
      <c r="K52" s="7">
        <f t="shared" si="3"/>
        <v>0.2</v>
      </c>
      <c r="L52" s="7">
        <f t="shared" si="4"/>
        <v>0.06</v>
      </c>
      <c r="M52" s="53"/>
      <c r="N52" s="7">
        <f t="shared" si="5"/>
        <v>1.26</v>
      </c>
    </row>
    <row r="53" spans="4:14" x14ac:dyDescent="0.25">
      <c r="D53" s="14">
        <v>12</v>
      </c>
      <c r="E53" s="1">
        <v>51</v>
      </c>
      <c r="F53" s="1">
        <f t="shared" si="0"/>
        <v>0.5</v>
      </c>
      <c r="G53" s="1" t="s">
        <v>92</v>
      </c>
      <c r="H53" s="1">
        <f t="shared" si="1"/>
        <v>24</v>
      </c>
      <c r="I53" s="7">
        <f t="shared" si="2"/>
        <v>0.6</v>
      </c>
      <c r="J53" s="1">
        <v>2</v>
      </c>
      <c r="K53" s="7">
        <f t="shared" si="3"/>
        <v>0.2</v>
      </c>
      <c r="L53" s="7">
        <f t="shared" si="4"/>
        <v>0.06</v>
      </c>
      <c r="M53" s="53"/>
      <c r="N53" s="7">
        <f t="shared" si="5"/>
        <v>1.36</v>
      </c>
    </row>
    <row r="54" spans="4:14" x14ac:dyDescent="0.25">
      <c r="D54" s="14">
        <v>13</v>
      </c>
      <c r="E54" s="1">
        <v>52</v>
      </c>
      <c r="F54" s="1">
        <f t="shared" si="0"/>
        <v>0.5</v>
      </c>
      <c r="G54" s="1" t="s">
        <v>93</v>
      </c>
      <c r="H54" s="1">
        <f t="shared" si="1"/>
        <v>26</v>
      </c>
      <c r="I54" s="7">
        <f t="shared" si="2"/>
        <v>0.65</v>
      </c>
      <c r="J54" s="1">
        <v>2</v>
      </c>
      <c r="K54" s="7">
        <f t="shared" si="3"/>
        <v>0.2</v>
      </c>
      <c r="L54" s="7">
        <f t="shared" si="4"/>
        <v>0.06</v>
      </c>
      <c r="M54" s="53"/>
      <c r="N54" s="7">
        <f t="shared" si="5"/>
        <v>1.41</v>
      </c>
    </row>
    <row r="55" spans="4:14" x14ac:dyDescent="0.25">
      <c r="D55" s="14">
        <v>14</v>
      </c>
      <c r="E55" s="1">
        <v>53</v>
      </c>
      <c r="F55" s="1">
        <f t="shared" si="0"/>
        <v>0.5</v>
      </c>
      <c r="G55" s="1" t="s">
        <v>94</v>
      </c>
      <c r="H55" s="1">
        <f t="shared" si="1"/>
        <v>28</v>
      </c>
      <c r="I55" s="7">
        <f t="shared" si="2"/>
        <v>0.7</v>
      </c>
      <c r="J55" s="1">
        <v>2</v>
      </c>
      <c r="K55" s="7">
        <f t="shared" si="3"/>
        <v>0.2</v>
      </c>
      <c r="L55" s="7">
        <f t="shared" si="4"/>
        <v>0.06</v>
      </c>
      <c r="M55" s="53"/>
      <c r="N55" s="7">
        <f t="shared" si="5"/>
        <v>1.46</v>
      </c>
    </row>
    <row r="56" spans="4:14" x14ac:dyDescent="0.25">
      <c r="D56" s="14">
        <v>15</v>
      </c>
      <c r="E56" s="1">
        <v>54</v>
      </c>
      <c r="F56" s="1">
        <f t="shared" si="0"/>
        <v>0.5</v>
      </c>
      <c r="G56" s="1" t="s">
        <v>95</v>
      </c>
      <c r="H56" s="1">
        <f t="shared" si="1"/>
        <v>30</v>
      </c>
      <c r="I56" s="7">
        <f t="shared" si="2"/>
        <v>0.75</v>
      </c>
      <c r="J56" s="1">
        <v>2</v>
      </c>
      <c r="K56" s="7">
        <f t="shared" si="3"/>
        <v>0.2</v>
      </c>
      <c r="L56" s="7">
        <f t="shared" si="4"/>
        <v>0.06</v>
      </c>
      <c r="M56" s="53"/>
      <c r="N56" s="7">
        <f t="shared" si="5"/>
        <v>1.51</v>
      </c>
    </row>
    <row r="57" spans="4:14" x14ac:dyDescent="0.25">
      <c r="D57" s="14">
        <v>16</v>
      </c>
      <c r="E57" s="1">
        <v>55</v>
      </c>
      <c r="F57" s="1">
        <f t="shared" si="0"/>
        <v>0.5</v>
      </c>
      <c r="G57" s="1" t="s">
        <v>96</v>
      </c>
      <c r="H57" s="1">
        <f t="shared" si="1"/>
        <v>32</v>
      </c>
      <c r="I57" s="7">
        <f t="shared" si="2"/>
        <v>0.8</v>
      </c>
      <c r="J57" s="1">
        <v>2</v>
      </c>
      <c r="K57" s="7">
        <f t="shared" si="3"/>
        <v>0.2</v>
      </c>
      <c r="L57" s="7">
        <f t="shared" si="4"/>
        <v>0.06</v>
      </c>
      <c r="M57" s="53"/>
      <c r="N57" s="7">
        <f t="shared" si="5"/>
        <v>1.56</v>
      </c>
    </row>
    <row r="58" spans="4:14" x14ac:dyDescent="0.25">
      <c r="D58" s="14">
        <v>17</v>
      </c>
      <c r="E58" s="1">
        <v>56</v>
      </c>
      <c r="F58" s="1">
        <f t="shared" si="0"/>
        <v>0.5</v>
      </c>
      <c r="G58" s="1" t="s">
        <v>97</v>
      </c>
      <c r="H58" s="1">
        <f t="shared" si="1"/>
        <v>34</v>
      </c>
      <c r="I58" s="7">
        <f t="shared" si="2"/>
        <v>0.85</v>
      </c>
      <c r="J58" s="1">
        <v>2</v>
      </c>
      <c r="K58" s="7">
        <f t="shared" si="3"/>
        <v>0.2</v>
      </c>
      <c r="L58" s="7">
        <f t="shared" si="4"/>
        <v>0.06</v>
      </c>
      <c r="M58" s="53"/>
      <c r="N58" s="7">
        <f t="shared" si="5"/>
        <v>1.61</v>
      </c>
    </row>
    <row r="59" spans="4:14" x14ac:dyDescent="0.25">
      <c r="D59" s="14">
        <v>17</v>
      </c>
      <c r="E59" s="1">
        <v>57</v>
      </c>
      <c r="F59" s="1">
        <f t="shared" si="0"/>
        <v>0.5</v>
      </c>
      <c r="G59" s="1" t="s">
        <v>98</v>
      </c>
      <c r="H59" s="1">
        <f t="shared" si="1"/>
        <v>34</v>
      </c>
      <c r="I59" s="7">
        <f t="shared" si="2"/>
        <v>0.85</v>
      </c>
      <c r="J59" s="1">
        <v>2</v>
      </c>
      <c r="K59" s="7">
        <f t="shared" si="3"/>
        <v>0.2</v>
      </c>
      <c r="L59" s="7">
        <f t="shared" si="4"/>
        <v>0.06</v>
      </c>
      <c r="M59" s="53"/>
      <c r="N59" s="7">
        <f t="shared" si="5"/>
        <v>1.61</v>
      </c>
    </row>
    <row r="60" spans="4:14" x14ac:dyDescent="0.25">
      <c r="D60" s="14">
        <v>18</v>
      </c>
      <c r="E60" s="1">
        <v>58</v>
      </c>
      <c r="F60" s="1">
        <f t="shared" si="0"/>
        <v>0.5</v>
      </c>
      <c r="G60" s="1" t="s">
        <v>99</v>
      </c>
      <c r="H60" s="1">
        <f t="shared" si="1"/>
        <v>36</v>
      </c>
      <c r="I60" s="7">
        <f t="shared" si="2"/>
        <v>0.9</v>
      </c>
      <c r="J60" s="1">
        <v>2</v>
      </c>
      <c r="K60" s="7">
        <f t="shared" si="3"/>
        <v>0.2</v>
      </c>
      <c r="L60" s="7">
        <f t="shared" si="4"/>
        <v>0.06</v>
      </c>
      <c r="M60" s="53"/>
      <c r="N60" s="7">
        <f t="shared" si="5"/>
        <v>1.66</v>
      </c>
    </row>
    <row r="61" spans="4:14" x14ac:dyDescent="0.25">
      <c r="D61" s="14">
        <v>19</v>
      </c>
      <c r="E61" s="1">
        <v>59</v>
      </c>
      <c r="F61" s="1">
        <f t="shared" si="0"/>
        <v>0.5</v>
      </c>
      <c r="G61" s="1" t="s">
        <v>100</v>
      </c>
      <c r="H61" s="1">
        <f t="shared" si="1"/>
        <v>38</v>
      </c>
      <c r="I61" s="7">
        <f t="shared" si="2"/>
        <v>0.95</v>
      </c>
      <c r="J61" s="1">
        <v>2</v>
      </c>
      <c r="K61" s="7">
        <f t="shared" si="3"/>
        <v>0.2</v>
      </c>
      <c r="L61" s="7">
        <f t="shared" si="4"/>
        <v>0.06</v>
      </c>
      <c r="M61" s="53"/>
      <c r="N61" s="7">
        <f t="shared" si="5"/>
        <v>1.71</v>
      </c>
    </row>
    <row r="62" spans="4:14" x14ac:dyDescent="0.25">
      <c r="D62" s="14">
        <v>20</v>
      </c>
      <c r="E62" s="1">
        <v>60</v>
      </c>
      <c r="F62" s="1">
        <f t="shared" si="0"/>
        <v>0.5</v>
      </c>
      <c r="G62" s="1" t="s">
        <v>101</v>
      </c>
      <c r="H62" s="1">
        <f t="shared" si="1"/>
        <v>40</v>
      </c>
      <c r="I62" s="7">
        <f t="shared" si="2"/>
        <v>1</v>
      </c>
      <c r="J62" s="1">
        <v>2</v>
      </c>
      <c r="K62" s="7">
        <f t="shared" si="3"/>
        <v>0.2</v>
      </c>
      <c r="L62" s="7">
        <f t="shared" si="4"/>
        <v>0.06</v>
      </c>
      <c r="M62" s="53"/>
      <c r="N62" s="7">
        <f t="shared" si="5"/>
        <v>1.76</v>
      </c>
    </row>
    <row r="63" spans="4:14" x14ac:dyDescent="0.25">
      <c r="D63" s="14">
        <v>21</v>
      </c>
      <c r="E63" s="1">
        <v>61</v>
      </c>
      <c r="F63" s="1">
        <f t="shared" si="0"/>
        <v>0.5</v>
      </c>
      <c r="G63" s="1" t="s">
        <v>102</v>
      </c>
      <c r="H63" s="1">
        <f t="shared" si="1"/>
        <v>42</v>
      </c>
      <c r="I63" s="7">
        <f t="shared" si="2"/>
        <v>1.05</v>
      </c>
      <c r="J63" s="1">
        <v>2</v>
      </c>
      <c r="K63" s="7">
        <f t="shared" si="3"/>
        <v>0.2</v>
      </c>
      <c r="L63" s="7">
        <f t="shared" si="4"/>
        <v>0.06</v>
      </c>
      <c r="M63" s="53"/>
      <c r="N63" s="7">
        <f t="shared" si="5"/>
        <v>1.81</v>
      </c>
    </row>
    <row r="64" spans="4:14" x14ac:dyDescent="0.25">
      <c r="D64" s="14">
        <v>22</v>
      </c>
      <c r="E64" s="1">
        <v>62</v>
      </c>
      <c r="F64" s="1">
        <f t="shared" si="0"/>
        <v>0.5</v>
      </c>
      <c r="G64" s="1" t="s">
        <v>103</v>
      </c>
      <c r="H64" s="1">
        <f t="shared" si="1"/>
        <v>44</v>
      </c>
      <c r="I64" s="7">
        <f t="shared" si="2"/>
        <v>1.1000000000000001</v>
      </c>
      <c r="J64" s="1">
        <v>2</v>
      </c>
      <c r="K64" s="7">
        <f t="shared" si="3"/>
        <v>0.2</v>
      </c>
      <c r="L64" s="7">
        <f t="shared" si="4"/>
        <v>0.06</v>
      </c>
      <c r="M64" s="53"/>
      <c r="N64" s="7">
        <f t="shared" si="5"/>
        <v>1.86</v>
      </c>
    </row>
    <row r="65" spans="4:14" x14ac:dyDescent="0.25">
      <c r="D65" s="14">
        <v>23</v>
      </c>
      <c r="E65" s="1">
        <v>63</v>
      </c>
      <c r="F65" s="1">
        <f t="shared" si="0"/>
        <v>0.5</v>
      </c>
      <c r="G65" s="1" t="s">
        <v>104</v>
      </c>
      <c r="H65" s="1">
        <f t="shared" si="1"/>
        <v>46</v>
      </c>
      <c r="I65" s="7">
        <f t="shared" si="2"/>
        <v>1.1499999999999999</v>
      </c>
      <c r="J65" s="1">
        <v>2</v>
      </c>
      <c r="K65" s="7">
        <f t="shared" si="3"/>
        <v>0.2</v>
      </c>
      <c r="L65" s="7">
        <f t="shared" si="4"/>
        <v>0.06</v>
      </c>
      <c r="M65" s="53"/>
      <c r="N65" s="7">
        <f t="shared" si="5"/>
        <v>1.91</v>
      </c>
    </row>
    <row r="66" spans="4:14" x14ac:dyDescent="0.25">
      <c r="D66" s="14">
        <v>23</v>
      </c>
      <c r="E66" s="1">
        <v>64</v>
      </c>
      <c r="F66" s="1">
        <f t="shared" si="0"/>
        <v>0.5</v>
      </c>
      <c r="G66" s="1" t="s">
        <v>105</v>
      </c>
      <c r="H66" s="1">
        <f t="shared" si="1"/>
        <v>46</v>
      </c>
      <c r="I66" s="7">
        <f t="shared" si="2"/>
        <v>1.1499999999999999</v>
      </c>
      <c r="J66" s="1">
        <v>2</v>
      </c>
      <c r="K66" s="7">
        <f t="shared" si="3"/>
        <v>0.2</v>
      </c>
      <c r="L66" s="7">
        <f t="shared" si="4"/>
        <v>0.06</v>
      </c>
      <c r="M66" s="53"/>
      <c r="N66" s="7">
        <f t="shared" si="5"/>
        <v>1.91</v>
      </c>
    </row>
    <row r="67" spans="4:14" x14ac:dyDescent="0.25">
      <c r="D67" s="14">
        <v>7</v>
      </c>
      <c r="E67" s="1">
        <v>65</v>
      </c>
      <c r="F67" s="1">
        <f t="shared" si="0"/>
        <v>0.5</v>
      </c>
      <c r="G67" s="1" t="s">
        <v>106</v>
      </c>
      <c r="H67" s="1">
        <f t="shared" si="1"/>
        <v>14</v>
      </c>
      <c r="I67" s="7">
        <f t="shared" si="2"/>
        <v>0.35</v>
      </c>
      <c r="J67" s="1">
        <v>2</v>
      </c>
      <c r="K67" s="7">
        <f t="shared" si="3"/>
        <v>0.2</v>
      </c>
      <c r="L67" s="7">
        <f t="shared" si="4"/>
        <v>0.06</v>
      </c>
      <c r="M67" s="53"/>
      <c r="N67" s="7">
        <f t="shared" si="5"/>
        <v>1.1100000000000001</v>
      </c>
    </row>
    <row r="68" spans="4:14" x14ac:dyDescent="0.25">
      <c r="D68" s="14">
        <v>8</v>
      </c>
      <c r="E68" s="1">
        <v>66</v>
      </c>
      <c r="F68" s="1">
        <f t="shared" ref="F68:F103" si="6">$C$3</f>
        <v>0.5</v>
      </c>
      <c r="G68" s="1" t="s">
        <v>107</v>
      </c>
      <c r="H68" s="1">
        <f t="shared" ref="H68:H103" si="7">D68*2</f>
        <v>16</v>
      </c>
      <c r="I68" s="7">
        <f t="shared" ref="I68:I103" si="8">H68/$C$4</f>
        <v>0.4</v>
      </c>
      <c r="J68" s="1">
        <v>2</v>
      </c>
      <c r="K68" s="7">
        <f t="shared" ref="K68:K103" si="9">J68*$C$5</f>
        <v>0.2</v>
      </c>
      <c r="L68" s="7">
        <f t="shared" ref="L68:L103" si="10">J68*$C$7</f>
        <v>0.06</v>
      </c>
      <c r="M68" s="53"/>
      <c r="N68" s="7">
        <f t="shared" ref="N68:N103" si="11">F68+I68+K68+M68+L68</f>
        <v>1.1600000000000001</v>
      </c>
    </row>
    <row r="69" spans="4:14" x14ac:dyDescent="0.25">
      <c r="D69" s="14">
        <v>11</v>
      </c>
      <c r="E69" s="1">
        <v>67</v>
      </c>
      <c r="F69" s="1">
        <f t="shared" si="6"/>
        <v>0.5</v>
      </c>
      <c r="G69" s="1" t="s">
        <v>108</v>
      </c>
      <c r="H69" s="1">
        <f t="shared" si="7"/>
        <v>22</v>
      </c>
      <c r="I69" s="7">
        <f t="shared" si="8"/>
        <v>0.55000000000000004</v>
      </c>
      <c r="J69" s="1">
        <v>2</v>
      </c>
      <c r="K69" s="7">
        <f t="shared" si="9"/>
        <v>0.2</v>
      </c>
      <c r="L69" s="7">
        <f t="shared" si="10"/>
        <v>0.06</v>
      </c>
      <c r="M69" s="53"/>
      <c r="N69" s="7">
        <f t="shared" si="11"/>
        <v>1.31</v>
      </c>
    </row>
    <row r="70" spans="4:14" x14ac:dyDescent="0.25">
      <c r="D70" s="14">
        <v>9</v>
      </c>
      <c r="E70" s="1">
        <v>68</v>
      </c>
      <c r="F70" s="1">
        <f t="shared" si="6"/>
        <v>0.5</v>
      </c>
      <c r="G70" s="1" t="s">
        <v>109</v>
      </c>
      <c r="H70" s="1">
        <f t="shared" si="7"/>
        <v>18</v>
      </c>
      <c r="I70" s="7">
        <f t="shared" si="8"/>
        <v>0.45</v>
      </c>
      <c r="J70" s="1">
        <v>2</v>
      </c>
      <c r="K70" s="7">
        <f t="shared" si="9"/>
        <v>0.2</v>
      </c>
      <c r="L70" s="7">
        <f t="shared" si="10"/>
        <v>0.06</v>
      </c>
      <c r="M70" s="53"/>
      <c r="N70" s="7">
        <f t="shared" si="11"/>
        <v>1.21</v>
      </c>
    </row>
    <row r="71" spans="4:14" x14ac:dyDescent="0.25">
      <c r="D71" s="14">
        <v>12</v>
      </c>
      <c r="E71" s="1">
        <v>69</v>
      </c>
      <c r="F71" s="1">
        <f t="shared" si="6"/>
        <v>0.5</v>
      </c>
      <c r="G71" s="1" t="s">
        <v>110</v>
      </c>
      <c r="H71" s="1">
        <f t="shared" si="7"/>
        <v>24</v>
      </c>
      <c r="I71" s="7">
        <f t="shared" si="8"/>
        <v>0.6</v>
      </c>
      <c r="J71" s="1">
        <v>2</v>
      </c>
      <c r="K71" s="7">
        <f t="shared" si="9"/>
        <v>0.2</v>
      </c>
      <c r="L71" s="7">
        <f t="shared" si="10"/>
        <v>0.06</v>
      </c>
      <c r="M71" s="53"/>
      <c r="N71" s="7">
        <f t="shared" si="11"/>
        <v>1.36</v>
      </c>
    </row>
    <row r="72" spans="4:14" x14ac:dyDescent="0.25">
      <c r="D72" s="14">
        <v>10</v>
      </c>
      <c r="E72" s="1">
        <v>70</v>
      </c>
      <c r="F72" s="1">
        <f t="shared" si="6"/>
        <v>0.5</v>
      </c>
      <c r="G72" s="1" t="s">
        <v>111</v>
      </c>
      <c r="H72" s="1">
        <f t="shared" si="7"/>
        <v>20</v>
      </c>
      <c r="I72" s="7">
        <f t="shared" si="8"/>
        <v>0.5</v>
      </c>
      <c r="J72" s="1">
        <v>2</v>
      </c>
      <c r="K72" s="7">
        <f t="shared" si="9"/>
        <v>0.2</v>
      </c>
      <c r="L72" s="7">
        <f t="shared" si="10"/>
        <v>0.06</v>
      </c>
      <c r="M72" s="53"/>
      <c r="N72" s="7">
        <f t="shared" si="11"/>
        <v>1.26</v>
      </c>
    </row>
    <row r="73" spans="4:14" x14ac:dyDescent="0.25">
      <c r="D73" s="14">
        <v>13</v>
      </c>
      <c r="E73" s="1">
        <v>71</v>
      </c>
      <c r="F73" s="1">
        <f t="shared" si="6"/>
        <v>0.5</v>
      </c>
      <c r="G73" s="1" t="s">
        <v>112</v>
      </c>
      <c r="H73" s="1">
        <f t="shared" si="7"/>
        <v>26</v>
      </c>
      <c r="I73" s="7">
        <f t="shared" si="8"/>
        <v>0.65</v>
      </c>
      <c r="J73" s="1">
        <v>2</v>
      </c>
      <c r="K73" s="7">
        <f t="shared" si="9"/>
        <v>0.2</v>
      </c>
      <c r="L73" s="7">
        <f t="shared" si="10"/>
        <v>0.06</v>
      </c>
      <c r="M73" s="53"/>
      <c r="N73" s="7">
        <f t="shared" si="11"/>
        <v>1.41</v>
      </c>
    </row>
    <row r="74" spans="4:14" x14ac:dyDescent="0.25">
      <c r="D74" s="14">
        <v>14</v>
      </c>
      <c r="E74" s="1">
        <v>72</v>
      </c>
      <c r="F74" s="1">
        <f t="shared" si="6"/>
        <v>0.5</v>
      </c>
      <c r="G74" s="1" t="s">
        <v>113</v>
      </c>
      <c r="H74" s="1">
        <f t="shared" si="7"/>
        <v>28</v>
      </c>
      <c r="I74" s="7">
        <f t="shared" si="8"/>
        <v>0.7</v>
      </c>
      <c r="J74" s="1">
        <v>3</v>
      </c>
      <c r="K74" s="7">
        <f t="shared" si="9"/>
        <v>0.30000000000000004</v>
      </c>
      <c r="L74" s="7">
        <f t="shared" si="10"/>
        <v>0.09</v>
      </c>
      <c r="M74" s="53"/>
      <c r="N74" s="7">
        <f t="shared" si="11"/>
        <v>1.59</v>
      </c>
    </row>
    <row r="75" spans="4:14" x14ac:dyDescent="0.25">
      <c r="D75" s="14">
        <v>12</v>
      </c>
      <c r="E75" s="1">
        <v>73</v>
      </c>
      <c r="F75" s="1">
        <f t="shared" si="6"/>
        <v>0.5</v>
      </c>
      <c r="G75" s="1" t="s">
        <v>114</v>
      </c>
      <c r="H75" s="1">
        <f t="shared" si="7"/>
        <v>24</v>
      </c>
      <c r="I75" s="7">
        <f t="shared" si="8"/>
        <v>0.6</v>
      </c>
      <c r="J75" s="1">
        <v>2</v>
      </c>
      <c r="K75" s="7">
        <f t="shared" si="9"/>
        <v>0.2</v>
      </c>
      <c r="L75" s="7">
        <f t="shared" si="10"/>
        <v>0.06</v>
      </c>
      <c r="M75" s="53"/>
      <c r="N75" s="7">
        <f t="shared" si="11"/>
        <v>1.36</v>
      </c>
    </row>
    <row r="76" spans="4:14" x14ac:dyDescent="0.25">
      <c r="D76" s="14">
        <v>14</v>
      </c>
      <c r="E76" s="1">
        <v>74</v>
      </c>
      <c r="F76" s="1">
        <f t="shared" si="6"/>
        <v>0.5</v>
      </c>
      <c r="G76" s="1" t="s">
        <v>115</v>
      </c>
      <c r="H76" s="1">
        <f t="shared" si="7"/>
        <v>28</v>
      </c>
      <c r="I76" s="7">
        <f t="shared" si="8"/>
        <v>0.7</v>
      </c>
      <c r="J76" s="1">
        <v>2</v>
      </c>
      <c r="K76" s="7">
        <f t="shared" si="9"/>
        <v>0.2</v>
      </c>
      <c r="L76" s="7">
        <f t="shared" si="10"/>
        <v>0.06</v>
      </c>
      <c r="M76" s="53"/>
      <c r="N76" s="7">
        <f t="shared" si="11"/>
        <v>1.46</v>
      </c>
    </row>
    <row r="77" spans="4:14" x14ac:dyDescent="0.25">
      <c r="D77" s="14">
        <v>15</v>
      </c>
      <c r="E77" s="1">
        <v>75</v>
      </c>
      <c r="F77" s="1">
        <f t="shared" si="6"/>
        <v>0.5</v>
      </c>
      <c r="G77" s="1" t="s">
        <v>131</v>
      </c>
      <c r="H77" s="1">
        <f t="shared" si="7"/>
        <v>30</v>
      </c>
      <c r="I77" s="7">
        <f t="shared" si="8"/>
        <v>0.75</v>
      </c>
      <c r="J77" s="1">
        <v>3</v>
      </c>
      <c r="K77" s="7">
        <f t="shared" si="9"/>
        <v>0.30000000000000004</v>
      </c>
      <c r="L77" s="7">
        <f t="shared" si="10"/>
        <v>0.09</v>
      </c>
      <c r="M77" s="53"/>
      <c r="N77" s="7">
        <f t="shared" si="11"/>
        <v>1.6400000000000001</v>
      </c>
    </row>
    <row r="78" spans="4:14" x14ac:dyDescent="0.25">
      <c r="D78" s="14">
        <v>18</v>
      </c>
      <c r="E78" s="1">
        <v>76</v>
      </c>
      <c r="F78" s="1">
        <f t="shared" si="6"/>
        <v>0.5</v>
      </c>
      <c r="G78" s="1" t="s">
        <v>132</v>
      </c>
      <c r="H78" s="1">
        <f t="shared" si="7"/>
        <v>36</v>
      </c>
      <c r="I78" s="7">
        <f t="shared" si="8"/>
        <v>0.9</v>
      </c>
      <c r="J78" s="1">
        <v>2</v>
      </c>
      <c r="K78" s="7">
        <f t="shared" si="9"/>
        <v>0.2</v>
      </c>
      <c r="L78" s="7">
        <f t="shared" si="10"/>
        <v>0.06</v>
      </c>
      <c r="M78" s="53"/>
      <c r="N78" s="7">
        <f t="shared" si="11"/>
        <v>1.66</v>
      </c>
    </row>
    <row r="79" spans="4:14" x14ac:dyDescent="0.25">
      <c r="D79" s="14">
        <v>16</v>
      </c>
      <c r="E79" s="1">
        <v>77</v>
      </c>
      <c r="F79" s="1">
        <f t="shared" si="6"/>
        <v>0.5</v>
      </c>
      <c r="G79" s="1" t="s">
        <v>133</v>
      </c>
      <c r="H79" s="1">
        <f t="shared" si="7"/>
        <v>32</v>
      </c>
      <c r="I79" s="7">
        <f t="shared" si="8"/>
        <v>0.8</v>
      </c>
      <c r="J79" s="1">
        <v>2</v>
      </c>
      <c r="K79" s="7">
        <f t="shared" si="9"/>
        <v>0.2</v>
      </c>
      <c r="L79" s="7">
        <f t="shared" si="10"/>
        <v>0.06</v>
      </c>
      <c r="M79" s="53"/>
      <c r="N79" s="7">
        <f t="shared" si="11"/>
        <v>1.56</v>
      </c>
    </row>
    <row r="80" spans="4:14" x14ac:dyDescent="0.25">
      <c r="D80" s="14">
        <v>19</v>
      </c>
      <c r="E80" s="1">
        <v>78</v>
      </c>
      <c r="F80" s="1">
        <f t="shared" si="6"/>
        <v>0.5</v>
      </c>
      <c r="G80" s="1" t="s">
        <v>134</v>
      </c>
      <c r="H80" s="1">
        <f t="shared" si="7"/>
        <v>38</v>
      </c>
      <c r="I80" s="7">
        <f t="shared" si="8"/>
        <v>0.95</v>
      </c>
      <c r="J80" s="1">
        <v>3</v>
      </c>
      <c r="K80" s="7">
        <f t="shared" si="9"/>
        <v>0.30000000000000004</v>
      </c>
      <c r="L80" s="7">
        <f t="shared" si="10"/>
        <v>0.09</v>
      </c>
      <c r="M80" s="53"/>
      <c r="N80" s="7">
        <f t="shared" si="11"/>
        <v>1.84</v>
      </c>
    </row>
    <row r="81" spans="4:14" x14ac:dyDescent="0.25">
      <c r="D81" s="14">
        <v>17</v>
      </c>
      <c r="E81" s="1">
        <v>79</v>
      </c>
      <c r="F81" s="1">
        <f t="shared" si="6"/>
        <v>0.5</v>
      </c>
      <c r="G81" s="1" t="s">
        <v>135</v>
      </c>
      <c r="H81" s="1">
        <f t="shared" si="7"/>
        <v>34</v>
      </c>
      <c r="I81" s="7">
        <f t="shared" si="8"/>
        <v>0.85</v>
      </c>
      <c r="J81" s="1">
        <v>2</v>
      </c>
      <c r="K81" s="7">
        <f t="shared" si="9"/>
        <v>0.2</v>
      </c>
      <c r="L81" s="7">
        <f t="shared" si="10"/>
        <v>0.06</v>
      </c>
      <c r="M81" s="53"/>
      <c r="N81" s="7">
        <f t="shared" si="11"/>
        <v>1.61</v>
      </c>
    </row>
    <row r="82" spans="4:14" x14ac:dyDescent="0.25">
      <c r="D82" s="14">
        <v>20</v>
      </c>
      <c r="E82" s="1">
        <v>80</v>
      </c>
      <c r="F82" s="1">
        <f t="shared" si="6"/>
        <v>0.5</v>
      </c>
      <c r="G82" s="1" t="s">
        <v>136</v>
      </c>
      <c r="H82" s="1">
        <f t="shared" si="7"/>
        <v>40</v>
      </c>
      <c r="I82" s="7">
        <f t="shared" si="8"/>
        <v>1</v>
      </c>
      <c r="J82" s="1">
        <v>3</v>
      </c>
      <c r="K82" s="7">
        <f t="shared" si="9"/>
        <v>0.30000000000000004</v>
      </c>
      <c r="L82" s="7">
        <f t="shared" si="10"/>
        <v>0.09</v>
      </c>
      <c r="M82" s="53"/>
      <c r="N82" s="7">
        <f t="shared" si="11"/>
        <v>1.8900000000000001</v>
      </c>
    </row>
    <row r="83" spans="4:14" x14ac:dyDescent="0.25">
      <c r="D83" s="14">
        <v>18</v>
      </c>
      <c r="E83" s="1">
        <v>81</v>
      </c>
      <c r="F83" s="1">
        <f t="shared" si="6"/>
        <v>0.5</v>
      </c>
      <c r="G83" s="1" t="s">
        <v>137</v>
      </c>
      <c r="H83" s="1">
        <f t="shared" si="7"/>
        <v>36</v>
      </c>
      <c r="I83" s="7">
        <f t="shared" si="8"/>
        <v>0.9</v>
      </c>
      <c r="J83" s="1">
        <v>3</v>
      </c>
      <c r="K83" s="7">
        <f t="shared" si="9"/>
        <v>0.30000000000000004</v>
      </c>
      <c r="L83" s="7">
        <f t="shared" si="10"/>
        <v>0.09</v>
      </c>
      <c r="M83" s="53"/>
      <c r="N83" s="7">
        <f t="shared" si="11"/>
        <v>1.79</v>
      </c>
    </row>
    <row r="84" spans="4:14" x14ac:dyDescent="0.25">
      <c r="D84" s="14">
        <v>21</v>
      </c>
      <c r="E84" s="1">
        <v>82</v>
      </c>
      <c r="F84" s="1">
        <f t="shared" si="6"/>
        <v>0.5</v>
      </c>
      <c r="G84" s="1" t="s">
        <v>138</v>
      </c>
      <c r="H84" s="1">
        <f t="shared" si="7"/>
        <v>42</v>
      </c>
      <c r="I84" s="7">
        <f t="shared" si="8"/>
        <v>1.05</v>
      </c>
      <c r="J84" s="1">
        <v>3</v>
      </c>
      <c r="K84" s="7">
        <f t="shared" si="9"/>
        <v>0.30000000000000004</v>
      </c>
      <c r="L84" s="7">
        <f t="shared" si="10"/>
        <v>0.09</v>
      </c>
      <c r="M84" s="53"/>
      <c r="N84" s="7">
        <f t="shared" si="11"/>
        <v>1.9400000000000002</v>
      </c>
    </row>
    <row r="85" spans="4:14" x14ac:dyDescent="0.25">
      <c r="D85" s="14">
        <v>19</v>
      </c>
      <c r="E85" s="1">
        <v>83</v>
      </c>
      <c r="F85" s="1">
        <f t="shared" si="6"/>
        <v>0.5</v>
      </c>
      <c r="G85" s="1" t="s">
        <v>139</v>
      </c>
      <c r="H85" s="1">
        <f t="shared" si="7"/>
        <v>38</v>
      </c>
      <c r="I85" s="7">
        <f t="shared" si="8"/>
        <v>0.95</v>
      </c>
      <c r="J85" s="1">
        <v>3</v>
      </c>
      <c r="K85" s="7">
        <f t="shared" si="9"/>
        <v>0.30000000000000004</v>
      </c>
      <c r="L85" s="7">
        <f t="shared" si="10"/>
        <v>0.09</v>
      </c>
      <c r="M85" s="53"/>
      <c r="N85" s="7">
        <f t="shared" si="11"/>
        <v>1.84</v>
      </c>
    </row>
    <row r="86" spans="4:14" x14ac:dyDescent="0.25">
      <c r="D86" s="14">
        <v>23</v>
      </c>
      <c r="E86" s="1">
        <v>84</v>
      </c>
      <c r="F86" s="1">
        <f t="shared" si="6"/>
        <v>0.5</v>
      </c>
      <c r="G86" s="1" t="s">
        <v>140</v>
      </c>
      <c r="H86" s="1">
        <f t="shared" si="7"/>
        <v>46</v>
      </c>
      <c r="I86" s="7">
        <f t="shared" si="8"/>
        <v>1.1499999999999999</v>
      </c>
      <c r="J86" s="1">
        <v>2</v>
      </c>
      <c r="K86" s="7">
        <f t="shared" si="9"/>
        <v>0.2</v>
      </c>
      <c r="L86" s="7">
        <f t="shared" si="10"/>
        <v>0.06</v>
      </c>
      <c r="M86" s="53"/>
      <c r="N86" s="7">
        <f t="shared" si="11"/>
        <v>1.91</v>
      </c>
    </row>
    <row r="87" spans="4:14" x14ac:dyDescent="0.25">
      <c r="D87" s="14">
        <v>21</v>
      </c>
      <c r="E87" s="1">
        <v>85</v>
      </c>
      <c r="F87" s="1">
        <f t="shared" si="6"/>
        <v>0.5</v>
      </c>
      <c r="G87" s="1" t="s">
        <v>141</v>
      </c>
      <c r="H87" s="1">
        <f t="shared" si="7"/>
        <v>42</v>
      </c>
      <c r="I87" s="7">
        <f t="shared" si="8"/>
        <v>1.05</v>
      </c>
      <c r="J87" s="1">
        <v>2</v>
      </c>
      <c r="K87" s="7">
        <f t="shared" si="9"/>
        <v>0.2</v>
      </c>
      <c r="L87" s="7">
        <f t="shared" si="10"/>
        <v>0.06</v>
      </c>
      <c r="M87" s="53"/>
      <c r="N87" s="7">
        <f t="shared" si="11"/>
        <v>1.81</v>
      </c>
    </row>
    <row r="88" spans="4:14" x14ac:dyDescent="0.25">
      <c r="D88" s="14">
        <v>24</v>
      </c>
      <c r="E88" s="1">
        <v>86</v>
      </c>
      <c r="F88" s="1">
        <f t="shared" si="6"/>
        <v>0.5</v>
      </c>
      <c r="G88" s="1" t="s">
        <v>142</v>
      </c>
      <c r="H88" s="1">
        <f t="shared" si="7"/>
        <v>48</v>
      </c>
      <c r="I88" s="7">
        <f t="shared" si="8"/>
        <v>1.2</v>
      </c>
      <c r="J88" s="1">
        <v>3</v>
      </c>
      <c r="K88" s="7">
        <f t="shared" si="9"/>
        <v>0.30000000000000004</v>
      </c>
      <c r="L88" s="7">
        <f t="shared" si="10"/>
        <v>0.09</v>
      </c>
      <c r="M88" s="53"/>
      <c r="N88" s="7">
        <f t="shared" si="11"/>
        <v>2.09</v>
      </c>
    </row>
    <row r="89" spans="4:14" x14ac:dyDescent="0.25">
      <c r="D89" s="14">
        <v>22</v>
      </c>
      <c r="E89" s="1">
        <v>87</v>
      </c>
      <c r="F89" s="1">
        <f t="shared" si="6"/>
        <v>0.5</v>
      </c>
      <c r="G89" s="1" t="s">
        <v>143</v>
      </c>
      <c r="H89" s="1">
        <f t="shared" si="7"/>
        <v>44</v>
      </c>
      <c r="I89" s="7">
        <f t="shared" si="8"/>
        <v>1.1000000000000001</v>
      </c>
      <c r="J89" s="1">
        <v>3</v>
      </c>
      <c r="K89" s="7">
        <f t="shared" si="9"/>
        <v>0.30000000000000004</v>
      </c>
      <c r="L89" s="7">
        <f t="shared" si="10"/>
        <v>0.09</v>
      </c>
      <c r="M89" s="53"/>
      <c r="N89" s="7">
        <f t="shared" si="11"/>
        <v>1.9900000000000002</v>
      </c>
    </row>
    <row r="90" spans="4:14" x14ac:dyDescent="0.25">
      <c r="D90" s="14">
        <v>25</v>
      </c>
      <c r="E90" s="1">
        <v>88</v>
      </c>
      <c r="F90" s="1">
        <f t="shared" si="6"/>
        <v>0.5</v>
      </c>
      <c r="G90" s="1" t="s">
        <v>144</v>
      </c>
      <c r="H90" s="1">
        <f t="shared" si="7"/>
        <v>50</v>
      </c>
      <c r="I90" s="7">
        <f t="shared" si="8"/>
        <v>1.25</v>
      </c>
      <c r="J90" s="1">
        <v>2</v>
      </c>
      <c r="K90" s="7">
        <f t="shared" si="9"/>
        <v>0.2</v>
      </c>
      <c r="L90" s="7">
        <f t="shared" si="10"/>
        <v>0.06</v>
      </c>
      <c r="M90" s="53"/>
      <c r="N90" s="7">
        <f t="shared" si="11"/>
        <v>2.0099999999999998</v>
      </c>
    </row>
    <row r="91" spans="4:14" x14ac:dyDescent="0.25">
      <c r="D91" s="14">
        <v>26</v>
      </c>
      <c r="E91" s="1">
        <v>89</v>
      </c>
      <c r="F91" s="1">
        <f t="shared" si="6"/>
        <v>0.5</v>
      </c>
      <c r="G91" s="1" t="s">
        <v>145</v>
      </c>
      <c r="H91" s="1">
        <f t="shared" si="7"/>
        <v>52</v>
      </c>
      <c r="I91" s="7">
        <f t="shared" si="8"/>
        <v>1.3</v>
      </c>
      <c r="J91" s="1">
        <v>2</v>
      </c>
      <c r="K91" s="7">
        <f t="shared" si="9"/>
        <v>0.2</v>
      </c>
      <c r="L91" s="7">
        <f t="shared" si="10"/>
        <v>0.06</v>
      </c>
      <c r="M91" s="53"/>
      <c r="N91" s="7">
        <f t="shared" si="11"/>
        <v>2.06</v>
      </c>
    </row>
    <row r="92" spans="4:14" x14ac:dyDescent="0.25">
      <c r="D92" s="14">
        <v>24</v>
      </c>
      <c r="E92" s="1">
        <v>90</v>
      </c>
      <c r="F92" s="1">
        <f t="shared" si="6"/>
        <v>0.5</v>
      </c>
      <c r="G92" s="1" t="s">
        <v>146</v>
      </c>
      <c r="H92" s="1">
        <f t="shared" si="7"/>
        <v>48</v>
      </c>
      <c r="I92" s="7">
        <f t="shared" si="8"/>
        <v>1.2</v>
      </c>
      <c r="J92" s="1">
        <v>2</v>
      </c>
      <c r="K92" s="7">
        <f t="shared" si="9"/>
        <v>0.2</v>
      </c>
      <c r="L92" s="7">
        <f t="shared" si="10"/>
        <v>0.06</v>
      </c>
      <c r="M92" s="53"/>
      <c r="N92" s="7">
        <f t="shared" si="11"/>
        <v>1.96</v>
      </c>
    </row>
    <row r="93" spans="4:14" x14ac:dyDescent="0.25">
      <c r="D93" s="14">
        <v>12</v>
      </c>
      <c r="E93" s="1">
        <v>91</v>
      </c>
      <c r="F93" s="1">
        <f t="shared" si="6"/>
        <v>0.5</v>
      </c>
      <c r="G93" s="1" t="s">
        <v>147</v>
      </c>
      <c r="H93" s="1">
        <f t="shared" si="7"/>
        <v>24</v>
      </c>
      <c r="I93" s="7">
        <f t="shared" si="8"/>
        <v>0.6</v>
      </c>
      <c r="J93" s="1">
        <v>2</v>
      </c>
      <c r="K93" s="7">
        <f t="shared" si="9"/>
        <v>0.2</v>
      </c>
      <c r="L93" s="7">
        <f t="shared" si="10"/>
        <v>0.06</v>
      </c>
      <c r="M93" s="53"/>
      <c r="N93" s="7">
        <f t="shared" si="11"/>
        <v>1.36</v>
      </c>
    </row>
    <row r="94" spans="4:14" x14ac:dyDescent="0.25">
      <c r="D94" s="14">
        <v>13</v>
      </c>
      <c r="E94" s="1">
        <v>92</v>
      </c>
      <c r="F94" s="1">
        <f t="shared" si="6"/>
        <v>0.5</v>
      </c>
      <c r="G94" s="1" t="s">
        <v>148</v>
      </c>
      <c r="H94" s="1">
        <f t="shared" si="7"/>
        <v>26</v>
      </c>
      <c r="I94" s="7">
        <f t="shared" si="8"/>
        <v>0.65</v>
      </c>
      <c r="J94" s="1">
        <v>2</v>
      </c>
      <c r="K94" s="7">
        <f t="shared" si="9"/>
        <v>0.2</v>
      </c>
      <c r="L94" s="7">
        <f t="shared" si="10"/>
        <v>0.06</v>
      </c>
      <c r="M94" s="53"/>
      <c r="N94" s="7">
        <f t="shared" si="11"/>
        <v>1.41</v>
      </c>
    </row>
    <row r="95" spans="4:14" x14ac:dyDescent="0.25">
      <c r="D95" s="14">
        <v>16</v>
      </c>
      <c r="E95" s="1">
        <v>93</v>
      </c>
      <c r="F95" s="1">
        <f t="shared" si="6"/>
        <v>0.5</v>
      </c>
      <c r="G95" s="1" t="s">
        <v>149</v>
      </c>
      <c r="H95" s="1">
        <f t="shared" si="7"/>
        <v>32</v>
      </c>
      <c r="I95" s="7">
        <f t="shared" si="8"/>
        <v>0.8</v>
      </c>
      <c r="J95" s="1">
        <v>2</v>
      </c>
      <c r="K95" s="7">
        <f t="shared" si="9"/>
        <v>0.2</v>
      </c>
      <c r="L95" s="7">
        <f t="shared" si="10"/>
        <v>0.06</v>
      </c>
      <c r="M95" s="53"/>
      <c r="N95" s="7">
        <f t="shared" si="11"/>
        <v>1.56</v>
      </c>
    </row>
    <row r="96" spans="4:14" x14ac:dyDescent="0.25">
      <c r="D96" s="14">
        <v>17</v>
      </c>
      <c r="E96" s="1">
        <v>94</v>
      </c>
      <c r="F96" s="1">
        <f t="shared" si="6"/>
        <v>0.5</v>
      </c>
      <c r="G96" s="1" t="s">
        <v>150</v>
      </c>
      <c r="H96" s="1">
        <f t="shared" si="7"/>
        <v>34</v>
      </c>
      <c r="I96" s="7">
        <f t="shared" si="8"/>
        <v>0.85</v>
      </c>
      <c r="J96" s="1">
        <v>2</v>
      </c>
      <c r="K96" s="7">
        <f t="shared" si="9"/>
        <v>0.2</v>
      </c>
      <c r="L96" s="7">
        <f t="shared" si="10"/>
        <v>0.06</v>
      </c>
      <c r="M96" s="53"/>
      <c r="N96" s="7">
        <f t="shared" si="11"/>
        <v>1.61</v>
      </c>
    </row>
    <row r="97" spans="3:16" x14ac:dyDescent="0.25">
      <c r="D97" s="14">
        <v>18</v>
      </c>
      <c r="E97" s="1">
        <v>95</v>
      </c>
      <c r="F97" s="1">
        <f t="shared" si="6"/>
        <v>0.5</v>
      </c>
      <c r="G97" s="1" t="s">
        <v>151</v>
      </c>
      <c r="H97" s="1">
        <f t="shared" si="7"/>
        <v>36</v>
      </c>
      <c r="I97" s="7">
        <f t="shared" si="8"/>
        <v>0.9</v>
      </c>
      <c r="J97" s="1">
        <v>2</v>
      </c>
      <c r="K97" s="7">
        <f t="shared" si="9"/>
        <v>0.2</v>
      </c>
      <c r="L97" s="7">
        <f t="shared" si="10"/>
        <v>0.06</v>
      </c>
      <c r="M97" s="53"/>
      <c r="N97" s="7">
        <f t="shared" si="11"/>
        <v>1.66</v>
      </c>
    </row>
    <row r="98" spans="3:16" x14ac:dyDescent="0.25">
      <c r="D98" s="14">
        <v>16</v>
      </c>
      <c r="E98" s="1">
        <v>96</v>
      </c>
      <c r="F98" s="1">
        <f t="shared" si="6"/>
        <v>0.5</v>
      </c>
      <c r="G98" s="1" t="s">
        <v>152</v>
      </c>
      <c r="H98" s="1">
        <f t="shared" si="7"/>
        <v>32</v>
      </c>
      <c r="I98" s="7">
        <f t="shared" si="8"/>
        <v>0.8</v>
      </c>
      <c r="J98" s="1">
        <v>2</v>
      </c>
      <c r="K98" s="7">
        <f t="shared" si="9"/>
        <v>0.2</v>
      </c>
      <c r="L98" s="7">
        <f t="shared" si="10"/>
        <v>0.06</v>
      </c>
      <c r="M98" s="53"/>
      <c r="N98" s="7">
        <f t="shared" si="11"/>
        <v>1.56</v>
      </c>
    </row>
    <row r="99" spans="3:16" x14ac:dyDescent="0.25">
      <c r="D99" s="14">
        <v>19</v>
      </c>
      <c r="E99" s="1">
        <v>97</v>
      </c>
      <c r="F99" s="1">
        <f t="shared" si="6"/>
        <v>0.5</v>
      </c>
      <c r="G99" s="1" t="s">
        <v>153</v>
      </c>
      <c r="H99" s="1">
        <f t="shared" si="7"/>
        <v>38</v>
      </c>
      <c r="I99" s="7">
        <f t="shared" si="8"/>
        <v>0.95</v>
      </c>
      <c r="J99" s="1">
        <v>2</v>
      </c>
      <c r="K99" s="7">
        <f t="shared" si="9"/>
        <v>0.2</v>
      </c>
      <c r="L99" s="7">
        <f t="shared" si="10"/>
        <v>0.06</v>
      </c>
      <c r="M99" s="53"/>
      <c r="N99" s="7">
        <f t="shared" si="11"/>
        <v>1.71</v>
      </c>
    </row>
    <row r="100" spans="3:16" x14ac:dyDescent="0.25">
      <c r="D100" s="14">
        <v>17</v>
      </c>
      <c r="E100" s="1">
        <v>98</v>
      </c>
      <c r="F100" s="1">
        <f t="shared" si="6"/>
        <v>0.5</v>
      </c>
      <c r="G100" s="1" t="s">
        <v>154</v>
      </c>
      <c r="H100" s="1">
        <f t="shared" si="7"/>
        <v>34</v>
      </c>
      <c r="I100" s="7">
        <f t="shared" si="8"/>
        <v>0.85</v>
      </c>
      <c r="J100" s="1">
        <v>2</v>
      </c>
      <c r="K100" s="7">
        <f t="shared" si="9"/>
        <v>0.2</v>
      </c>
      <c r="L100" s="7">
        <f t="shared" si="10"/>
        <v>0.06</v>
      </c>
      <c r="M100" s="53"/>
      <c r="N100" s="7">
        <f t="shared" si="11"/>
        <v>1.61</v>
      </c>
    </row>
    <row r="101" spans="3:16" x14ac:dyDescent="0.25">
      <c r="D101" s="14">
        <v>18</v>
      </c>
      <c r="E101" s="1">
        <v>99</v>
      </c>
      <c r="F101" s="1">
        <f t="shared" si="6"/>
        <v>0.5</v>
      </c>
      <c r="G101" s="1" t="s">
        <v>155</v>
      </c>
      <c r="H101" s="1">
        <f t="shared" si="7"/>
        <v>36</v>
      </c>
      <c r="I101" s="7">
        <f t="shared" si="8"/>
        <v>0.9</v>
      </c>
      <c r="J101" s="1">
        <v>2</v>
      </c>
      <c r="K101" s="7">
        <f t="shared" si="9"/>
        <v>0.2</v>
      </c>
      <c r="L101" s="7">
        <f t="shared" si="10"/>
        <v>0.06</v>
      </c>
      <c r="M101" s="53"/>
      <c r="N101" s="7">
        <f t="shared" si="11"/>
        <v>1.66</v>
      </c>
    </row>
    <row r="102" spans="3:16" x14ac:dyDescent="0.25">
      <c r="D102" s="14">
        <v>21</v>
      </c>
      <c r="E102" s="1">
        <v>100</v>
      </c>
      <c r="F102" s="1">
        <f t="shared" si="6"/>
        <v>0.5</v>
      </c>
      <c r="G102" s="1" t="s">
        <v>156</v>
      </c>
      <c r="H102" s="1">
        <f t="shared" si="7"/>
        <v>42</v>
      </c>
      <c r="I102" s="7">
        <f t="shared" si="8"/>
        <v>1.05</v>
      </c>
      <c r="J102" s="1">
        <v>2</v>
      </c>
      <c r="K102" s="7">
        <f t="shared" si="9"/>
        <v>0.2</v>
      </c>
      <c r="L102" s="7">
        <f t="shared" si="10"/>
        <v>0.06</v>
      </c>
      <c r="M102" s="53"/>
      <c r="N102" s="7">
        <f t="shared" si="11"/>
        <v>1.81</v>
      </c>
    </row>
    <row r="103" spans="3:16" x14ac:dyDescent="0.25">
      <c r="D103" s="14">
        <v>28</v>
      </c>
      <c r="E103" s="1">
        <v>101</v>
      </c>
      <c r="F103" s="1">
        <f t="shared" si="6"/>
        <v>0.5</v>
      </c>
      <c r="G103" s="1" t="s">
        <v>157</v>
      </c>
      <c r="H103" s="1">
        <f t="shared" si="7"/>
        <v>56</v>
      </c>
      <c r="I103" s="7">
        <f t="shared" si="8"/>
        <v>1.4</v>
      </c>
      <c r="J103" s="1">
        <v>2</v>
      </c>
      <c r="K103" s="7">
        <f t="shared" si="9"/>
        <v>0.2</v>
      </c>
      <c r="L103" s="7">
        <f t="shared" si="10"/>
        <v>0.06</v>
      </c>
      <c r="M103" s="54"/>
      <c r="N103" s="7">
        <f t="shared" si="11"/>
        <v>2.16</v>
      </c>
      <c r="O103" s="18" t="s">
        <v>42</v>
      </c>
      <c r="P103" s="18" t="s">
        <v>45</v>
      </c>
    </row>
    <row r="104" spans="3:16" s="4" customFormat="1" x14ac:dyDescent="0.25">
      <c r="C104" s="8"/>
      <c r="D104" s="8"/>
      <c r="E104" s="9"/>
      <c r="F104" s="10">
        <f>SUM(F3:F103)</f>
        <v>50.5</v>
      </c>
      <c r="G104" s="10"/>
      <c r="H104" s="11">
        <f t="shared" ref="H104:N104" si="12">SUM(H3:H103)</f>
        <v>3474</v>
      </c>
      <c r="I104" s="10">
        <f t="shared" si="12"/>
        <v>86.85</v>
      </c>
      <c r="J104" s="11">
        <f t="shared" si="12"/>
        <v>510</v>
      </c>
      <c r="K104" s="10">
        <f t="shared" si="12"/>
        <v>51.000000000000142</v>
      </c>
      <c r="L104" s="10">
        <f t="shared" si="12"/>
        <v>15.300000000000031</v>
      </c>
      <c r="M104" s="10">
        <f t="shared" si="12"/>
        <v>45</v>
      </c>
      <c r="N104" s="10">
        <f t="shared" si="12"/>
        <v>248.65000000000015</v>
      </c>
      <c r="O104" s="10">
        <f>(N104/30)*27647</f>
        <v>229147.55166666678</v>
      </c>
      <c r="P104" s="9">
        <f>ROUNDUP((O104/(47*5*240)),0)</f>
        <v>5</v>
      </c>
    </row>
    <row r="105" spans="3:16" x14ac:dyDescent="0.25">
      <c r="F105" s="12">
        <f>F104/N104</f>
        <v>0.20309672230042217</v>
      </c>
      <c r="I105" s="12">
        <f>I104/N104</f>
        <v>0.34928614518399331</v>
      </c>
      <c r="K105" s="12">
        <f>K104/N104</f>
        <v>0.20510758093706058</v>
      </c>
      <c r="L105" s="12">
        <f>L104/N104</f>
        <v>6.1532274281118127E-2</v>
      </c>
      <c r="M105" s="12">
        <f>M104/N104</f>
        <v>0.1809772772974059</v>
      </c>
      <c r="N105" s="13">
        <f>F105+I105+K105+M105+L105</f>
        <v>1</v>
      </c>
    </row>
  </sheetData>
  <mergeCells count="2">
    <mergeCell ref="B2:C2"/>
    <mergeCell ref="M3:M103"/>
  </mergeCells>
  <pageMargins left="0.70866141732283472" right="0.70866141732283472" top="0.74803149606299213" bottom="0.74803149606299213" header="0.31496062992125984" footer="0.31496062992125984"/>
  <pageSetup paperSize="9" scale="30" orientation="landscape" r:id="rId1"/>
  <headerFooter>
    <oddHeader>&amp;R&amp;G</oddHeader>
    <oddFooter>&amp;LP_18370_12D3_Corrigé&amp;C&amp;"-,Gras italique"1 PREPARATEUR / PLUSIEURS CDES MONO REF&amp;RV1-Avril 2023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21"/>
  <sheetViews>
    <sheetView showGridLines="0" workbookViewId="0">
      <selection activeCell="B13" sqref="B13"/>
    </sheetView>
  </sheetViews>
  <sheetFormatPr baseColWidth="10" defaultRowHeight="15" x14ac:dyDescent="0.25"/>
  <cols>
    <col min="1" max="1" width="5.5703125" customWidth="1"/>
    <col min="2" max="2" width="30.42578125" customWidth="1"/>
    <col min="3" max="3" width="10.85546875" style="3"/>
    <col min="4" max="4" width="2.5703125" style="3" customWidth="1"/>
    <col min="5" max="6" width="10.85546875" style="2"/>
    <col min="7" max="7" width="60.5703125" style="2" customWidth="1"/>
    <col min="8" max="8" width="13.140625" style="2" customWidth="1"/>
    <col min="9" max="9" width="13.5703125" style="2" customWidth="1"/>
    <col min="10" max="12" width="10.85546875" style="2"/>
    <col min="13" max="13" width="12.7109375" style="2" customWidth="1"/>
    <col min="14" max="14" width="10.85546875" style="2"/>
    <col min="15" max="15" width="21.42578125" customWidth="1"/>
    <col min="16" max="16" width="12.140625" customWidth="1"/>
  </cols>
  <sheetData>
    <row r="1" spans="2:14" ht="50.1" customHeight="1" x14ac:dyDescent="0.25"/>
    <row r="2" spans="2:14" s="5" customFormat="1" ht="39.6" customHeight="1" x14ac:dyDescent="0.25">
      <c r="B2" s="55" t="s">
        <v>119</v>
      </c>
      <c r="C2" s="55"/>
      <c r="D2" s="6"/>
      <c r="E2" s="22" t="s">
        <v>0</v>
      </c>
      <c r="F2" s="22" t="s">
        <v>1</v>
      </c>
      <c r="G2" s="22" t="s">
        <v>7</v>
      </c>
      <c r="H2" s="22" t="s">
        <v>2</v>
      </c>
      <c r="I2" s="22" t="s">
        <v>3</v>
      </c>
      <c r="J2" s="22" t="s">
        <v>4</v>
      </c>
      <c r="K2" s="22" t="s">
        <v>5</v>
      </c>
      <c r="L2" s="22" t="s">
        <v>116</v>
      </c>
      <c r="M2" s="22" t="s">
        <v>6</v>
      </c>
      <c r="N2" s="22" t="s">
        <v>43</v>
      </c>
    </row>
    <row r="3" spans="2:14" x14ac:dyDescent="0.25">
      <c r="B3" s="1" t="s">
        <v>9</v>
      </c>
      <c r="C3" s="1">
        <v>0.5</v>
      </c>
      <c r="D3" s="14">
        <v>14</v>
      </c>
      <c r="E3" s="1">
        <v>1</v>
      </c>
      <c r="F3" s="1">
        <f>$C$3</f>
        <v>0.5</v>
      </c>
      <c r="G3" s="1" t="s">
        <v>50</v>
      </c>
      <c r="H3" s="1">
        <f>14*2</f>
        <v>28</v>
      </c>
      <c r="I3" s="7">
        <f>H3/$C$4</f>
        <v>0.7</v>
      </c>
      <c r="J3" s="1">
        <v>30</v>
      </c>
      <c r="K3" s="7">
        <f>J3*$C$5</f>
        <v>3</v>
      </c>
      <c r="L3" s="7">
        <f>J3*$C$7</f>
        <v>0.89999999999999991</v>
      </c>
      <c r="M3" s="52">
        <f>30*C6</f>
        <v>45</v>
      </c>
      <c r="N3" s="7">
        <f>F3+I3+K3+M3+L3</f>
        <v>50.1</v>
      </c>
    </row>
    <row r="4" spans="2:14" x14ac:dyDescent="0.25">
      <c r="B4" s="1" t="s">
        <v>10</v>
      </c>
      <c r="C4" s="1">
        <v>40</v>
      </c>
      <c r="D4" s="14">
        <v>14</v>
      </c>
      <c r="E4" s="1">
        <v>2</v>
      </c>
      <c r="F4" s="1">
        <f t="shared" ref="F4:F19" si="0">$C$3</f>
        <v>0.5</v>
      </c>
      <c r="G4" s="1" t="s">
        <v>50</v>
      </c>
      <c r="H4" s="1">
        <f>14*2</f>
        <v>28</v>
      </c>
      <c r="I4" s="7">
        <f t="shared" ref="I4:I19" si="1">H4/$C$4</f>
        <v>0.7</v>
      </c>
      <c r="J4" s="1">
        <v>30</v>
      </c>
      <c r="K4" s="7">
        <f t="shared" ref="K4:K19" si="2">J4*$C$5</f>
        <v>3</v>
      </c>
      <c r="L4" s="7">
        <f t="shared" ref="L4:L19" si="3">J4*$C$7</f>
        <v>0.89999999999999991</v>
      </c>
      <c r="M4" s="53"/>
      <c r="N4" s="7">
        <f t="shared" ref="N4:N19" si="4">F4+I4+K4+M4+L4</f>
        <v>5.0999999999999996</v>
      </c>
    </row>
    <row r="5" spans="2:14" x14ac:dyDescent="0.25">
      <c r="B5" s="1" t="s">
        <v>11</v>
      </c>
      <c r="C5" s="1">
        <v>0.1</v>
      </c>
      <c r="D5" s="14">
        <v>14</v>
      </c>
      <c r="E5" s="1">
        <v>3</v>
      </c>
      <c r="F5" s="1">
        <f t="shared" si="0"/>
        <v>0.5</v>
      </c>
      <c r="G5" s="1" t="s">
        <v>118</v>
      </c>
      <c r="H5" s="1">
        <f>14+3+1+18</f>
        <v>36</v>
      </c>
      <c r="I5" s="7">
        <f t="shared" si="1"/>
        <v>0.9</v>
      </c>
      <c r="J5" s="16">
        <v>30</v>
      </c>
      <c r="K5" s="7">
        <f t="shared" si="2"/>
        <v>3</v>
      </c>
      <c r="L5" s="7">
        <f t="shared" si="3"/>
        <v>0.89999999999999991</v>
      </c>
      <c r="M5" s="53"/>
      <c r="N5" s="7">
        <f>F5+I5+K5+M5+L5</f>
        <v>5.3000000000000007</v>
      </c>
    </row>
    <row r="6" spans="2:14" x14ac:dyDescent="0.25">
      <c r="B6" s="1" t="s">
        <v>12</v>
      </c>
      <c r="C6" s="1">
        <v>1.5</v>
      </c>
      <c r="D6" s="14">
        <v>11</v>
      </c>
      <c r="E6" s="1">
        <v>4</v>
      </c>
      <c r="F6" s="1">
        <f t="shared" si="0"/>
        <v>0.5</v>
      </c>
      <c r="G6" s="1" t="s">
        <v>48</v>
      </c>
      <c r="H6" s="1">
        <f>11*2</f>
        <v>22</v>
      </c>
      <c r="I6" s="7">
        <f t="shared" si="1"/>
        <v>0.55000000000000004</v>
      </c>
      <c r="J6" s="1">
        <v>30</v>
      </c>
      <c r="K6" s="7">
        <f t="shared" si="2"/>
        <v>3</v>
      </c>
      <c r="L6" s="7">
        <f t="shared" si="3"/>
        <v>0.89999999999999991</v>
      </c>
      <c r="M6" s="53"/>
      <c r="N6" s="7">
        <f>F6+I6+K6+M6+L6</f>
        <v>4.9499999999999993</v>
      </c>
    </row>
    <row r="7" spans="2:14" x14ac:dyDescent="0.25">
      <c r="B7" s="1" t="s">
        <v>47</v>
      </c>
      <c r="C7" s="1">
        <v>0.03</v>
      </c>
      <c r="D7" s="14">
        <v>11</v>
      </c>
      <c r="E7" s="1">
        <v>5</v>
      </c>
      <c r="F7" s="1">
        <f t="shared" si="0"/>
        <v>0.5</v>
      </c>
      <c r="G7" s="1" t="s">
        <v>123</v>
      </c>
      <c r="H7" s="1">
        <f>11+2+5+11</f>
        <v>29</v>
      </c>
      <c r="I7" s="7">
        <f t="shared" si="1"/>
        <v>0.72499999999999998</v>
      </c>
      <c r="J7" s="16">
        <v>30</v>
      </c>
      <c r="K7" s="7">
        <f t="shared" si="2"/>
        <v>3</v>
      </c>
      <c r="L7" s="7">
        <f t="shared" si="3"/>
        <v>0.89999999999999991</v>
      </c>
      <c r="M7" s="53"/>
      <c r="N7" s="7">
        <f t="shared" si="4"/>
        <v>5.125</v>
      </c>
    </row>
    <row r="8" spans="2:14" x14ac:dyDescent="0.25">
      <c r="B8" s="15"/>
      <c r="C8" s="15"/>
      <c r="D8" s="14">
        <v>15</v>
      </c>
      <c r="E8" s="1">
        <v>6</v>
      </c>
      <c r="F8" s="1">
        <f t="shared" si="0"/>
        <v>0.5</v>
      </c>
      <c r="G8" s="1" t="s">
        <v>120</v>
      </c>
      <c r="H8" s="1">
        <f>15+1+8+24</f>
        <v>48</v>
      </c>
      <c r="I8" s="7">
        <f t="shared" si="1"/>
        <v>1.2</v>
      </c>
      <c r="J8" s="16">
        <v>30</v>
      </c>
      <c r="K8" s="7">
        <f t="shared" si="2"/>
        <v>3</v>
      </c>
      <c r="L8" s="7">
        <f t="shared" si="3"/>
        <v>0.89999999999999991</v>
      </c>
      <c r="M8" s="53"/>
      <c r="N8" s="7">
        <f t="shared" si="4"/>
        <v>5.6</v>
      </c>
    </row>
    <row r="9" spans="2:14" x14ac:dyDescent="0.25">
      <c r="B9" s="2"/>
      <c r="C9" s="2"/>
      <c r="D9" s="14">
        <v>12</v>
      </c>
      <c r="E9" s="1">
        <v>7</v>
      </c>
      <c r="F9" s="1">
        <f t="shared" si="0"/>
        <v>0.5</v>
      </c>
      <c r="G9" s="1" t="s">
        <v>121</v>
      </c>
      <c r="H9" s="1">
        <f>12+4+16</f>
        <v>32</v>
      </c>
      <c r="I9" s="7">
        <f t="shared" si="1"/>
        <v>0.8</v>
      </c>
      <c r="J9" s="16">
        <v>30</v>
      </c>
      <c r="K9" s="7">
        <f t="shared" si="2"/>
        <v>3</v>
      </c>
      <c r="L9" s="7">
        <f t="shared" si="3"/>
        <v>0.89999999999999991</v>
      </c>
      <c r="M9" s="53"/>
      <c r="N9" s="7">
        <f t="shared" si="4"/>
        <v>5.1999999999999993</v>
      </c>
    </row>
    <row r="10" spans="2:14" x14ac:dyDescent="0.25">
      <c r="B10" s="2"/>
      <c r="C10" s="2"/>
      <c r="D10" s="14">
        <v>16</v>
      </c>
      <c r="E10" s="1">
        <v>8</v>
      </c>
      <c r="F10" s="1">
        <f t="shared" si="0"/>
        <v>0.5</v>
      </c>
      <c r="G10" s="1" t="s">
        <v>52</v>
      </c>
      <c r="H10" s="1">
        <f>16*2</f>
        <v>32</v>
      </c>
      <c r="I10" s="7">
        <f t="shared" si="1"/>
        <v>0.8</v>
      </c>
      <c r="J10" s="1">
        <v>30</v>
      </c>
      <c r="K10" s="7">
        <f t="shared" si="2"/>
        <v>3</v>
      </c>
      <c r="L10" s="7">
        <f t="shared" si="3"/>
        <v>0.89999999999999991</v>
      </c>
      <c r="M10" s="53"/>
      <c r="N10" s="7">
        <f t="shared" si="4"/>
        <v>5.1999999999999993</v>
      </c>
    </row>
    <row r="11" spans="2:14" x14ac:dyDescent="0.25">
      <c r="D11" s="14">
        <v>14</v>
      </c>
      <c r="E11" s="1">
        <v>9</v>
      </c>
      <c r="F11" s="1">
        <f t="shared" si="0"/>
        <v>0.5</v>
      </c>
      <c r="G11" s="1" t="s">
        <v>125</v>
      </c>
      <c r="H11" s="1">
        <f>14+3+1+10+10</f>
        <v>38</v>
      </c>
      <c r="I11" s="7">
        <f t="shared" si="1"/>
        <v>0.95</v>
      </c>
      <c r="J11" s="16">
        <v>30</v>
      </c>
      <c r="K11" s="7">
        <f t="shared" si="2"/>
        <v>3</v>
      </c>
      <c r="L11" s="7">
        <f t="shared" si="3"/>
        <v>0.89999999999999991</v>
      </c>
      <c r="M11" s="53"/>
      <c r="N11" s="7">
        <f t="shared" si="4"/>
        <v>5.35</v>
      </c>
    </row>
    <row r="12" spans="2:14" x14ac:dyDescent="0.25">
      <c r="D12" s="14">
        <v>19</v>
      </c>
      <c r="E12" s="1">
        <v>10</v>
      </c>
      <c r="F12" s="1">
        <f t="shared" si="0"/>
        <v>0.5</v>
      </c>
      <c r="G12" s="1" t="s">
        <v>122</v>
      </c>
      <c r="H12" s="1">
        <f>19+2+1+1+23</f>
        <v>46</v>
      </c>
      <c r="I12" s="7">
        <f t="shared" si="1"/>
        <v>1.1499999999999999</v>
      </c>
      <c r="J12" s="16">
        <v>30</v>
      </c>
      <c r="K12" s="7">
        <f t="shared" si="2"/>
        <v>3</v>
      </c>
      <c r="L12" s="7">
        <f t="shared" si="3"/>
        <v>0.89999999999999991</v>
      </c>
      <c r="M12" s="53"/>
      <c r="N12" s="7">
        <f t="shared" si="4"/>
        <v>5.5500000000000007</v>
      </c>
    </row>
    <row r="13" spans="2:14" x14ac:dyDescent="0.25">
      <c r="D13" s="14">
        <v>20</v>
      </c>
      <c r="E13" s="1">
        <v>11</v>
      </c>
      <c r="F13" s="1">
        <f t="shared" si="0"/>
        <v>0.5</v>
      </c>
      <c r="G13" s="16" t="s">
        <v>124</v>
      </c>
      <c r="H13" s="16">
        <f>20+5+1+3+2+10+3+1+1+3+3+19</f>
        <v>71</v>
      </c>
      <c r="I13" s="7">
        <f t="shared" si="1"/>
        <v>1.7749999999999999</v>
      </c>
      <c r="J13" s="16">
        <v>30</v>
      </c>
      <c r="K13" s="7">
        <f t="shared" si="2"/>
        <v>3</v>
      </c>
      <c r="L13" s="7">
        <f t="shared" si="3"/>
        <v>0.89999999999999991</v>
      </c>
      <c r="M13" s="53"/>
      <c r="N13" s="7">
        <f t="shared" si="4"/>
        <v>6.1750000000000007</v>
      </c>
    </row>
    <row r="14" spans="2:14" x14ac:dyDescent="0.25">
      <c r="D14" s="14">
        <v>19</v>
      </c>
      <c r="E14" s="1">
        <v>12</v>
      </c>
      <c r="F14" s="1">
        <f t="shared" si="0"/>
        <v>0.5</v>
      </c>
      <c r="G14" s="1" t="s">
        <v>65</v>
      </c>
      <c r="H14" s="1">
        <f>19*2</f>
        <v>38</v>
      </c>
      <c r="I14" s="7">
        <f t="shared" si="1"/>
        <v>0.95</v>
      </c>
      <c r="J14" s="1">
        <v>30</v>
      </c>
      <c r="K14" s="7">
        <f t="shared" si="2"/>
        <v>3</v>
      </c>
      <c r="L14" s="7">
        <f t="shared" si="3"/>
        <v>0.89999999999999991</v>
      </c>
      <c r="M14" s="53"/>
      <c r="N14" s="7">
        <f t="shared" si="4"/>
        <v>5.35</v>
      </c>
    </row>
    <row r="15" spans="2:14" x14ac:dyDescent="0.25">
      <c r="D15" s="14">
        <v>19</v>
      </c>
      <c r="E15" s="1">
        <v>13</v>
      </c>
      <c r="F15" s="1">
        <f t="shared" si="0"/>
        <v>0.5</v>
      </c>
      <c r="G15" s="16" t="s">
        <v>126</v>
      </c>
      <c r="H15" s="16">
        <f>15+6+3+4+16+8+3+5+7+4+6</f>
        <v>77</v>
      </c>
      <c r="I15" s="7">
        <f t="shared" si="1"/>
        <v>1.925</v>
      </c>
      <c r="J15" s="16">
        <v>30</v>
      </c>
      <c r="K15" s="7">
        <f t="shared" si="2"/>
        <v>3</v>
      </c>
      <c r="L15" s="7">
        <f t="shared" si="3"/>
        <v>0.89999999999999991</v>
      </c>
      <c r="M15" s="53"/>
      <c r="N15" s="7">
        <f t="shared" si="4"/>
        <v>6.3249999999999993</v>
      </c>
    </row>
    <row r="16" spans="2:14" x14ac:dyDescent="0.25">
      <c r="D16" s="14">
        <v>13</v>
      </c>
      <c r="E16" s="1">
        <v>14</v>
      </c>
      <c r="F16" s="1">
        <f t="shared" si="0"/>
        <v>0.5</v>
      </c>
      <c r="G16" s="16" t="s">
        <v>127</v>
      </c>
      <c r="H16" s="16">
        <f>13+3+2+3+1+1+1+1+2+10+1+5+1+4+15</f>
        <v>63</v>
      </c>
      <c r="I16" s="7">
        <f t="shared" si="1"/>
        <v>1.575</v>
      </c>
      <c r="J16" s="16">
        <v>30</v>
      </c>
      <c r="K16" s="7">
        <f t="shared" si="2"/>
        <v>3</v>
      </c>
      <c r="L16" s="7">
        <f t="shared" si="3"/>
        <v>0.89999999999999991</v>
      </c>
      <c r="M16" s="53"/>
      <c r="N16" s="7">
        <f t="shared" si="4"/>
        <v>5.9749999999999996</v>
      </c>
    </row>
    <row r="17" spans="3:16" x14ac:dyDescent="0.25">
      <c r="D17" s="14">
        <v>6</v>
      </c>
      <c r="E17" s="1">
        <v>15</v>
      </c>
      <c r="F17" s="1">
        <f t="shared" si="0"/>
        <v>0.5</v>
      </c>
      <c r="G17" s="1" t="s">
        <v>128</v>
      </c>
      <c r="H17" s="1">
        <f>6+1+3+3+2+12+1+1+1+2+2+2+2+1+19</f>
        <v>58</v>
      </c>
      <c r="I17" s="7">
        <f t="shared" si="1"/>
        <v>1.45</v>
      </c>
      <c r="J17" s="1">
        <v>30</v>
      </c>
      <c r="K17" s="7">
        <f t="shared" si="2"/>
        <v>3</v>
      </c>
      <c r="L17" s="7">
        <f t="shared" si="3"/>
        <v>0.89999999999999991</v>
      </c>
      <c r="M17" s="53"/>
      <c r="N17" s="7">
        <f t="shared" si="4"/>
        <v>5.85</v>
      </c>
    </row>
    <row r="18" spans="3:16" x14ac:dyDescent="0.25">
      <c r="D18" s="14">
        <v>14</v>
      </c>
      <c r="E18" s="1">
        <v>16</v>
      </c>
      <c r="F18" s="1">
        <f t="shared" si="0"/>
        <v>0.5</v>
      </c>
      <c r="G18" s="1" t="s">
        <v>129</v>
      </c>
      <c r="H18" s="1">
        <f>17+4+1+2+11+1+1+1+2+1+1+5+14</f>
        <v>61</v>
      </c>
      <c r="I18" s="7">
        <f t="shared" si="1"/>
        <v>1.5249999999999999</v>
      </c>
      <c r="J18" s="1">
        <v>30</v>
      </c>
      <c r="K18" s="7">
        <f t="shared" si="2"/>
        <v>3</v>
      </c>
      <c r="L18" s="7">
        <f t="shared" si="3"/>
        <v>0.89999999999999991</v>
      </c>
      <c r="M18" s="53"/>
      <c r="N18" s="7">
        <f t="shared" si="4"/>
        <v>5.9250000000000007</v>
      </c>
    </row>
    <row r="19" spans="3:16" x14ac:dyDescent="0.25">
      <c r="D19" s="14">
        <v>18</v>
      </c>
      <c r="E19" s="1">
        <v>17</v>
      </c>
      <c r="F19" s="1">
        <f t="shared" si="0"/>
        <v>0.5</v>
      </c>
      <c r="G19" s="1" t="s">
        <v>130</v>
      </c>
      <c r="H19" s="1">
        <f>18+5+1+1+4+1+3+1+1+10+15+7+1+1+1+16</f>
        <v>86</v>
      </c>
      <c r="I19" s="7">
        <f t="shared" si="1"/>
        <v>2.15</v>
      </c>
      <c r="J19" s="1">
        <v>30</v>
      </c>
      <c r="K19" s="7">
        <f t="shared" si="2"/>
        <v>3</v>
      </c>
      <c r="L19" s="7">
        <f t="shared" si="3"/>
        <v>0.89999999999999991</v>
      </c>
      <c r="M19" s="54"/>
      <c r="N19" s="7">
        <f t="shared" si="4"/>
        <v>6.5500000000000007</v>
      </c>
      <c r="O19" s="17" t="s">
        <v>42</v>
      </c>
      <c r="P19" s="17" t="s">
        <v>45</v>
      </c>
    </row>
    <row r="20" spans="3:16" s="4" customFormat="1" x14ac:dyDescent="0.25">
      <c r="C20" s="8"/>
      <c r="D20" s="8"/>
      <c r="E20" s="9"/>
      <c r="F20" s="10">
        <f>SUM(F3:F19)</f>
        <v>8.5</v>
      </c>
      <c r="G20" s="10"/>
      <c r="H20" s="11">
        <f t="shared" ref="H20:N20" si="5">SUM(H3:H19)</f>
        <v>793</v>
      </c>
      <c r="I20" s="10">
        <f t="shared" si="5"/>
        <v>19.824999999999996</v>
      </c>
      <c r="J20" s="11">
        <f t="shared" si="5"/>
        <v>510</v>
      </c>
      <c r="K20" s="10">
        <f t="shared" si="5"/>
        <v>51</v>
      </c>
      <c r="L20" s="10">
        <f t="shared" si="5"/>
        <v>15.300000000000004</v>
      </c>
      <c r="M20" s="10">
        <f t="shared" si="5"/>
        <v>45</v>
      </c>
      <c r="N20" s="10">
        <f t="shared" si="5"/>
        <v>139.625</v>
      </c>
      <c r="O20" s="10">
        <f>(N20/30)*27647</f>
        <v>128673.74583333333</v>
      </c>
      <c r="P20" s="9">
        <f>ROUNDUP((O20/(47*5*240)),0)</f>
        <v>3</v>
      </c>
    </row>
    <row r="21" spans="3:16" x14ac:dyDescent="0.25">
      <c r="F21" s="12">
        <f>F20/N20</f>
        <v>6.087735004476276E-2</v>
      </c>
      <c r="I21" s="12">
        <f>I20/N20</f>
        <v>0.14198746642793192</v>
      </c>
      <c r="K21" s="12">
        <f>K20/N20</f>
        <v>0.36526410026857653</v>
      </c>
      <c r="L21" s="12">
        <f>L20/N20</f>
        <v>0.10957923008057299</v>
      </c>
      <c r="M21" s="12">
        <f>M20/N20</f>
        <v>0.32229185317815578</v>
      </c>
      <c r="N21" s="13">
        <f>F21+I21+K21+M21+L21</f>
        <v>1</v>
      </c>
    </row>
  </sheetData>
  <mergeCells count="2">
    <mergeCell ref="B2:C2"/>
    <mergeCell ref="M3:M19"/>
  </mergeCells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&amp;R&amp;G</oddHeader>
    <oddFooter>&amp;LP_18370_12D3_Corrigé&amp;C&amp;"-,Gras italique"1 PREPARATEUR / PLUSIEURS CDES MULTI REF&amp;RV1-Avril 2023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L27"/>
  <sheetViews>
    <sheetView showGridLines="0" topLeftCell="A4" workbookViewId="0">
      <selection activeCell="B37" sqref="B37"/>
    </sheetView>
  </sheetViews>
  <sheetFormatPr baseColWidth="10" defaultRowHeight="15" x14ac:dyDescent="0.25"/>
  <cols>
    <col min="1" max="1" width="10.5703125" customWidth="1"/>
    <col min="2" max="2" width="35" customWidth="1"/>
    <col min="3" max="4" width="13.5703125" customWidth="1"/>
    <col min="5" max="5" width="14.42578125" customWidth="1"/>
    <col min="6" max="6" width="8" customWidth="1"/>
    <col min="7" max="7" width="10.42578125" customWidth="1"/>
    <col min="8" max="8" width="11.5703125" customWidth="1"/>
    <col min="9" max="12" width="13.5703125" customWidth="1"/>
  </cols>
  <sheetData>
    <row r="1" spans="2:12" ht="50.1" customHeight="1" thickBot="1" x14ac:dyDescent="0.3"/>
    <row r="2" spans="2:12" ht="15.75" thickBot="1" x14ac:dyDescent="0.3">
      <c r="C2" s="83" t="s">
        <v>162</v>
      </c>
      <c r="D2" s="84"/>
      <c r="E2" s="84"/>
      <c r="F2" s="84"/>
      <c r="G2" s="84"/>
      <c r="H2" s="84"/>
      <c r="I2" s="84"/>
      <c r="J2" s="85"/>
      <c r="K2" s="86" t="s">
        <v>163</v>
      </c>
      <c r="L2" s="87"/>
    </row>
    <row r="3" spans="2:12" ht="45.75" thickBot="1" x14ac:dyDescent="0.3">
      <c r="C3" s="23" t="s">
        <v>158</v>
      </c>
      <c r="D3" s="24" t="s">
        <v>2</v>
      </c>
      <c r="E3" s="24" t="s">
        <v>3</v>
      </c>
      <c r="F3" s="24" t="s">
        <v>4</v>
      </c>
      <c r="G3" s="24" t="s">
        <v>5</v>
      </c>
      <c r="H3" s="24" t="s">
        <v>116</v>
      </c>
      <c r="I3" s="24" t="s">
        <v>159</v>
      </c>
      <c r="J3" s="36" t="s">
        <v>43</v>
      </c>
      <c r="K3" s="35" t="s">
        <v>160</v>
      </c>
      <c r="L3" s="25" t="s">
        <v>161</v>
      </c>
    </row>
    <row r="4" spans="2:12" ht="9.9499999999999993" customHeight="1" thickBot="1" x14ac:dyDescent="0.3"/>
    <row r="5" spans="2:12" ht="24.95" customHeight="1" x14ac:dyDescent="0.25">
      <c r="B5" s="100" t="s">
        <v>44</v>
      </c>
      <c r="C5" s="37">
        <f>'1 PREP - 1 CDE'!F33</f>
        <v>30</v>
      </c>
      <c r="D5" s="92">
        <f>'1 PREP - 1 CDE'!H33</f>
        <v>3112</v>
      </c>
      <c r="E5" s="26">
        <f>'1 PREP - 1 CDE'!I33</f>
        <v>77.799999999999983</v>
      </c>
      <c r="F5" s="92">
        <f>'1 PREP - 1 CDE'!J33</f>
        <v>510</v>
      </c>
      <c r="G5" s="26">
        <f>'1 PREP - 1 CDE'!K33</f>
        <v>51.000000000000007</v>
      </c>
      <c r="H5" s="27"/>
      <c r="I5" s="26">
        <f>'1 PREP - 1 CDE'!M33</f>
        <v>45</v>
      </c>
      <c r="J5" s="38">
        <f>'1 PREP - 1 CDE'!N33</f>
        <v>203.80000000000004</v>
      </c>
      <c r="K5" s="98">
        <f>'1 PREP - 1 CDE'!O33</f>
        <v>187815.28666666671</v>
      </c>
      <c r="L5" s="88">
        <f>'1 PREP - 1 CDE'!P33</f>
        <v>4</v>
      </c>
    </row>
    <row r="6" spans="2:12" ht="24.95" customHeight="1" thickBot="1" x14ac:dyDescent="0.3">
      <c r="B6" s="101"/>
      <c r="C6" s="39">
        <f>'1 PREP - 1 CDE'!F34</f>
        <v>0.14720314033366041</v>
      </c>
      <c r="D6" s="93"/>
      <c r="E6" s="31">
        <f>'1 PREP - 1 CDE'!I34</f>
        <v>0.38174681059862592</v>
      </c>
      <c r="F6" s="93"/>
      <c r="G6" s="31">
        <f>'1 PREP - 1 CDE'!K34</f>
        <v>0.25024533856722275</v>
      </c>
      <c r="H6" s="28"/>
      <c r="I6" s="31">
        <f>'1 PREP - 1 CDE'!M34</f>
        <v>0.22080471050049064</v>
      </c>
      <c r="J6" s="40">
        <f>'1 PREP - 1 CDE'!N34</f>
        <v>0.99999999999999978</v>
      </c>
      <c r="K6" s="99"/>
      <c r="L6" s="89"/>
    </row>
    <row r="7" spans="2:12" ht="9.9499999999999993" customHeight="1" thickBot="1" x14ac:dyDescent="0.3">
      <c r="B7" s="34"/>
      <c r="K7" s="34"/>
      <c r="L7" s="34"/>
    </row>
    <row r="8" spans="2:12" ht="24.95" customHeight="1" x14ac:dyDescent="0.25">
      <c r="B8" s="81" t="s">
        <v>46</v>
      </c>
      <c r="C8" s="41">
        <f>'1 PREP - PLUSIEURS CDES MONO'!F104</f>
        <v>50.5</v>
      </c>
      <c r="D8" s="94">
        <f>'1 PREP - PLUSIEURS CDES MONO'!H104</f>
        <v>3474</v>
      </c>
      <c r="E8" s="29">
        <f>'1 PREP - PLUSIEURS CDES MONO'!I104</f>
        <v>86.85</v>
      </c>
      <c r="F8" s="94">
        <f>'1 PREP - PLUSIEURS CDES MONO'!J104</f>
        <v>510</v>
      </c>
      <c r="G8" s="29">
        <f>'1 PREP - PLUSIEURS CDES MONO'!K104</f>
        <v>51.000000000000142</v>
      </c>
      <c r="H8" s="29">
        <f>'1 PREP - PLUSIEURS CDES MONO'!L104</f>
        <v>15.300000000000031</v>
      </c>
      <c r="I8" s="29">
        <f>'1 PREP - PLUSIEURS CDES MONO'!M104</f>
        <v>45</v>
      </c>
      <c r="J8" s="42">
        <f>'1 PREP - PLUSIEURS CDES MONO'!N104</f>
        <v>248.65000000000015</v>
      </c>
      <c r="K8" s="96">
        <f>'1 PREP - PLUSIEURS CDES MONO'!O104</f>
        <v>229147.55166666678</v>
      </c>
      <c r="L8" s="90">
        <f>'1 PREP - PLUSIEURS CDES MONO'!P104</f>
        <v>5</v>
      </c>
    </row>
    <row r="9" spans="2:12" ht="24.95" customHeight="1" thickBot="1" x14ac:dyDescent="0.3">
      <c r="B9" s="82"/>
      <c r="C9" s="43">
        <f>'1 PREP - PLUSIEURS CDES MONO'!F105</f>
        <v>0.20309672230042217</v>
      </c>
      <c r="D9" s="95"/>
      <c r="E9" s="32">
        <f>'1 PREP - PLUSIEURS CDES MONO'!I105</f>
        <v>0.34928614518399331</v>
      </c>
      <c r="F9" s="95"/>
      <c r="G9" s="32">
        <f>'1 PREP - PLUSIEURS CDES MONO'!K105</f>
        <v>0.20510758093706058</v>
      </c>
      <c r="H9" s="32">
        <f>'1 PREP - PLUSIEURS CDES MONO'!L105</f>
        <v>6.1532274281118127E-2</v>
      </c>
      <c r="I9" s="32">
        <f>'1 PREP - PLUSIEURS CDES MONO'!M105</f>
        <v>0.1809772772974059</v>
      </c>
      <c r="J9" s="44">
        <f>'1 PREP - PLUSIEURS CDES MONO'!N105</f>
        <v>1</v>
      </c>
      <c r="K9" s="97"/>
      <c r="L9" s="91"/>
    </row>
    <row r="10" spans="2:12" ht="9.9499999999999993" customHeight="1" thickBot="1" x14ac:dyDescent="0.3">
      <c r="B10" s="34"/>
      <c r="K10" s="34"/>
      <c r="L10" s="34"/>
    </row>
    <row r="11" spans="2:12" ht="24.95" customHeight="1" x14ac:dyDescent="0.25">
      <c r="B11" s="73" t="s">
        <v>119</v>
      </c>
      <c r="C11" s="45">
        <f>+'1 PREP - PLUSIEURS CDES MULTI'!F20</f>
        <v>8.5</v>
      </c>
      <c r="D11" s="75">
        <f>+'1 PREP - PLUSIEURS CDES MULTI'!H20</f>
        <v>793</v>
      </c>
      <c r="E11" s="30">
        <f>'1 PREP - PLUSIEURS CDES MULTI'!I20</f>
        <v>19.824999999999996</v>
      </c>
      <c r="F11" s="75">
        <f>'1 PREP - PLUSIEURS CDES MULTI'!J20</f>
        <v>510</v>
      </c>
      <c r="G11" s="30">
        <f>'1 PREP - PLUSIEURS CDES MULTI'!K20</f>
        <v>51</v>
      </c>
      <c r="H11" s="30">
        <f>'1 PREP - PLUSIEURS CDES MULTI'!L20</f>
        <v>15.300000000000004</v>
      </c>
      <c r="I11" s="30">
        <f>'1 PREP - PLUSIEURS CDES MULTI'!M20</f>
        <v>45</v>
      </c>
      <c r="J11" s="46">
        <f>'1 PREP - PLUSIEURS CDES MULTI'!N20</f>
        <v>139.625</v>
      </c>
      <c r="K11" s="77">
        <f>'1 PREP - PLUSIEURS CDES MULTI'!O20</f>
        <v>128673.74583333333</v>
      </c>
      <c r="L11" s="79">
        <f>'1 PREP - PLUSIEURS CDES MULTI'!P20</f>
        <v>3</v>
      </c>
    </row>
    <row r="12" spans="2:12" ht="24.95" customHeight="1" thickBot="1" x14ac:dyDescent="0.3">
      <c r="B12" s="74"/>
      <c r="C12" s="47">
        <f>+'1 PREP - PLUSIEURS CDES MULTI'!F21</f>
        <v>6.087735004476276E-2</v>
      </c>
      <c r="D12" s="76"/>
      <c r="E12" s="33">
        <f>'1 PREP - PLUSIEURS CDES MULTI'!I21</f>
        <v>0.14198746642793192</v>
      </c>
      <c r="F12" s="76"/>
      <c r="G12" s="33">
        <f>'1 PREP - PLUSIEURS CDES MULTI'!K21</f>
        <v>0.36526410026857653</v>
      </c>
      <c r="H12" s="33">
        <f>'1 PREP - PLUSIEURS CDES MULTI'!L21</f>
        <v>0.10957923008057299</v>
      </c>
      <c r="I12" s="33">
        <f>'1 PREP - PLUSIEURS CDES MULTI'!M21</f>
        <v>0.32229185317815578</v>
      </c>
      <c r="J12" s="48">
        <f>'1 PREP - PLUSIEURS CDES MULTI'!N21</f>
        <v>1</v>
      </c>
      <c r="K12" s="78"/>
      <c r="L12" s="80"/>
    </row>
    <row r="14" spans="2:12" ht="15.75" thickBot="1" x14ac:dyDescent="0.3"/>
    <row r="15" spans="2:12" x14ac:dyDescent="0.25">
      <c r="B15" s="63" t="s">
        <v>164</v>
      </c>
      <c r="C15" s="64"/>
      <c r="D15" s="64"/>
      <c r="E15" s="64"/>
      <c r="F15" s="64"/>
      <c r="G15" s="64"/>
      <c r="H15" s="64"/>
      <c r="I15" s="64"/>
      <c r="J15" s="64"/>
      <c r="K15" s="64"/>
      <c r="L15" s="65"/>
    </row>
    <row r="16" spans="2:12" x14ac:dyDescent="0.25">
      <c r="B16" s="56" t="s">
        <v>165</v>
      </c>
      <c r="C16" s="57"/>
      <c r="D16" s="57"/>
      <c r="E16" s="57"/>
      <c r="F16" s="57"/>
      <c r="G16" s="57"/>
      <c r="H16" s="57"/>
      <c r="I16" s="57"/>
      <c r="J16" s="57"/>
      <c r="K16" s="57"/>
      <c r="L16" s="58"/>
    </row>
    <row r="17" spans="2:12" x14ac:dyDescent="0.25">
      <c r="B17" s="59"/>
      <c r="C17" s="57"/>
      <c r="D17" s="57"/>
      <c r="E17" s="57"/>
      <c r="F17" s="57"/>
      <c r="G17" s="57"/>
      <c r="H17" s="57"/>
      <c r="I17" s="57"/>
      <c r="J17" s="57"/>
      <c r="K17" s="57"/>
      <c r="L17" s="58"/>
    </row>
    <row r="18" spans="2:12" x14ac:dyDescent="0.25">
      <c r="B18" s="59"/>
      <c r="C18" s="57"/>
      <c r="D18" s="57"/>
      <c r="E18" s="57"/>
      <c r="F18" s="57"/>
      <c r="G18" s="57"/>
      <c r="H18" s="57"/>
      <c r="I18" s="57"/>
      <c r="J18" s="57"/>
      <c r="K18" s="57"/>
      <c r="L18" s="58"/>
    </row>
    <row r="19" spans="2:12" ht="15.75" thickBot="1" x14ac:dyDescent="0.3"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2"/>
    </row>
    <row r="20" spans="2:12" x14ac:dyDescent="0.25">
      <c r="B20" s="63" t="s">
        <v>166</v>
      </c>
      <c r="C20" s="66"/>
      <c r="D20" s="66"/>
      <c r="E20" s="66"/>
      <c r="F20" s="66"/>
      <c r="G20" s="66"/>
      <c r="H20" s="66"/>
      <c r="I20" s="66"/>
      <c r="J20" s="66"/>
      <c r="K20" s="66"/>
      <c r="L20" s="67"/>
    </row>
    <row r="21" spans="2:12" ht="14.45" customHeight="1" x14ac:dyDescent="0.25">
      <c r="B21" s="56" t="s">
        <v>167</v>
      </c>
      <c r="C21" s="68"/>
      <c r="D21" s="68"/>
      <c r="E21" s="68"/>
      <c r="F21" s="68"/>
      <c r="G21" s="68"/>
      <c r="H21" s="68"/>
      <c r="I21" s="68"/>
      <c r="J21" s="68"/>
      <c r="K21" s="68"/>
      <c r="L21" s="69"/>
    </row>
    <row r="22" spans="2:12" x14ac:dyDescent="0.25">
      <c r="B22" s="56"/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2:12" x14ac:dyDescent="0.25">
      <c r="B23" s="56"/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2:12" ht="15.75" thickBot="1" x14ac:dyDescent="0.3"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2"/>
    </row>
    <row r="25" spans="2:12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pans="2:12" x14ac:dyDescent="0.25"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2:12" x14ac:dyDescent="0.25"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</row>
  </sheetData>
  <mergeCells count="21">
    <mergeCell ref="B8:B9"/>
    <mergeCell ref="C2:J2"/>
    <mergeCell ref="K2:L2"/>
    <mergeCell ref="L5:L6"/>
    <mergeCell ref="L8:L9"/>
    <mergeCell ref="D5:D6"/>
    <mergeCell ref="D8:D9"/>
    <mergeCell ref="F5:F6"/>
    <mergeCell ref="F8:F9"/>
    <mergeCell ref="K8:K9"/>
    <mergeCell ref="K5:K6"/>
    <mergeCell ref="B5:B6"/>
    <mergeCell ref="B16:L19"/>
    <mergeCell ref="B15:L15"/>
    <mergeCell ref="B20:L20"/>
    <mergeCell ref="B21:L24"/>
    <mergeCell ref="B11:B12"/>
    <mergeCell ref="D11:D12"/>
    <mergeCell ref="F11:F12"/>
    <mergeCell ref="K11:K12"/>
    <mergeCell ref="L11:L12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Header>&amp;R&amp;G</oddHeader>
    <oddFooter>&amp;LP_18370_12D3_Corrigé&amp;C&amp;"-,Gras italique"RECAP SOLUTIONS&amp;RV1-Avril 2023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Q xmlns="533b53e5-888e-4c8e-bf93-4dabd19dbc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0978863DAFE240A32A9D4ECB0FDF91" ma:contentTypeVersion="8" ma:contentTypeDescription="Crée un document." ma:contentTypeScope="" ma:versionID="62c23e91aa4db65baf10560978f80be1">
  <xsd:schema xmlns:xsd="http://www.w3.org/2001/XMLSchema" xmlns:xs="http://www.w3.org/2001/XMLSchema" xmlns:p="http://schemas.microsoft.com/office/2006/metadata/properties" xmlns:ns2="533b53e5-888e-4c8e-bf93-4dabd19dbcd8" xmlns:ns3="993170a5-e086-4183-b457-a1f531f665e6" targetNamespace="http://schemas.microsoft.com/office/2006/metadata/properties" ma:root="true" ma:fieldsID="6cc4a4b85980f55fa166f0d548c9a00f" ns2:_="" ns3:_="">
    <xsd:import namespace="533b53e5-888e-4c8e-bf93-4dabd19dbcd8"/>
    <xsd:import namespace="993170a5-e086-4183-b457-a1f531f66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Q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3b53e5-888e-4c8e-bf93-4dabd19dbc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Q" ma:index="10" nillable="true" ma:displayName="AQ" ma:format="Dropdown" ma:internalName="AQ">
      <xsd:simpleType>
        <xsd:restriction base="dms:Text">
          <xsd:maxLength value="255"/>
        </xsd:restriction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170a5-e086-4183-b457-a1f531f66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497A8-FAB7-4706-99B9-B8C67E97ED34}">
  <ds:schemaRefs>
    <ds:schemaRef ds:uri="http://purl.org/dc/terms/"/>
    <ds:schemaRef ds:uri="533b53e5-888e-4c8e-bf93-4dabd19dbcd8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993170a5-e086-4183-b457-a1f531f665e6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BE1C18-520A-4EE7-B37A-AB18BA1257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7BAF-4250-49FC-835C-234212096F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3b53e5-888e-4c8e-bf93-4dabd19dbcd8"/>
    <ds:schemaRef ds:uri="993170a5-e086-4183-b457-a1f531f66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 PREP - 1 CDE</vt:lpstr>
      <vt:lpstr>1 PREP - PLUSIEURS CDES MONO</vt:lpstr>
      <vt:lpstr>1 PREP - PLUSIEURS CDES MULTI</vt:lpstr>
      <vt:lpstr>RECAP 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Virginie LEFEBVRE</cp:lastModifiedBy>
  <cp:lastPrinted>2023-04-05T09:42:08Z</cp:lastPrinted>
  <dcterms:created xsi:type="dcterms:W3CDTF">2016-01-21T07:10:17Z</dcterms:created>
  <dcterms:modified xsi:type="dcterms:W3CDTF">2023-04-05T09:43:11Z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0x010100020978863DAFE240A32A9D4ECB0FDF91</vt:lpwstr>
  </property>
</Properties>
</file>