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82B2105C-1C78-4759-A448-F890E6C525E3}" xr6:coauthVersionLast="47" xr6:coauthVersionMax="47" xr10:uidLastSave="{00000000-0000-0000-0000-000000000000}"/>
  <bookViews>
    <workbookView xWindow="-120" yWindow="-120" windowWidth="29040" windowHeight="15840" xr2:uid="{32811353-3638-4620-9E66-1C8AD481F82E}"/>
  </bookViews>
  <sheets>
    <sheet name="PROD1 - Buget Prévisionnel" sheetId="1" r:id="rId1"/>
    <sheet name="PROD2 - Coûts Entrepô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H53" i="1" l="1"/>
  <c r="G15" i="3" l="1"/>
  <c r="G14" i="3"/>
  <c r="H43" i="1" l="1"/>
  <c r="H37" i="1"/>
  <c r="E26" i="1"/>
  <c r="H26" i="1" s="1"/>
  <c r="H29" i="1"/>
  <c r="H27" i="1"/>
  <c r="H21" i="1"/>
  <c r="H22" i="1"/>
  <c r="H20" i="1"/>
  <c r="H15" i="1"/>
  <c r="H12" i="1"/>
  <c r="H16" i="1"/>
  <c r="H13" i="1"/>
  <c r="H45" i="1" l="1"/>
  <c r="D6" i="1" l="1"/>
  <c r="D7" i="1" l="1"/>
  <c r="D8" i="1" s="1"/>
  <c r="H14" i="1"/>
  <c r="H17" i="1" l="1"/>
  <c r="G29" i="3"/>
  <c r="J27" i="3"/>
  <c r="J26" i="3"/>
  <c r="M26" i="3"/>
  <c r="P26" i="3"/>
  <c r="M27" i="3"/>
  <c r="P27" i="3"/>
  <c r="J28" i="3"/>
  <c r="M28" i="3"/>
  <c r="P28" i="3"/>
  <c r="P25" i="3"/>
  <c r="M25" i="3"/>
  <c r="J25" i="3"/>
  <c r="G17" i="3"/>
  <c r="J17" i="3" s="1"/>
  <c r="G18" i="3"/>
  <c r="M18" i="3" s="1"/>
  <c r="G19" i="3"/>
  <c r="P19" i="3" s="1"/>
  <c r="G20" i="3"/>
  <c r="J20" i="3" s="1"/>
  <c r="J15" i="3"/>
  <c r="P14" i="3"/>
  <c r="M14" i="3"/>
  <c r="J14" i="3"/>
  <c r="G16" i="3"/>
  <c r="J16" i="3" s="1"/>
  <c r="G7" i="3"/>
  <c r="P7" i="3" s="1"/>
  <c r="G8" i="3"/>
  <c r="M8" i="3" s="1"/>
  <c r="G9" i="3"/>
  <c r="J9" i="3" s="1"/>
  <c r="P6" i="3"/>
  <c r="E32" i="1"/>
  <c r="H32" i="1" s="1"/>
  <c r="E31" i="1"/>
  <c r="H31" i="1" s="1"/>
  <c r="E30" i="1"/>
  <c r="H30" i="1" s="1"/>
  <c r="E28" i="1"/>
  <c r="H28" i="1" s="1"/>
  <c r="H56" i="1" l="1"/>
  <c r="M19" i="3"/>
  <c r="M29" i="3"/>
  <c r="J19" i="3"/>
  <c r="P29" i="3"/>
  <c r="P9" i="3"/>
  <c r="J8" i="3"/>
  <c r="J7" i="3"/>
  <c r="P20" i="3"/>
  <c r="M20" i="3"/>
  <c r="P8" i="3"/>
  <c r="H33" i="1"/>
  <c r="J29" i="3"/>
  <c r="M6" i="3"/>
  <c r="P17" i="3"/>
  <c r="G21" i="3"/>
  <c r="M7" i="3"/>
  <c r="M17" i="3"/>
  <c r="J18" i="3"/>
  <c r="J21" i="3" s="1"/>
  <c r="M9" i="3"/>
  <c r="G10" i="3"/>
  <c r="P18" i="3"/>
  <c r="J6" i="3"/>
  <c r="P16" i="3"/>
  <c r="M16" i="3"/>
  <c r="P15" i="3"/>
  <c r="M15" i="3"/>
  <c r="P10" i="3" l="1"/>
  <c r="G31" i="3"/>
  <c r="J10" i="3"/>
  <c r="R29" i="3"/>
  <c r="M10" i="3"/>
  <c r="M21" i="3"/>
  <c r="P21" i="3"/>
  <c r="P31" i="3" s="1"/>
  <c r="O35" i="3" s="1"/>
  <c r="O43" i="3" s="1"/>
  <c r="O47" i="3" l="1"/>
  <c r="O51" i="3" s="1"/>
  <c r="J31" i="3"/>
  <c r="R10" i="3"/>
  <c r="R21" i="3"/>
  <c r="M31" i="3"/>
  <c r="L37" i="3" s="1"/>
  <c r="L42" i="3" s="1"/>
  <c r="H36" i="1"/>
  <c r="H23" i="1"/>
  <c r="L46" i="3" l="1"/>
  <c r="L50" i="3" s="1"/>
  <c r="I35" i="3"/>
  <c r="I41" i="3" s="1"/>
  <c r="D38" i="1"/>
  <c r="I45" i="3" l="1"/>
  <c r="I49" i="3" s="1"/>
  <c r="R49" i="3" s="1"/>
  <c r="R53" i="3" s="1"/>
  <c r="R55" i="3" s="1"/>
  <c r="R41" i="3"/>
  <c r="H38" i="1"/>
  <c r="R45" i="3" l="1"/>
  <c r="H39" i="1"/>
  <c r="H58" i="1"/>
  <c r="H41" i="1" l="1"/>
  <c r="I39" i="1"/>
  <c r="H47" i="1" l="1"/>
  <c r="I17" i="1"/>
  <c r="I33" i="1"/>
  <c r="I41" i="1" s="1"/>
  <c r="I23" i="1"/>
  <c r="H51" i="1" l="1"/>
  <c r="H55" i="1" l="1"/>
  <c r="H57" i="1" s="1"/>
  <c r="H59" i="1" l="1"/>
  <c r="H61" i="1"/>
  <c r="H63" i="1" s="1"/>
  <c r="H65" i="1" s="1"/>
</calcChain>
</file>

<file path=xl/sharedStrings.xml><?xml version="1.0" encoding="utf-8"?>
<sst xmlns="http://schemas.openxmlformats.org/spreadsheetml/2006/main" count="161" uniqueCount="133">
  <si>
    <t>Farine</t>
  </si>
  <si>
    <t>Lait</t>
  </si>
  <si>
    <t>Par pièce</t>
  </si>
  <si>
    <t>Energie machine</t>
  </si>
  <si>
    <t>Œuf, Eau, sucre, gluten, beurre …</t>
  </si>
  <si>
    <t>Valeur de revente</t>
  </si>
  <si>
    <t>Machine 1</t>
  </si>
  <si>
    <t>Machine 2</t>
  </si>
  <si>
    <t>Machine 3</t>
  </si>
  <si>
    <t>Nombre</t>
  </si>
  <si>
    <t>Base</t>
  </si>
  <si>
    <t>Opérationnels</t>
  </si>
  <si>
    <t>Chefs d’équipe</t>
  </si>
  <si>
    <t>Ouvriers de maintenance</t>
  </si>
  <si>
    <t>Manutentionnaires</t>
  </si>
  <si>
    <t>Agent d’expédition</t>
  </si>
  <si>
    <t>Secrétaires (direction et qualité)</t>
  </si>
  <si>
    <t>Directeur d’usine</t>
  </si>
  <si>
    <t>Charges patronales</t>
  </si>
  <si>
    <t>Frais de siège et assurance</t>
  </si>
  <si>
    <t>Par an</t>
  </si>
  <si>
    <t>Informatique</t>
  </si>
  <si>
    <t>Entretien informatique</t>
  </si>
  <si>
    <t>Salaire net/salarié</t>
  </si>
  <si>
    <t>Salaire brut chargé</t>
  </si>
  <si>
    <t>Charges salariales Employés</t>
  </si>
  <si>
    <t>Charges salariales Cadres</t>
  </si>
  <si>
    <t>Temps de travail</t>
  </si>
  <si>
    <t>Charges variables</t>
  </si>
  <si>
    <t>Charges fixes</t>
  </si>
  <si>
    <t>Résultat</t>
  </si>
  <si>
    <t>Mouvement</t>
  </si>
  <si>
    <t>Stockage</t>
  </si>
  <si>
    <t>Préparation</t>
  </si>
  <si>
    <t>Moyens humains</t>
  </si>
  <si>
    <t>Chef d'entrepôt</t>
  </si>
  <si>
    <t>Cariste</t>
  </si>
  <si>
    <t>Préparateurs</t>
  </si>
  <si>
    <t>Heures annuelles</t>
  </si>
  <si>
    <t>Matériel et bâtiment</t>
  </si>
  <si>
    <t>Palettier</t>
  </si>
  <si>
    <t>Location entrepôt</t>
  </si>
  <si>
    <t>Frontal</t>
  </si>
  <si>
    <t>Tri directionnel</t>
  </si>
  <si>
    <t>Transpal electriques</t>
  </si>
  <si>
    <t>Transpal manuels</t>
  </si>
  <si>
    <t>Filmeuses</t>
  </si>
  <si>
    <t>Exploitation</t>
  </si>
  <si>
    <t>Téléphone</t>
  </si>
  <si>
    <t>Electricité</t>
  </si>
  <si>
    <t>Assurances</t>
  </si>
  <si>
    <t>Imprimés</t>
  </si>
  <si>
    <t>buns</t>
  </si>
  <si>
    <t>Buns par sachet</t>
  </si>
  <si>
    <t>Sachets par carton</t>
  </si>
  <si>
    <t>sachets</t>
  </si>
  <si>
    <t>Cartons par lit</t>
  </si>
  <si>
    <t>cartons</t>
  </si>
  <si>
    <t>lits par palettes</t>
  </si>
  <si>
    <t>palettes</t>
  </si>
  <si>
    <t>Jours exploitation</t>
  </si>
  <si>
    <t>Quantitée</t>
  </si>
  <si>
    <t>Unité d'œuvre</t>
  </si>
  <si>
    <t>Description</t>
  </si>
  <si>
    <t>Production Buns annuelle</t>
  </si>
  <si>
    <t>jours</t>
  </si>
  <si>
    <t>Nb palettes produites</t>
  </si>
  <si>
    <t>Nb cartons produits</t>
  </si>
  <si>
    <t xml:space="preserve"> PRODUCTION</t>
  </si>
  <si>
    <t>CONDITIONNEMENT ET PALETTISATION</t>
  </si>
  <si>
    <t>Coût unité d'œuvre</t>
  </si>
  <si>
    <t>Buns par palette produite</t>
  </si>
  <si>
    <t>Postes</t>
  </si>
  <si>
    <t xml:space="preserve"> pour</t>
  </si>
  <si>
    <t>mois</t>
  </si>
  <si>
    <t>1 000 kg pour</t>
  </si>
  <si>
    <t>COÛTS / AN</t>
  </si>
  <si>
    <t>CHARGES / AN</t>
  </si>
  <si>
    <t>CHARGES DE PRODUCTION</t>
  </si>
  <si>
    <t>COÛTS DE FABRICATION</t>
  </si>
  <si>
    <t>Outils de production</t>
  </si>
  <si>
    <t>Taux de production</t>
  </si>
  <si>
    <t>Années ammortissement</t>
  </si>
  <si>
    <t>Valeur d'achat</t>
  </si>
  <si>
    <t>CHARGES SALARIALES</t>
  </si>
  <si>
    <t>Amortissement sur 5 ans</t>
  </si>
  <si>
    <t>Montant</t>
  </si>
  <si>
    <t>Durée (an)</t>
  </si>
  <si>
    <t>Unitée d'œuvre</t>
  </si>
  <si>
    <t>AUTRES CHARGES</t>
  </si>
  <si>
    <t>Ensachage et mise en carton</t>
  </si>
  <si>
    <t>Taux de rebut</t>
  </si>
  <si>
    <t>BUDGET PREVISIONNEL</t>
  </si>
  <si>
    <t>Taux de marge attendu</t>
  </si>
  <si>
    <t>Charges annuelles</t>
  </si>
  <si>
    <t>CHARGES ANNUELLES</t>
  </si>
  <si>
    <t>PRIX DE VENTE UNITAIRE</t>
  </si>
  <si>
    <t>COÛT DE REVIENT PAR BUNS COMMERCIALISABLE</t>
  </si>
  <si>
    <t>Nombre de buns produits par an</t>
  </si>
  <si>
    <t>Nombre de buns commercialisables</t>
  </si>
  <si>
    <t>Chiffre d'affaire</t>
  </si>
  <si>
    <t>Marge sur charges variables</t>
  </si>
  <si>
    <t>Taux de marge sur charges variables</t>
  </si>
  <si>
    <t>SEUIL DE RENTABILITE</t>
  </si>
  <si>
    <t>SEUIL EN BUNS</t>
  </si>
  <si>
    <t>Coût horaire</t>
  </si>
  <si>
    <t xml:space="preserve">Coût </t>
  </si>
  <si>
    <t>Fréquence annuelle</t>
  </si>
  <si>
    <t>mouvements</t>
  </si>
  <si>
    <t>préparations</t>
  </si>
  <si>
    <t>Opérations logistiques annelles</t>
  </si>
  <si>
    <t>Coût mensuel stockage / palette</t>
  </si>
  <si>
    <t>Coût unitaire / opération</t>
  </si>
  <si>
    <t>Palettes par camion</t>
  </si>
  <si>
    <t>DONNEES CLIENT TOTOGO</t>
  </si>
  <si>
    <t>Coût mensuel mouvements TOTOGO</t>
  </si>
  <si>
    <t>Coût mensuel stockage TOTOGO</t>
  </si>
  <si>
    <t>Coût mensuel préparation  TOTOGO</t>
  </si>
  <si>
    <t>Jours ouvrables / mois :</t>
  </si>
  <si>
    <t>Chargement / jour</t>
  </si>
  <si>
    <t>Durée moy. Stockage</t>
  </si>
  <si>
    <t>Marge mensuelle mouvements TOTOGO</t>
  </si>
  <si>
    <t>Marge mensuelle stockage TOTOGO</t>
  </si>
  <si>
    <t>Marge mensuellepréparation  TOTOGO</t>
  </si>
  <si>
    <t>Prix vente mensuel mouvements TOTOGO</t>
  </si>
  <si>
    <t>Prix vente mensuel stockage TOTOGO</t>
  </si>
  <si>
    <t>Prix vente mensuel préparation  TOTOGO</t>
  </si>
  <si>
    <t>lits</t>
  </si>
  <si>
    <t xml:space="preserve">Méthode de calcul N°2 </t>
  </si>
  <si>
    <t xml:space="preserve">Méthode de calcul N°1 </t>
  </si>
  <si>
    <t>ou</t>
  </si>
  <si>
    <t>Prix vente à la palette</t>
  </si>
  <si>
    <t>Prix vente au 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</si>
</sst>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0&quot; mois&quot;"/>
    <numFmt numFmtId="166" formatCode="#,##0.00\ &quot;€&quot;"/>
    <numFmt numFmtId="167" formatCode="0.00&quot; h&quot;"/>
    <numFmt numFmtId="168" formatCode="0&quot; h&quot;"/>
    <numFmt numFmtId="169" formatCode="_-* #,##0.00\ [$€-40C]_-;\-* #,##0.00\ [$€-40C]_-;_-* &quot;-&quot;??\ [$€-40C]_-;_-@_-"/>
    <numFmt numFmtId="170" formatCode="#,##0\ &quot;€&quot;"/>
    <numFmt numFmtId="171" formatCode="#,##0.000\ &quot;€&quot;;[Red]\-#,##0.000\ &quot;€&quot;"/>
    <numFmt numFmtId="172" formatCode="_-* #,##0.000\ &quot;€&quot;_-;\-* #,##0.000\ &quot;€&quot;_-;_-* &quot;-&quot;???\ &quot;€&quot;_-;_-@_-"/>
    <numFmt numFmtId="173" formatCode="#,##0_ ;\-#,##0\ "/>
    <numFmt numFmtId="174" formatCode="#,##0.000\ &quot;€&quot;;\-#,##0.000\ &quot;€&quot;"/>
    <numFmt numFmtId="175" formatCode="#,##0.0000\ &quot;€&quot;;\-#,##0.00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FCF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CF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5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4" fontId="0" fillId="0" borderId="1" xfId="2" applyFont="1" applyBorder="1"/>
    <xf numFmtId="0" fontId="0" fillId="0" borderId="1" xfId="0" applyBorder="1" applyAlignment="1">
      <alignment horizontal="center" vertical="center" wrapText="1"/>
    </xf>
    <xf numFmtId="9" fontId="0" fillId="0" borderId="1" xfId="3" applyFont="1" applyBorder="1"/>
    <xf numFmtId="44" fontId="0" fillId="0" borderId="0" xfId="0" applyNumberFormat="1"/>
    <xf numFmtId="44" fontId="0" fillId="0" borderId="1" xfId="0" applyNumberFormat="1" applyBorder="1"/>
    <xf numFmtId="0" fontId="0" fillId="0" borderId="0" xfId="0" applyAlignment="1">
      <alignment horizontal="center" vertical="center" wrapText="1"/>
    </xf>
    <xf numFmtId="44" fontId="2" fillId="0" borderId="0" xfId="2" applyFont="1" applyBorder="1"/>
    <xf numFmtId="44" fontId="2" fillId="0" borderId="0" xfId="0" applyNumberFormat="1" applyFont="1"/>
    <xf numFmtId="8" fontId="0" fillId="0" borderId="0" xfId="0" applyNumberFormat="1"/>
    <xf numFmtId="44" fontId="0" fillId="0" borderId="2" xfId="2" applyFont="1" applyBorder="1"/>
    <xf numFmtId="0" fontId="0" fillId="0" borderId="1" xfId="0" applyBorder="1" applyAlignment="1">
      <alignment horizontal="center"/>
    </xf>
    <xf numFmtId="168" fontId="0" fillId="0" borderId="1" xfId="0" applyNumberFormat="1" applyBorder="1"/>
    <xf numFmtId="9" fontId="0" fillId="0" borderId="2" xfId="3" applyFont="1" applyBorder="1"/>
    <xf numFmtId="44" fontId="0" fillId="0" borderId="3" xfId="0" applyNumberFormat="1" applyBorder="1"/>
    <xf numFmtId="169" fontId="0" fillId="0" borderId="1" xfId="0" applyNumberFormat="1" applyBorder="1"/>
    <xf numFmtId="169" fontId="0" fillId="0" borderId="1" xfId="2" applyNumberFormat="1" applyFont="1" applyBorder="1"/>
    <xf numFmtId="0" fontId="3" fillId="0" borderId="1" xfId="0" applyFont="1" applyBorder="1" applyAlignment="1">
      <alignment horizontal="left" vertical="center" wrapText="1"/>
    </xf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vertical="center" wrapText="1"/>
    </xf>
    <xf numFmtId="164" fontId="0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71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72" fontId="7" fillId="0" borderId="4" xfId="2" applyNumberFormat="1" applyFont="1" applyFill="1" applyBorder="1"/>
    <xf numFmtId="9" fontId="0" fillId="0" borderId="4" xfId="0" applyNumberFormat="1" applyBorder="1"/>
    <xf numFmtId="0" fontId="9" fillId="0" borderId="0" xfId="0" applyFont="1"/>
    <xf numFmtId="0" fontId="10" fillId="4" borderId="1" xfId="0" applyFont="1" applyFill="1" applyBorder="1"/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/>
    <xf numFmtId="0" fontId="11" fillId="5" borderId="2" xfId="0" applyFont="1" applyFill="1" applyBorder="1"/>
    <xf numFmtId="44" fontId="5" fillId="6" borderId="1" xfId="2" applyFont="1" applyFill="1" applyBorder="1"/>
    <xf numFmtId="44" fontId="13" fillId="7" borderId="1" xfId="2" applyFont="1" applyFill="1" applyBorder="1"/>
    <xf numFmtId="0" fontId="12" fillId="0" borderId="0" xfId="0" applyFont="1"/>
    <xf numFmtId="44" fontId="14" fillId="3" borderId="1" xfId="2" applyFont="1" applyFill="1" applyBorder="1"/>
    <xf numFmtId="172" fontId="14" fillId="3" borderId="1" xfId="2" applyNumberFormat="1" applyFont="1" applyFill="1" applyBorder="1"/>
    <xf numFmtId="0" fontId="10" fillId="4" borderId="1" xfId="0" applyFont="1" applyFill="1" applyBorder="1" applyAlignment="1">
      <alignment horizontal="left" vertical="center" wrapText="1"/>
    </xf>
    <xf numFmtId="9" fontId="4" fillId="8" borderId="1" xfId="0" applyNumberFormat="1" applyFont="1" applyFill="1" applyBorder="1"/>
    <xf numFmtId="7" fontId="3" fillId="2" borderId="1" xfId="2" applyNumberFormat="1" applyFont="1" applyFill="1" applyBorder="1" applyAlignment="1">
      <alignment horizontal="center" vertical="center" wrapText="1"/>
    </xf>
    <xf numFmtId="9" fontId="4" fillId="8" borderId="1" xfId="2" applyNumberFormat="1" applyFont="1" applyFill="1" applyBorder="1" applyAlignment="1">
      <alignment horizontal="center" vertical="center"/>
    </xf>
    <xf numFmtId="5" fontId="3" fillId="2" borderId="1" xfId="2" applyNumberFormat="1" applyFont="1" applyFill="1" applyBorder="1" applyAlignment="1">
      <alignment horizontal="center" vertical="center" wrapText="1"/>
    </xf>
    <xf numFmtId="5" fontId="3" fillId="2" borderId="3" xfId="2" applyNumberFormat="1" applyFont="1" applyFill="1" applyBorder="1" applyAlignment="1">
      <alignment horizontal="center" vertical="center" wrapText="1"/>
    </xf>
    <xf numFmtId="9" fontId="0" fillId="0" borderId="1" xfId="3" applyFont="1" applyBorder="1" applyAlignment="1">
      <alignment horizontal="left" vertical="center"/>
    </xf>
    <xf numFmtId="167" fontId="0" fillId="0" borderId="1" xfId="3" applyNumberFormat="1" applyFont="1" applyFill="1" applyBorder="1" applyAlignment="1">
      <alignment horizontal="left" vertical="center"/>
    </xf>
    <xf numFmtId="173" fontId="4" fillId="8" borderId="1" xfId="2" applyNumberFormat="1" applyFont="1" applyFill="1" applyBorder="1" applyAlignment="1">
      <alignment horizontal="center" vertical="center"/>
    </xf>
    <xf numFmtId="7" fontId="0" fillId="0" borderId="1" xfId="2" applyNumberFormat="1" applyFont="1" applyBorder="1" applyAlignment="1">
      <alignment horizontal="center" vertical="center" wrapText="1"/>
    </xf>
    <xf numFmtId="7" fontId="0" fillId="0" borderId="1" xfId="2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74" fontId="14" fillId="3" borderId="1" xfId="2" applyNumberFormat="1" applyFont="1" applyFill="1" applyBorder="1"/>
    <xf numFmtId="7" fontId="14" fillId="3" borderId="1" xfId="2" applyNumberFormat="1" applyFont="1" applyFill="1" applyBorder="1"/>
    <xf numFmtId="3" fontId="14" fillId="3" borderId="1" xfId="0" applyNumberFormat="1" applyFont="1" applyFill="1" applyBorder="1"/>
    <xf numFmtId="0" fontId="17" fillId="0" borderId="0" xfId="0" applyFont="1"/>
    <xf numFmtId="44" fontId="18" fillId="7" borderId="1" xfId="2" applyFont="1" applyFill="1" applyBorder="1"/>
    <xf numFmtId="0" fontId="0" fillId="6" borderId="0" xfId="0" applyFill="1"/>
    <xf numFmtId="0" fontId="11" fillId="6" borderId="0" xfId="0" applyFont="1" applyFill="1" applyAlignment="1">
      <alignment horizontal="center" vertical="center"/>
    </xf>
    <xf numFmtId="44" fontId="0" fillId="6" borderId="12" xfId="0" applyNumberFormat="1" applyFill="1" applyBorder="1"/>
    <xf numFmtId="44" fontId="13" fillId="6" borderId="0" xfId="2" applyFont="1" applyFill="1" applyBorder="1"/>
    <xf numFmtId="44" fontId="0" fillId="6" borderId="6" xfId="2" applyFont="1" applyFill="1" applyBorder="1"/>
    <xf numFmtId="44" fontId="0" fillId="6" borderId="6" xfId="0" applyNumberFormat="1" applyFill="1" applyBorder="1"/>
    <xf numFmtId="44" fontId="7" fillId="6" borderId="0" xfId="0" applyNumberFormat="1" applyFont="1" applyFill="1"/>
    <xf numFmtId="0" fontId="6" fillId="6" borderId="0" xfId="0" applyFont="1" applyFill="1"/>
    <xf numFmtId="0" fontId="0" fillId="6" borderId="7" xfId="0" applyFill="1" applyBorder="1"/>
    <xf numFmtId="44" fontId="13" fillId="6" borderId="7" xfId="2" applyFont="1" applyFill="1" applyBorder="1"/>
    <xf numFmtId="0" fontId="11" fillId="6" borderId="0" xfId="0" applyFont="1" applyFill="1" applyAlignment="1">
      <alignment vertical="center"/>
    </xf>
    <xf numFmtId="44" fontId="0" fillId="6" borderId="0" xfId="0" applyNumberFormat="1" applyFill="1"/>
    <xf numFmtId="44" fontId="13" fillId="6" borderId="8" xfId="2" applyFont="1" applyFill="1" applyBorder="1"/>
    <xf numFmtId="44" fontId="0" fillId="6" borderId="8" xfId="0" applyNumberFormat="1" applyFill="1" applyBorder="1"/>
    <xf numFmtId="0" fontId="11" fillId="5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5" xfId="0" applyFont="1" applyFill="1" applyBorder="1" applyAlignment="1">
      <alignment vertical="center"/>
    </xf>
    <xf numFmtId="0" fontId="17" fillId="6" borderId="0" xfId="0" applyFont="1" applyFill="1"/>
    <xf numFmtId="44" fontId="17" fillId="6" borderId="0" xfId="0" applyNumberFormat="1" applyFont="1" applyFill="1"/>
    <xf numFmtId="44" fontId="13" fillId="9" borderId="1" xfId="2" applyFont="1" applyFill="1" applyBorder="1"/>
    <xf numFmtId="0" fontId="0" fillId="0" borderId="0" xfId="0" applyAlignment="1">
      <alignment horizontal="center"/>
    </xf>
    <xf numFmtId="0" fontId="10" fillId="4" borderId="2" xfId="0" applyFont="1" applyFill="1" applyBorder="1" applyAlignment="1">
      <alignment horizontal="left"/>
    </xf>
    <xf numFmtId="0" fontId="2" fillId="6" borderId="0" xfId="0" applyFont="1" applyFill="1"/>
    <xf numFmtId="44" fontId="2" fillId="6" borderId="0" xfId="0" applyNumberFormat="1" applyFont="1" applyFill="1"/>
    <xf numFmtId="3" fontId="4" fillId="0" borderId="5" xfId="0" applyNumberFormat="1" applyFont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44" fontId="7" fillId="8" borderId="0" xfId="0" applyNumberFormat="1" applyFont="1" applyFill="1"/>
    <xf numFmtId="0" fontId="0" fillId="8" borderId="0" xfId="0" applyFill="1"/>
    <xf numFmtId="44" fontId="13" fillId="8" borderId="0" xfId="2" applyFont="1" applyFill="1" applyBorder="1"/>
    <xf numFmtId="44" fontId="0" fillId="8" borderId="0" xfId="0" applyNumberFormat="1" applyFill="1"/>
    <xf numFmtId="44" fontId="13" fillId="6" borderId="16" xfId="2" applyFont="1" applyFill="1" applyBorder="1"/>
    <xf numFmtId="0" fontId="10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0" borderId="0" xfId="2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4" fillId="0" borderId="0" xfId="2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44" fontId="2" fillId="6" borderId="1" xfId="2" applyFont="1" applyFill="1" applyBorder="1"/>
    <xf numFmtId="175" fontId="14" fillId="3" borderId="1" xfId="2" applyNumberFormat="1" applyFont="1" applyFill="1" applyBorder="1"/>
    <xf numFmtId="0" fontId="10" fillId="0" borderId="0" xfId="0" applyFont="1"/>
    <xf numFmtId="0" fontId="9" fillId="0" borderId="0" xfId="0" applyFont="1" applyAlignment="1">
      <alignment horizontal="right"/>
    </xf>
    <xf numFmtId="0" fontId="11" fillId="5" borderId="10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8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5" fillId="5" borderId="6" xfId="0" applyFont="1" applyFill="1" applyBorder="1" applyAlignment="1">
      <alignment horizontal="right"/>
    </xf>
    <xf numFmtId="0" fontId="11" fillId="5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0" fillId="4" borderId="5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5" fillId="5" borderId="0" xfId="0" applyFont="1" applyFill="1" applyAlignment="1">
      <alignment horizontal="center"/>
    </xf>
    <xf numFmtId="44" fontId="18" fillId="7" borderId="3" xfId="2" applyFont="1" applyFill="1" applyBorder="1" applyAlignment="1">
      <alignment horizontal="center" vertical="center"/>
    </xf>
    <xf numFmtId="44" fontId="18" fillId="7" borderId="12" xfId="2" applyFont="1" applyFill="1" applyBorder="1" applyAlignment="1">
      <alignment horizontal="center" vertical="center"/>
    </xf>
    <xf numFmtId="44" fontId="18" fillId="7" borderId="17" xfId="2" applyFont="1" applyFill="1" applyBorder="1" applyAlignment="1">
      <alignment horizontal="center" vertical="center"/>
    </xf>
    <xf numFmtId="44" fontId="13" fillId="9" borderId="5" xfId="2" applyFont="1" applyFill="1" applyBorder="1" applyAlignment="1">
      <alignment horizontal="center"/>
    </xf>
    <xf numFmtId="44" fontId="13" fillId="9" borderId="2" xfId="2" applyFont="1" applyFill="1" applyBorder="1" applyAlignment="1">
      <alignment horizontal="center"/>
    </xf>
    <xf numFmtId="44" fontId="9" fillId="4" borderId="5" xfId="2" applyFont="1" applyFill="1" applyBorder="1" applyAlignment="1">
      <alignment horizontal="right"/>
    </xf>
    <xf numFmtId="44" fontId="9" fillId="4" borderId="2" xfId="2" applyFont="1" applyFill="1" applyBorder="1" applyAlignment="1">
      <alignment horizontal="right"/>
    </xf>
    <xf numFmtId="44" fontId="13" fillId="9" borderId="5" xfId="2" applyFont="1" applyFill="1" applyBorder="1" applyAlignment="1">
      <alignment horizontal="right"/>
    </xf>
    <xf numFmtId="44" fontId="13" fillId="9" borderId="2" xfId="2" applyFont="1" applyFill="1" applyBorder="1" applyAlignment="1">
      <alignment horizontal="right"/>
    </xf>
    <xf numFmtId="0" fontId="0" fillId="6" borderId="0" xfId="0" applyFill="1" applyAlignment="1">
      <alignment horizontal="center"/>
    </xf>
    <xf numFmtId="0" fontId="16" fillId="5" borderId="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FFFCF3"/>
      <color rgb="FFFFFBEF"/>
      <color rgb="FFFFFFFF"/>
      <color rgb="FFECF5E7"/>
      <color rgb="FFFFFFDD"/>
      <color rgb="FFB48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90B2-050D-4521-9105-DC8D0A9BD467}">
  <sheetPr>
    <pageSetUpPr fitToPage="1"/>
  </sheetPr>
  <dimension ref="B2:L65"/>
  <sheetViews>
    <sheetView showGridLines="0" tabSelected="1" zoomScaleNormal="100" workbookViewId="0">
      <selection activeCell="H53" sqref="H53"/>
    </sheetView>
  </sheetViews>
  <sheetFormatPr baseColWidth="10" defaultRowHeight="15" x14ac:dyDescent="0.25"/>
  <cols>
    <col min="1" max="1" width="5.7109375" customWidth="1"/>
    <col min="2" max="2" width="28.140625" customWidth="1"/>
    <col min="3" max="3" width="8.5703125" customWidth="1"/>
    <col min="4" max="4" width="14.42578125" customWidth="1"/>
    <col min="5" max="5" width="15.5703125" customWidth="1"/>
    <col min="6" max="6" width="10.7109375" customWidth="1"/>
    <col min="7" max="7" width="11.140625" customWidth="1"/>
    <col min="8" max="8" width="23" bestFit="1" customWidth="1"/>
    <col min="9" max="9" width="9.85546875" style="113" customWidth="1"/>
    <col min="10" max="10" width="12.85546875" bestFit="1" customWidth="1"/>
    <col min="11" max="11" width="12.85546875" customWidth="1"/>
    <col min="12" max="12" width="9" customWidth="1"/>
  </cols>
  <sheetData>
    <row r="2" spans="2:10" ht="18.75" x14ac:dyDescent="0.3">
      <c r="B2" s="133" t="s">
        <v>68</v>
      </c>
      <c r="C2" s="133"/>
      <c r="D2" s="46"/>
      <c r="E2" s="46"/>
      <c r="F2" s="23"/>
      <c r="H2" s="57" t="s">
        <v>69</v>
      </c>
      <c r="I2" s="112"/>
      <c r="J2" s="57"/>
    </row>
    <row r="3" spans="2:10" x14ac:dyDescent="0.25">
      <c r="B3" s="141" t="s">
        <v>63</v>
      </c>
      <c r="C3" s="129"/>
      <c r="D3" s="52" t="s">
        <v>61</v>
      </c>
      <c r="E3" s="48" t="s">
        <v>62</v>
      </c>
      <c r="F3" s="23"/>
      <c r="H3" s="53" t="s">
        <v>63</v>
      </c>
      <c r="I3" s="52" t="s">
        <v>61</v>
      </c>
      <c r="J3" s="54" t="s">
        <v>62</v>
      </c>
    </row>
    <row r="4" spans="2:10" x14ac:dyDescent="0.25">
      <c r="B4" s="142" t="s">
        <v>64</v>
      </c>
      <c r="C4" s="142"/>
      <c r="D4" s="36">
        <v>110000000</v>
      </c>
      <c r="E4" s="39" t="s">
        <v>52</v>
      </c>
      <c r="H4" s="47" t="s">
        <v>53</v>
      </c>
      <c r="I4" s="111">
        <v>5</v>
      </c>
      <c r="J4" s="4" t="s">
        <v>52</v>
      </c>
    </row>
    <row r="5" spans="2:10" x14ac:dyDescent="0.25">
      <c r="B5" s="142" t="s">
        <v>60</v>
      </c>
      <c r="C5" s="142"/>
      <c r="D5" s="37">
        <v>220</v>
      </c>
      <c r="E5" s="39" t="s">
        <v>65</v>
      </c>
      <c r="H5" s="47" t="s">
        <v>54</v>
      </c>
      <c r="I5" s="111">
        <v>12</v>
      </c>
      <c r="J5" s="4" t="s">
        <v>55</v>
      </c>
    </row>
    <row r="6" spans="2:10" x14ac:dyDescent="0.25">
      <c r="B6" s="137" t="s">
        <v>71</v>
      </c>
      <c r="C6" s="137"/>
      <c r="D6" s="36">
        <f>I4*I5*I6*I7</f>
        <v>3000</v>
      </c>
      <c r="E6" s="21" t="s">
        <v>52</v>
      </c>
      <c r="F6" s="25"/>
      <c r="H6" s="47" t="s">
        <v>56</v>
      </c>
      <c r="I6" s="111">
        <v>5</v>
      </c>
      <c r="J6" s="4" t="s">
        <v>127</v>
      </c>
    </row>
    <row r="7" spans="2:10" x14ac:dyDescent="0.25">
      <c r="B7" s="142" t="s">
        <v>66</v>
      </c>
      <c r="C7" s="142"/>
      <c r="D7" s="38">
        <f>D4/D6</f>
        <v>36666.666666666664</v>
      </c>
      <c r="E7" s="39" t="s">
        <v>59</v>
      </c>
      <c r="H7" s="47" t="s">
        <v>58</v>
      </c>
      <c r="I7" s="111">
        <v>10</v>
      </c>
      <c r="J7" s="4" t="s">
        <v>59</v>
      </c>
    </row>
    <row r="8" spans="2:10" x14ac:dyDescent="0.25">
      <c r="B8" s="142" t="s">
        <v>67</v>
      </c>
      <c r="C8" s="142"/>
      <c r="D8" s="38">
        <f>D7*I6*I7</f>
        <v>1833333.333333333</v>
      </c>
      <c r="E8" s="40" t="s">
        <v>57</v>
      </c>
      <c r="F8" s="22"/>
    </row>
    <row r="9" spans="2:10" x14ac:dyDescent="0.25">
      <c r="D9" s="22"/>
      <c r="E9" s="22"/>
      <c r="F9" s="22"/>
    </row>
    <row r="10" spans="2:10" ht="18.75" x14ac:dyDescent="0.3">
      <c r="B10" s="133" t="s">
        <v>79</v>
      </c>
      <c r="C10" s="133"/>
      <c r="D10" s="24"/>
      <c r="E10" s="24"/>
      <c r="F10" s="24"/>
    </row>
    <row r="11" spans="2:10" ht="29.1" customHeight="1" x14ac:dyDescent="0.25">
      <c r="B11" s="143" t="s">
        <v>72</v>
      </c>
      <c r="C11" s="141"/>
      <c r="D11" s="51" t="s">
        <v>70</v>
      </c>
      <c r="E11" s="127" t="s">
        <v>62</v>
      </c>
      <c r="F11" s="128"/>
      <c r="G11" s="129"/>
      <c r="H11" s="48" t="s">
        <v>76</v>
      </c>
    </row>
    <row r="12" spans="2:10" ht="15" customHeight="1" x14ac:dyDescent="0.25">
      <c r="B12" s="134" t="s">
        <v>0</v>
      </c>
      <c r="C12" s="134"/>
      <c r="D12" s="2">
        <v>250</v>
      </c>
      <c r="E12" s="27" t="s">
        <v>75</v>
      </c>
      <c r="F12" s="28">
        <v>16000</v>
      </c>
      <c r="G12" s="32" t="s">
        <v>52</v>
      </c>
      <c r="H12" s="123">
        <f>D4/F12*D12</f>
        <v>1718750</v>
      </c>
      <c r="I12" s="114"/>
      <c r="J12" s="11"/>
    </row>
    <row r="13" spans="2:10" ht="15" customHeight="1" x14ac:dyDescent="0.25">
      <c r="B13" s="134" t="s">
        <v>1</v>
      </c>
      <c r="C13" s="134"/>
      <c r="D13" s="2">
        <v>400</v>
      </c>
      <c r="E13" s="27" t="s">
        <v>75</v>
      </c>
      <c r="F13" s="28">
        <v>5550</v>
      </c>
      <c r="G13" s="32" t="s">
        <v>52</v>
      </c>
      <c r="H13" s="123">
        <f>D4/F13*D13</f>
        <v>7927927.9279279271</v>
      </c>
      <c r="I13" s="114"/>
      <c r="J13" s="11"/>
    </row>
    <row r="14" spans="2:10" ht="15" customHeight="1" x14ac:dyDescent="0.25">
      <c r="B14" s="134" t="s">
        <v>4</v>
      </c>
      <c r="C14" s="134"/>
      <c r="D14" s="3">
        <v>0.04</v>
      </c>
      <c r="E14" s="130" t="s">
        <v>2</v>
      </c>
      <c r="F14" s="131"/>
      <c r="G14" s="132"/>
      <c r="H14" s="123">
        <f>D14*D4</f>
        <v>4400000</v>
      </c>
      <c r="I14" s="114"/>
      <c r="J14" s="11"/>
    </row>
    <row r="15" spans="2:10" ht="15" customHeight="1" x14ac:dyDescent="0.25">
      <c r="B15" s="134" t="s">
        <v>3</v>
      </c>
      <c r="C15" s="134"/>
      <c r="D15" s="2">
        <v>180000</v>
      </c>
      <c r="E15" s="26" t="s">
        <v>73</v>
      </c>
      <c r="F15" s="28">
        <v>10000000</v>
      </c>
      <c r="G15" s="32" t="s">
        <v>52</v>
      </c>
      <c r="H15" s="123">
        <f>D4/F15*D15</f>
        <v>1980000</v>
      </c>
      <c r="I15" s="114"/>
      <c r="J15" s="11"/>
    </row>
    <row r="16" spans="2:10" ht="15" customHeight="1" x14ac:dyDescent="0.25">
      <c r="B16" s="134" t="s">
        <v>90</v>
      </c>
      <c r="C16" s="134"/>
      <c r="D16" s="41">
        <v>1.4999999999999999E-2</v>
      </c>
      <c r="E16" s="130" t="s">
        <v>2</v>
      </c>
      <c r="F16" s="131"/>
      <c r="G16" s="132"/>
      <c r="H16" s="55">
        <f>D16*D4</f>
        <v>1650000</v>
      </c>
      <c r="I16" s="114"/>
      <c r="J16" s="11"/>
    </row>
    <row r="17" spans="2:12" x14ac:dyDescent="0.25">
      <c r="H17" s="56">
        <f>H12+H13+H14+H15+H16</f>
        <v>17676677.927927926</v>
      </c>
      <c r="I17" s="122">
        <f>H17/H41</f>
        <v>0.87475418094118162</v>
      </c>
      <c r="J17" s="8"/>
    </row>
    <row r="18" spans="2:12" ht="18.75" x14ac:dyDescent="0.3">
      <c r="B18" s="133" t="s">
        <v>78</v>
      </c>
      <c r="C18" s="133"/>
    </row>
    <row r="19" spans="2:12" ht="29.1" customHeight="1" x14ac:dyDescent="0.25">
      <c r="B19" s="135" t="s">
        <v>80</v>
      </c>
      <c r="C19" s="136"/>
      <c r="D19" s="51" t="s">
        <v>81</v>
      </c>
      <c r="E19" s="51" t="s">
        <v>82</v>
      </c>
      <c r="F19" s="51" t="s">
        <v>83</v>
      </c>
      <c r="G19" s="51" t="s">
        <v>5</v>
      </c>
      <c r="H19" s="49" t="s">
        <v>77</v>
      </c>
      <c r="I19" s="10"/>
      <c r="J19" s="10"/>
    </row>
    <row r="20" spans="2:12" x14ac:dyDescent="0.25">
      <c r="B20" s="137" t="s">
        <v>6</v>
      </c>
      <c r="C20" s="137"/>
      <c r="D20" s="34">
        <v>0.4</v>
      </c>
      <c r="E20" s="29">
        <v>5</v>
      </c>
      <c r="F20" s="30">
        <v>620000</v>
      </c>
      <c r="G20" s="33">
        <v>55000</v>
      </c>
      <c r="H20" s="123">
        <f>(F20-G20)/E20*D20</f>
        <v>45200</v>
      </c>
      <c r="I20" s="116"/>
      <c r="J20" s="11"/>
    </row>
    <row r="21" spans="2:12" x14ac:dyDescent="0.25">
      <c r="B21" s="137" t="s">
        <v>7</v>
      </c>
      <c r="C21" s="137"/>
      <c r="D21" s="34">
        <v>0.6</v>
      </c>
      <c r="E21" s="29">
        <v>5</v>
      </c>
      <c r="F21" s="30">
        <v>550000</v>
      </c>
      <c r="G21" s="33">
        <v>52000</v>
      </c>
      <c r="H21" s="123">
        <f t="shared" ref="H21:H22" si="0">(F21-G21)/E21*D21</f>
        <v>59760</v>
      </c>
      <c r="I21" s="116"/>
      <c r="J21" s="11"/>
    </row>
    <row r="22" spans="2:12" x14ac:dyDescent="0.25">
      <c r="B22" s="137" t="s">
        <v>8</v>
      </c>
      <c r="C22" s="137"/>
      <c r="D22" s="34">
        <v>1</v>
      </c>
      <c r="E22" s="29">
        <v>5</v>
      </c>
      <c r="F22" s="30">
        <v>150000</v>
      </c>
      <c r="G22" s="33">
        <v>25000</v>
      </c>
      <c r="H22" s="123">
        <f t="shared" si="0"/>
        <v>25000</v>
      </c>
      <c r="I22" s="116"/>
      <c r="J22" s="11"/>
    </row>
    <row r="23" spans="2:12" x14ac:dyDescent="0.25">
      <c r="H23" s="56">
        <f>SUM(H20:H22)</f>
        <v>129960</v>
      </c>
      <c r="I23" s="122">
        <f>H23/H41</f>
        <v>6.4312453855090391E-3</v>
      </c>
      <c r="J23" s="12"/>
    </row>
    <row r="24" spans="2:12" ht="18.75" x14ac:dyDescent="0.3">
      <c r="B24" s="133" t="s">
        <v>84</v>
      </c>
      <c r="C24" s="133"/>
    </row>
    <row r="25" spans="2:12" ht="30.6" customHeight="1" x14ac:dyDescent="0.25">
      <c r="B25" s="50" t="s">
        <v>72</v>
      </c>
      <c r="C25" s="51" t="s">
        <v>9</v>
      </c>
      <c r="D25" s="51" t="s">
        <v>23</v>
      </c>
      <c r="E25" s="51" t="s">
        <v>24</v>
      </c>
      <c r="F25" s="127" t="s">
        <v>10</v>
      </c>
      <c r="G25" s="129"/>
      <c r="H25" s="48" t="s">
        <v>95</v>
      </c>
      <c r="I25" s="118"/>
    </row>
    <row r="26" spans="2:12" ht="15" customHeight="1" x14ac:dyDescent="0.25">
      <c r="B26" s="60" t="s">
        <v>11</v>
      </c>
      <c r="C26" s="1">
        <v>44</v>
      </c>
      <c r="D26" s="62">
        <v>8.01</v>
      </c>
      <c r="E26" s="31">
        <f>D26*(1+L28)*(1+L27)</f>
        <v>14.462856</v>
      </c>
      <c r="F26" s="26">
        <v>13</v>
      </c>
      <c r="G26" s="35" t="s">
        <v>74</v>
      </c>
      <c r="H26" s="123">
        <f>E26*$L$30*F26*C26</f>
        <v>1254728.5433654399</v>
      </c>
      <c r="I26" s="119"/>
      <c r="J26" s="8"/>
    </row>
    <row r="27" spans="2:12" ht="15" customHeight="1" x14ac:dyDescent="0.25">
      <c r="B27" s="60" t="s">
        <v>12</v>
      </c>
      <c r="C27" s="1">
        <v>6</v>
      </c>
      <c r="D27" s="62"/>
      <c r="E27" s="31">
        <v>19.71</v>
      </c>
      <c r="F27" s="26">
        <v>14</v>
      </c>
      <c r="G27" s="35" t="s">
        <v>74</v>
      </c>
      <c r="H27" s="123">
        <f>E27*$L$30*F27*C27</f>
        <v>251110.91879999998</v>
      </c>
      <c r="I27" s="119"/>
      <c r="J27" s="137" t="s">
        <v>18</v>
      </c>
      <c r="K27" s="137"/>
      <c r="L27" s="66">
        <v>0.48</v>
      </c>
    </row>
    <row r="28" spans="2:12" ht="15" customHeight="1" x14ac:dyDescent="0.25">
      <c r="B28" s="60" t="s">
        <v>13</v>
      </c>
      <c r="C28" s="1">
        <v>4</v>
      </c>
      <c r="D28" s="64">
        <v>1370</v>
      </c>
      <c r="E28" s="31">
        <f>D28*(1+L28)*(1+L27)</f>
        <v>2473.6719999999996</v>
      </c>
      <c r="F28" s="26">
        <v>13</v>
      </c>
      <c r="G28" s="35" t="s">
        <v>74</v>
      </c>
      <c r="H28" s="123">
        <f>E28*F28*C28</f>
        <v>128630.94399999997</v>
      </c>
      <c r="I28" s="119"/>
      <c r="J28" s="144" t="s">
        <v>25</v>
      </c>
      <c r="K28" s="144"/>
      <c r="L28" s="66">
        <v>0.22</v>
      </c>
    </row>
    <row r="29" spans="2:12" ht="15" customHeight="1" x14ac:dyDescent="0.25">
      <c r="B29" s="60" t="s">
        <v>14</v>
      </c>
      <c r="C29" s="1">
        <v>2</v>
      </c>
      <c r="D29" s="65"/>
      <c r="E29" s="31">
        <v>2432.71</v>
      </c>
      <c r="F29" s="26">
        <v>13</v>
      </c>
      <c r="G29" s="35" t="s">
        <v>74</v>
      </c>
      <c r="H29" s="123">
        <f t="shared" ref="H29:H31" si="1">E29*F29*C29</f>
        <v>63250.46</v>
      </c>
      <c r="I29" s="119"/>
      <c r="J29" s="144" t="s">
        <v>26</v>
      </c>
      <c r="K29" s="144"/>
      <c r="L29" s="66">
        <v>0.26</v>
      </c>
    </row>
    <row r="30" spans="2:12" ht="15" customHeight="1" x14ac:dyDescent="0.25">
      <c r="B30" s="60" t="s">
        <v>15</v>
      </c>
      <c r="C30" s="1">
        <v>2</v>
      </c>
      <c r="D30" s="64">
        <v>1580</v>
      </c>
      <c r="E30" s="31">
        <f>D30*(1+$L$29)*(1+$L$27)</f>
        <v>2946.384</v>
      </c>
      <c r="F30" s="26">
        <v>13</v>
      </c>
      <c r="G30" s="35" t="s">
        <v>74</v>
      </c>
      <c r="H30" s="123">
        <f t="shared" si="1"/>
        <v>76605.983999999997</v>
      </c>
      <c r="I30" s="119"/>
      <c r="J30" s="144" t="s">
        <v>27</v>
      </c>
      <c r="K30" s="144"/>
      <c r="L30" s="67">
        <v>151.66999999999999</v>
      </c>
    </row>
    <row r="31" spans="2:12" ht="15" customHeight="1" x14ac:dyDescent="0.25">
      <c r="B31" s="60" t="s">
        <v>16</v>
      </c>
      <c r="C31" s="1">
        <v>3</v>
      </c>
      <c r="D31" s="64">
        <v>1390</v>
      </c>
      <c r="E31" s="31">
        <f>D31*(1+$L$27)*(1+$L$28)</f>
        <v>2509.7839999999997</v>
      </c>
      <c r="F31" s="26">
        <v>13</v>
      </c>
      <c r="G31" s="35" t="s">
        <v>74</v>
      </c>
      <c r="H31" s="123">
        <f t="shared" si="1"/>
        <v>97881.575999999986</v>
      </c>
      <c r="I31" s="119"/>
    </row>
    <row r="32" spans="2:12" ht="15" customHeight="1" x14ac:dyDescent="0.25">
      <c r="B32" s="60" t="s">
        <v>17</v>
      </c>
      <c r="C32" s="1">
        <v>1</v>
      </c>
      <c r="D32" s="64">
        <v>3100</v>
      </c>
      <c r="E32" s="31">
        <f>D32*(1+$L$27)*(1+$L$29)</f>
        <v>5780.88</v>
      </c>
      <c r="F32" s="26">
        <v>14</v>
      </c>
      <c r="G32" s="35" t="s">
        <v>74</v>
      </c>
      <c r="H32" s="123">
        <f>E32*F32*C32</f>
        <v>80932.320000000007</v>
      </c>
      <c r="I32" s="119"/>
    </row>
    <row r="33" spans="2:10" x14ac:dyDescent="0.25">
      <c r="H33" s="56">
        <f>SUM(H26:H32)</f>
        <v>1953140.7461654397</v>
      </c>
      <c r="I33" s="122">
        <f>H33/H41</f>
        <v>9.6653796637628242E-2</v>
      </c>
      <c r="J33" s="8"/>
    </row>
    <row r="34" spans="2:10" ht="18.75" x14ac:dyDescent="0.3">
      <c r="B34" s="133" t="s">
        <v>89</v>
      </c>
      <c r="C34" s="133"/>
    </row>
    <row r="35" spans="2:10" x14ac:dyDescent="0.25">
      <c r="B35" s="136" t="s">
        <v>72</v>
      </c>
      <c r="C35" s="145"/>
      <c r="D35" s="51" t="s">
        <v>86</v>
      </c>
      <c r="E35" s="146" t="s">
        <v>88</v>
      </c>
      <c r="F35" s="147"/>
      <c r="G35" s="52" t="s">
        <v>87</v>
      </c>
      <c r="H35" s="48" t="s">
        <v>95</v>
      </c>
    </row>
    <row r="36" spans="2:10" x14ac:dyDescent="0.25">
      <c r="B36" s="137" t="s">
        <v>19</v>
      </c>
      <c r="C36" s="137"/>
      <c r="D36" s="69">
        <v>420000</v>
      </c>
      <c r="E36" s="148" t="s">
        <v>20</v>
      </c>
      <c r="F36" s="149"/>
      <c r="G36" s="6">
        <v>1</v>
      </c>
      <c r="H36" s="123">
        <f>D36*G36</f>
        <v>420000</v>
      </c>
      <c r="I36" s="120"/>
      <c r="J36" s="13"/>
    </row>
    <row r="37" spans="2:10" ht="16.5" customHeight="1" x14ac:dyDescent="0.25">
      <c r="B37" s="137" t="s">
        <v>21</v>
      </c>
      <c r="C37" s="137"/>
      <c r="D37" s="70">
        <v>122000</v>
      </c>
      <c r="E37" s="148" t="s">
        <v>85</v>
      </c>
      <c r="F37" s="149"/>
      <c r="G37" s="6">
        <v>5</v>
      </c>
      <c r="H37" s="55">
        <f>D37/G37</f>
        <v>24400</v>
      </c>
      <c r="I37" s="117"/>
      <c r="J37" s="12"/>
    </row>
    <row r="38" spans="2:10" x14ac:dyDescent="0.25">
      <c r="B38" s="137" t="s">
        <v>22</v>
      </c>
      <c r="C38" s="137"/>
      <c r="D38" s="70">
        <f>H37</f>
        <v>24400</v>
      </c>
      <c r="E38" s="150">
        <v>0.14000000000000001</v>
      </c>
      <c r="F38" s="151"/>
      <c r="G38" s="6">
        <v>1</v>
      </c>
      <c r="H38" s="55">
        <f>D38*E38</f>
        <v>3416.0000000000005</v>
      </c>
      <c r="I38" s="115"/>
      <c r="J38" s="8"/>
    </row>
    <row r="39" spans="2:10" x14ac:dyDescent="0.25">
      <c r="H39" s="56">
        <f>SUM(H36:H38)</f>
        <v>447816</v>
      </c>
      <c r="I39" s="122">
        <f>H39/H41</f>
        <v>2.2160777035681103E-2</v>
      </c>
      <c r="J39" s="13"/>
    </row>
    <row r="41" spans="2:10" ht="15.75" x14ac:dyDescent="0.25">
      <c r="D41" s="139" t="s">
        <v>92</v>
      </c>
      <c r="E41" s="139"/>
      <c r="F41" s="139"/>
      <c r="G41" s="140"/>
      <c r="H41" s="58">
        <f>H17+H23+H33+H39</f>
        <v>20207594.674093366</v>
      </c>
      <c r="I41" s="121">
        <f>I39+I33+I23+I17</f>
        <v>1</v>
      </c>
      <c r="J41" s="13"/>
    </row>
    <row r="43" spans="2:10" x14ac:dyDescent="0.25">
      <c r="E43" s="138" t="s">
        <v>98</v>
      </c>
      <c r="F43" s="138"/>
      <c r="G43" s="138"/>
      <c r="H43" s="68">
        <f>D4</f>
        <v>110000000</v>
      </c>
    </row>
    <row r="44" spans="2:10" x14ac:dyDescent="0.25">
      <c r="E44" s="138" t="s">
        <v>91</v>
      </c>
      <c r="F44" s="138"/>
      <c r="G44" s="138"/>
      <c r="H44" s="63">
        <v>0.1</v>
      </c>
    </row>
    <row r="45" spans="2:10" x14ac:dyDescent="0.25">
      <c r="E45" s="152" t="s">
        <v>99</v>
      </c>
      <c r="F45" s="153"/>
      <c r="G45" s="154"/>
      <c r="H45" s="68">
        <f>H43-(H43*H44)</f>
        <v>99000000</v>
      </c>
    </row>
    <row r="47" spans="2:10" ht="15.75" x14ac:dyDescent="0.25">
      <c r="D47" s="139" t="s">
        <v>97</v>
      </c>
      <c r="E47" s="139"/>
      <c r="F47" s="139"/>
      <c r="G47" s="140"/>
      <c r="H47" s="59">
        <f>H41/H45</f>
        <v>0.20411711792013501</v>
      </c>
    </row>
    <row r="48" spans="2:10" x14ac:dyDescent="0.25">
      <c r="F48" s="43"/>
      <c r="G48" s="43"/>
      <c r="H48" s="44"/>
    </row>
    <row r="49" spans="2:8" x14ac:dyDescent="0.25">
      <c r="E49" s="138" t="s">
        <v>93</v>
      </c>
      <c r="F49" s="138"/>
      <c r="G49" s="138"/>
      <c r="H49" s="61">
        <v>0.25</v>
      </c>
    </row>
    <row r="50" spans="2:8" x14ac:dyDescent="0.25">
      <c r="F50" s="42"/>
      <c r="G50" s="42"/>
      <c r="H50" s="45"/>
    </row>
    <row r="51" spans="2:8" ht="15.75" x14ac:dyDescent="0.25">
      <c r="B51" s="126" t="s">
        <v>129</v>
      </c>
      <c r="C51" s="126"/>
      <c r="D51" s="139" t="s">
        <v>96</v>
      </c>
      <c r="E51" s="139"/>
      <c r="F51" s="139"/>
      <c r="G51" s="140"/>
      <c r="H51" s="72">
        <f>H47+(H47*H49)</f>
        <v>0.25514639740016876</v>
      </c>
    </row>
    <row r="52" spans="2:8" x14ac:dyDescent="0.25">
      <c r="C52" s="125" t="s">
        <v>130</v>
      </c>
      <c r="F52" s="42"/>
      <c r="G52" s="42"/>
      <c r="H52" s="45"/>
    </row>
    <row r="53" spans="2:8" ht="15.75" x14ac:dyDescent="0.25">
      <c r="B53" s="126" t="s">
        <v>128</v>
      </c>
      <c r="C53" s="126"/>
      <c r="D53" s="139" t="s">
        <v>96</v>
      </c>
      <c r="E53" s="139"/>
      <c r="F53" s="139"/>
      <c r="G53" s="140"/>
      <c r="H53" s="72">
        <f>H47/(1-0.25)</f>
        <v>0.27215615722684666</v>
      </c>
    </row>
    <row r="55" spans="2:8" x14ac:dyDescent="0.25">
      <c r="E55" s="138" t="s">
        <v>100</v>
      </c>
      <c r="F55" s="138"/>
      <c r="G55" s="138"/>
      <c r="H55" s="71">
        <f>H45*ROUNDDOWN(H51,3)</f>
        <v>25245000</v>
      </c>
    </row>
    <row r="56" spans="2:8" x14ac:dyDescent="0.25">
      <c r="E56" s="138" t="s">
        <v>28</v>
      </c>
      <c r="F56" s="138"/>
      <c r="G56" s="138"/>
      <c r="H56" s="71">
        <f>H17</f>
        <v>17676677.927927926</v>
      </c>
    </row>
    <row r="57" spans="2:8" x14ac:dyDescent="0.25">
      <c r="E57" s="138" t="s">
        <v>101</v>
      </c>
      <c r="F57" s="138"/>
      <c r="G57" s="138"/>
      <c r="H57" s="71">
        <f>H55-H56</f>
        <v>7568322.0720720738</v>
      </c>
    </row>
    <row r="58" spans="2:8" x14ac:dyDescent="0.25">
      <c r="E58" s="138" t="s">
        <v>29</v>
      </c>
      <c r="F58" s="138"/>
      <c r="G58" s="138"/>
      <c r="H58" s="71">
        <f>H23+H33+H39</f>
        <v>2530916.7461654395</v>
      </c>
    </row>
    <row r="59" spans="2:8" x14ac:dyDescent="0.25">
      <c r="E59" s="138" t="s">
        <v>30</v>
      </c>
      <c r="F59" s="138"/>
      <c r="G59" s="138"/>
      <c r="H59" s="71">
        <f>H57-H58</f>
        <v>5037405.3259066343</v>
      </c>
    </row>
    <row r="61" spans="2:8" x14ac:dyDescent="0.25">
      <c r="E61" s="138" t="s">
        <v>102</v>
      </c>
      <c r="F61" s="138"/>
      <c r="G61" s="138"/>
      <c r="H61" s="7">
        <f>H57/H55</f>
        <v>0.29979489293214789</v>
      </c>
    </row>
    <row r="63" spans="2:8" ht="15.75" x14ac:dyDescent="0.25">
      <c r="D63" s="139" t="s">
        <v>103</v>
      </c>
      <c r="E63" s="139"/>
      <c r="F63" s="139"/>
      <c r="G63" s="140"/>
      <c r="H63" s="73">
        <f>+H58/H61</f>
        <v>8442160.9768324438</v>
      </c>
    </row>
    <row r="65" spans="4:8" ht="15.75" x14ac:dyDescent="0.25">
      <c r="D65" s="139" t="s">
        <v>104</v>
      </c>
      <c r="E65" s="139"/>
      <c r="F65" s="139"/>
      <c r="G65" s="140"/>
      <c r="H65" s="74">
        <f>H63/ROUNDDOWN(H51,3)</f>
        <v>33106513.634637035</v>
      </c>
    </row>
  </sheetData>
  <mergeCells count="55">
    <mergeCell ref="D63:G63"/>
    <mergeCell ref="D65:G65"/>
    <mergeCell ref="E57:G57"/>
    <mergeCell ref="E58:G58"/>
    <mergeCell ref="E59:G59"/>
    <mergeCell ref="E61:G61"/>
    <mergeCell ref="D51:G51"/>
    <mergeCell ref="E49:G49"/>
    <mergeCell ref="E45:G45"/>
    <mergeCell ref="E55:G55"/>
    <mergeCell ref="E56:G56"/>
    <mergeCell ref="D53:G53"/>
    <mergeCell ref="B35:C35"/>
    <mergeCell ref="E35:F35"/>
    <mergeCell ref="E43:G43"/>
    <mergeCell ref="B36:C36"/>
    <mergeCell ref="B37:C37"/>
    <mergeCell ref="B38:C38"/>
    <mergeCell ref="E36:F36"/>
    <mergeCell ref="E37:F37"/>
    <mergeCell ref="E38:F38"/>
    <mergeCell ref="J27:K27"/>
    <mergeCell ref="J28:K28"/>
    <mergeCell ref="J29:K29"/>
    <mergeCell ref="J30:K30"/>
    <mergeCell ref="B21:C21"/>
    <mergeCell ref="B22:C22"/>
    <mergeCell ref="F25:G25"/>
    <mergeCell ref="B7:C7"/>
    <mergeCell ref="B8:C8"/>
    <mergeCell ref="B11:C11"/>
    <mergeCell ref="B12:C12"/>
    <mergeCell ref="B13:C13"/>
    <mergeCell ref="B10:C10"/>
    <mergeCell ref="B2:C2"/>
    <mergeCell ref="B3:C3"/>
    <mergeCell ref="B4:C4"/>
    <mergeCell ref="B5:C5"/>
    <mergeCell ref="B6:C6"/>
    <mergeCell ref="B51:C51"/>
    <mergeCell ref="B53:C53"/>
    <mergeCell ref="E11:G11"/>
    <mergeCell ref="E14:G14"/>
    <mergeCell ref="E16:G16"/>
    <mergeCell ref="B18:C18"/>
    <mergeCell ref="B24:C24"/>
    <mergeCell ref="B14:C14"/>
    <mergeCell ref="B15:C15"/>
    <mergeCell ref="B16:C16"/>
    <mergeCell ref="B19:C19"/>
    <mergeCell ref="B20:C20"/>
    <mergeCell ref="E44:G44"/>
    <mergeCell ref="B34:C34"/>
    <mergeCell ref="D47:G47"/>
    <mergeCell ref="D41:G41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headerFooter>
    <oddHeader>&amp;L&amp;G&amp;C&amp;"-,Gras"ECF - BC3 - REL&amp;RP_18485_12B0</oddHeader>
    <oddFooter>&amp;LDPSO / PEFS&amp;C&amp;"-,Gras" MS_TSMEL_Coût de revient et suivi budgétaire_Corrigé&amp;RAvril 2023</oddFooter>
  </headerFooter>
  <ignoredErrors>
    <ignoredError sqref="H58" 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29CA-74EB-4C10-8F9E-EB8567E6E8E2}">
  <sheetPr>
    <pageSetUpPr fitToPage="1"/>
  </sheetPr>
  <dimension ref="B2:S56"/>
  <sheetViews>
    <sheetView showGridLines="0" zoomScale="86" zoomScaleNormal="86" workbookViewId="0">
      <selection activeCell="W46" sqref="W46"/>
    </sheetView>
  </sheetViews>
  <sheetFormatPr baseColWidth="10" defaultRowHeight="15.75" x14ac:dyDescent="0.25"/>
  <cols>
    <col min="2" max="2" width="1.140625" customWidth="1"/>
    <col min="3" max="3" width="20.7109375" customWidth="1"/>
    <col min="5" max="5" width="13.5703125" bestFit="1" customWidth="1"/>
    <col min="6" max="6" width="20.140625" customWidth="1"/>
    <col min="7" max="7" width="18.140625" customWidth="1"/>
    <col min="8" max="8" width="1.140625" customWidth="1"/>
    <col min="9" max="9" width="12.140625" customWidth="1"/>
    <col min="10" max="10" width="14.5703125" customWidth="1"/>
    <col min="11" max="11" width="1.140625" customWidth="1"/>
    <col min="13" max="13" width="14.5703125" customWidth="1"/>
    <col min="14" max="14" width="1.140625" customWidth="1"/>
    <col min="16" max="16" width="14.5703125" customWidth="1"/>
    <col min="17" max="17" width="1.140625" customWidth="1"/>
    <col min="18" max="18" width="14.5703125" style="75" customWidth="1"/>
    <col min="19" max="19" width="1.140625" customWidth="1"/>
    <col min="20" max="20" width="7.85546875" customWidth="1"/>
  </cols>
  <sheetData>
    <row r="2" spans="2:19" ht="6.95" customHeight="1" x14ac:dyDescent="0.25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94"/>
      <c r="S2" s="77"/>
    </row>
    <row r="3" spans="2:19" ht="18.75" x14ac:dyDescent="0.25">
      <c r="B3" s="77"/>
      <c r="C3" s="77"/>
      <c r="D3" s="77"/>
      <c r="E3" s="77"/>
      <c r="F3" s="77"/>
      <c r="G3" s="77"/>
      <c r="H3" s="77"/>
      <c r="I3" s="166" t="s">
        <v>31</v>
      </c>
      <c r="J3" s="167"/>
      <c r="K3" s="77"/>
      <c r="L3" s="166" t="s">
        <v>32</v>
      </c>
      <c r="M3" s="167"/>
      <c r="N3" s="77"/>
      <c r="O3" s="166" t="s">
        <v>33</v>
      </c>
      <c r="P3" s="167"/>
      <c r="Q3" s="78"/>
      <c r="R3" s="94"/>
      <c r="S3" s="78"/>
    </row>
    <row r="4" spans="2:19" x14ac:dyDescent="0.25">
      <c r="B4" s="78"/>
      <c r="C4" s="53" t="s">
        <v>34</v>
      </c>
      <c r="D4" s="52" t="s">
        <v>9</v>
      </c>
      <c r="E4" s="52" t="s">
        <v>105</v>
      </c>
      <c r="F4" s="52" t="s">
        <v>38</v>
      </c>
      <c r="G4" s="91" t="s">
        <v>94</v>
      </c>
      <c r="H4" s="78"/>
      <c r="I4" s="87"/>
      <c r="J4" s="87"/>
      <c r="K4" s="78"/>
      <c r="L4" s="92"/>
      <c r="M4" s="93"/>
      <c r="N4" s="78"/>
      <c r="O4" s="87"/>
      <c r="P4" s="87"/>
      <c r="Q4" s="77"/>
      <c r="R4" s="94"/>
      <c r="S4" s="77"/>
    </row>
    <row r="5" spans="2:19" ht="3.95" customHeight="1" x14ac:dyDescent="0.25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94"/>
      <c r="S5" s="77"/>
    </row>
    <row r="6" spans="2:19" x14ac:dyDescent="0.25">
      <c r="B6" s="82"/>
      <c r="C6" s="47" t="s">
        <v>35</v>
      </c>
      <c r="D6" s="15">
        <v>1</v>
      </c>
      <c r="E6" s="5">
        <v>25</v>
      </c>
      <c r="F6" s="16">
        <v>1972</v>
      </c>
      <c r="G6" s="9">
        <f>D6*E6*F6*1.49</f>
        <v>73457</v>
      </c>
      <c r="H6" s="79"/>
      <c r="I6" s="7"/>
      <c r="J6" s="9">
        <f>$G6*I6</f>
        <v>0</v>
      </c>
      <c r="K6" s="82"/>
      <c r="L6" s="7">
        <v>0.7</v>
      </c>
      <c r="M6" s="9">
        <f>$G6*L6</f>
        <v>51419.899999999994</v>
      </c>
      <c r="N6" s="82"/>
      <c r="O6" s="7">
        <v>0.3</v>
      </c>
      <c r="P6" s="9">
        <f>$G6*O6</f>
        <v>22037.1</v>
      </c>
      <c r="Q6" s="88"/>
      <c r="R6" s="94"/>
      <c r="S6" s="88"/>
    </row>
    <row r="7" spans="2:19" x14ac:dyDescent="0.25">
      <c r="B7" s="82"/>
      <c r="C7" s="47" t="s">
        <v>14</v>
      </c>
      <c r="D7" s="15">
        <v>2</v>
      </c>
      <c r="E7" s="5">
        <v>12</v>
      </c>
      <c r="F7" s="16">
        <v>1820</v>
      </c>
      <c r="G7" s="9">
        <f t="shared" ref="G7:G9" si="0">D7*E7*F7*1.49</f>
        <v>65083.199999999997</v>
      </c>
      <c r="H7" s="79"/>
      <c r="I7" s="7">
        <v>0.6</v>
      </c>
      <c r="J7" s="9">
        <f t="shared" ref="J7:J9" si="1">$G7*I7</f>
        <v>39049.919999999998</v>
      </c>
      <c r="K7" s="82"/>
      <c r="L7" s="7"/>
      <c r="M7" s="9">
        <f t="shared" ref="M7" si="2">$G7*L7</f>
        <v>0</v>
      </c>
      <c r="N7" s="82"/>
      <c r="O7" s="7">
        <v>0.4</v>
      </c>
      <c r="P7" s="9">
        <f t="shared" ref="P7" si="3">$G7*O7</f>
        <v>26033.279999999999</v>
      </c>
      <c r="Q7" s="88"/>
      <c r="R7" s="94"/>
      <c r="S7" s="88"/>
    </row>
    <row r="8" spans="2:19" x14ac:dyDescent="0.25">
      <c r="B8" s="82"/>
      <c r="C8" s="47" t="s">
        <v>36</v>
      </c>
      <c r="D8" s="15">
        <v>1</v>
      </c>
      <c r="E8" s="5">
        <v>14</v>
      </c>
      <c r="F8" s="16">
        <v>1820</v>
      </c>
      <c r="G8" s="9">
        <f t="shared" si="0"/>
        <v>37965.199999999997</v>
      </c>
      <c r="H8" s="79"/>
      <c r="I8" s="7"/>
      <c r="J8" s="9">
        <f t="shared" si="1"/>
        <v>0</v>
      </c>
      <c r="K8" s="82"/>
      <c r="L8" s="7">
        <v>1</v>
      </c>
      <c r="M8" s="9">
        <f t="shared" ref="M8" si="4">$G8*L8</f>
        <v>37965.199999999997</v>
      </c>
      <c r="N8" s="82"/>
      <c r="O8" s="7"/>
      <c r="P8" s="9">
        <f t="shared" ref="P8" si="5">$G8*O8</f>
        <v>0</v>
      </c>
      <c r="Q8" s="88"/>
      <c r="R8" s="94"/>
      <c r="S8" s="88"/>
    </row>
    <row r="9" spans="2:19" x14ac:dyDescent="0.25">
      <c r="B9" s="82"/>
      <c r="C9" s="47" t="s">
        <v>37</v>
      </c>
      <c r="D9" s="15">
        <v>2</v>
      </c>
      <c r="E9" s="5">
        <v>11</v>
      </c>
      <c r="F9" s="16">
        <v>1820</v>
      </c>
      <c r="G9" s="9">
        <f t="shared" si="0"/>
        <v>59659.6</v>
      </c>
      <c r="H9" s="79"/>
      <c r="I9" s="7"/>
      <c r="J9" s="9">
        <f t="shared" si="1"/>
        <v>0</v>
      </c>
      <c r="K9" s="82"/>
      <c r="L9" s="7"/>
      <c r="M9" s="9">
        <f t="shared" ref="M9" si="6">$G9*L9</f>
        <v>0</v>
      </c>
      <c r="N9" s="82"/>
      <c r="O9" s="7">
        <v>1</v>
      </c>
      <c r="P9" s="9">
        <f t="shared" ref="P9" si="7">$G9*O9</f>
        <v>59659.6</v>
      </c>
      <c r="Q9" s="88"/>
      <c r="R9" s="94"/>
      <c r="S9" s="88"/>
    </row>
    <row r="10" spans="2:19" x14ac:dyDescent="0.25">
      <c r="B10" s="80"/>
      <c r="C10" s="77"/>
      <c r="D10" s="77"/>
      <c r="E10" s="77"/>
      <c r="F10" s="77"/>
      <c r="G10" s="96">
        <f>SUM(G6:G9)</f>
        <v>236165.00000000003</v>
      </c>
      <c r="H10" s="80"/>
      <c r="I10" s="77"/>
      <c r="J10" s="96">
        <f>SUM(J6:J9)</f>
        <v>39049.919999999998</v>
      </c>
      <c r="K10" s="80"/>
      <c r="L10" s="84"/>
      <c r="M10" s="96">
        <f>SUM(M6:M9)</f>
        <v>89385.099999999991</v>
      </c>
      <c r="N10" s="80"/>
      <c r="O10" s="84"/>
      <c r="P10" s="96">
        <f>SUM(P6:P9)</f>
        <v>107729.98</v>
      </c>
      <c r="Q10" s="89"/>
      <c r="R10" s="76">
        <f>J10+M10+P10</f>
        <v>236165</v>
      </c>
      <c r="S10" s="89"/>
    </row>
    <row r="11" spans="2:19" ht="6.95" customHeight="1" x14ac:dyDescent="0.25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94"/>
      <c r="S11" s="77"/>
    </row>
    <row r="12" spans="2:19" x14ac:dyDescent="0.25">
      <c r="B12" s="78"/>
      <c r="C12" s="53" t="s">
        <v>39</v>
      </c>
      <c r="D12" s="52" t="s">
        <v>9</v>
      </c>
      <c r="E12" s="52" t="s">
        <v>106</v>
      </c>
      <c r="F12" s="52" t="s">
        <v>107</v>
      </c>
      <c r="G12" s="91" t="s">
        <v>94</v>
      </c>
      <c r="H12" s="78"/>
      <c r="I12" s="77"/>
      <c r="J12" s="77"/>
      <c r="K12" s="78"/>
      <c r="L12" s="77"/>
      <c r="M12" s="77"/>
      <c r="N12" s="78"/>
      <c r="O12" s="77"/>
      <c r="P12" s="77"/>
      <c r="Q12" s="77"/>
      <c r="R12" s="94"/>
      <c r="S12" s="77"/>
    </row>
    <row r="13" spans="2:19" ht="3.95" customHeight="1" x14ac:dyDescent="0.25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94"/>
      <c r="S13" s="77"/>
    </row>
    <row r="14" spans="2:19" x14ac:dyDescent="0.25">
      <c r="B14" s="81"/>
      <c r="C14" s="47" t="s">
        <v>41</v>
      </c>
      <c r="D14" s="4">
        <v>1</v>
      </c>
      <c r="E14" s="19">
        <v>80500</v>
      </c>
      <c r="F14" s="4">
        <v>1</v>
      </c>
      <c r="G14" s="5">
        <f>D14*E14*F14</f>
        <v>80500</v>
      </c>
      <c r="H14" s="81"/>
      <c r="I14" s="17">
        <v>0.05</v>
      </c>
      <c r="J14" s="9">
        <f>$G14*I14</f>
        <v>4025</v>
      </c>
      <c r="K14" s="81"/>
      <c r="L14" s="7">
        <v>0.8</v>
      </c>
      <c r="M14" s="9">
        <f>$G14*L14</f>
        <v>64400</v>
      </c>
      <c r="N14" s="81"/>
      <c r="O14" s="7">
        <v>0.15</v>
      </c>
      <c r="P14" s="9">
        <f>$G14*O14</f>
        <v>12075</v>
      </c>
      <c r="Q14" s="88"/>
      <c r="R14" s="94"/>
      <c r="S14" s="88"/>
    </row>
    <row r="15" spans="2:19" x14ac:dyDescent="0.25">
      <c r="B15" s="81"/>
      <c r="C15" s="47" t="s">
        <v>40</v>
      </c>
      <c r="D15" s="4">
        <v>10000</v>
      </c>
      <c r="E15" s="19">
        <v>3.5</v>
      </c>
      <c r="F15" s="4">
        <v>1</v>
      </c>
      <c r="G15" s="5">
        <f>D15*E15*F15</f>
        <v>35000</v>
      </c>
      <c r="H15" s="81"/>
      <c r="I15" s="17"/>
      <c r="J15" s="9">
        <f t="shared" ref="J15:J20" si="8">$G15*I15</f>
        <v>0</v>
      </c>
      <c r="K15" s="81"/>
      <c r="L15" s="7">
        <v>1</v>
      </c>
      <c r="M15" s="9">
        <f t="shared" ref="M15:M20" si="9">$G15*L15</f>
        <v>35000</v>
      </c>
      <c r="N15" s="81"/>
      <c r="O15" s="7"/>
      <c r="P15" s="9">
        <f t="shared" ref="P15:P20" si="10">$G15*O15</f>
        <v>0</v>
      </c>
      <c r="Q15" s="88"/>
      <c r="R15" s="94"/>
      <c r="S15" s="88"/>
    </row>
    <row r="16" spans="2:19" x14ac:dyDescent="0.25">
      <c r="B16" s="81"/>
      <c r="C16" s="47" t="s">
        <v>42</v>
      </c>
      <c r="D16" s="4">
        <v>1</v>
      </c>
      <c r="E16" s="20">
        <v>1050</v>
      </c>
      <c r="F16" s="4">
        <v>12</v>
      </c>
      <c r="G16" s="5">
        <f>D16*E16*F16</f>
        <v>12600</v>
      </c>
      <c r="H16" s="81"/>
      <c r="I16" s="17">
        <v>1</v>
      </c>
      <c r="J16" s="9">
        <f t="shared" si="8"/>
        <v>12600</v>
      </c>
      <c r="K16" s="81"/>
      <c r="L16" s="7"/>
      <c r="M16" s="9">
        <f t="shared" si="9"/>
        <v>0</v>
      </c>
      <c r="N16" s="81"/>
      <c r="O16" s="7"/>
      <c r="P16" s="9">
        <f t="shared" si="10"/>
        <v>0</v>
      </c>
      <c r="Q16" s="88"/>
      <c r="R16" s="94"/>
      <c r="S16" s="88"/>
    </row>
    <row r="17" spans="2:19" x14ac:dyDescent="0.25">
      <c r="B17" s="82"/>
      <c r="C17" s="47" t="s">
        <v>43</v>
      </c>
      <c r="D17" s="4">
        <v>1</v>
      </c>
      <c r="E17" s="19">
        <v>2000</v>
      </c>
      <c r="F17" s="4">
        <v>12</v>
      </c>
      <c r="G17" s="9">
        <f t="shared" ref="G17:G20" si="11">D17*E17*F17</f>
        <v>24000</v>
      </c>
      <c r="H17" s="82"/>
      <c r="I17" s="17"/>
      <c r="J17" s="9">
        <f t="shared" si="8"/>
        <v>0</v>
      </c>
      <c r="K17" s="82"/>
      <c r="L17" s="7">
        <v>1</v>
      </c>
      <c r="M17" s="9">
        <f t="shared" si="9"/>
        <v>24000</v>
      </c>
      <c r="N17" s="82"/>
      <c r="O17" s="7"/>
      <c r="P17" s="9">
        <f t="shared" si="10"/>
        <v>0</v>
      </c>
      <c r="Q17" s="88"/>
      <c r="R17" s="94"/>
      <c r="S17" s="88"/>
    </row>
    <row r="18" spans="2:19" x14ac:dyDescent="0.25">
      <c r="B18" s="82"/>
      <c r="C18" s="47" t="s">
        <v>44</v>
      </c>
      <c r="D18" s="4">
        <v>3</v>
      </c>
      <c r="E18" s="19">
        <v>280</v>
      </c>
      <c r="F18" s="4">
        <v>12</v>
      </c>
      <c r="G18" s="9">
        <f t="shared" si="11"/>
        <v>10080</v>
      </c>
      <c r="H18" s="82"/>
      <c r="I18" s="17"/>
      <c r="J18" s="9">
        <f t="shared" si="8"/>
        <v>0</v>
      </c>
      <c r="K18" s="82"/>
      <c r="L18" s="7"/>
      <c r="M18" s="9">
        <f t="shared" si="9"/>
        <v>0</v>
      </c>
      <c r="N18" s="82"/>
      <c r="O18" s="7">
        <v>1</v>
      </c>
      <c r="P18" s="9">
        <f t="shared" si="10"/>
        <v>10080</v>
      </c>
      <c r="Q18" s="88"/>
      <c r="R18" s="94"/>
      <c r="S18" s="88"/>
    </row>
    <row r="19" spans="2:19" x14ac:dyDescent="0.25">
      <c r="B19" s="82"/>
      <c r="C19" s="47" t="s">
        <v>45</v>
      </c>
      <c r="D19" s="4">
        <v>3</v>
      </c>
      <c r="E19" s="19">
        <v>35</v>
      </c>
      <c r="F19" s="4">
        <v>12</v>
      </c>
      <c r="G19" s="9">
        <f t="shared" si="11"/>
        <v>1260</v>
      </c>
      <c r="H19" s="82"/>
      <c r="I19" s="17"/>
      <c r="J19" s="9">
        <f t="shared" si="8"/>
        <v>0</v>
      </c>
      <c r="K19" s="82"/>
      <c r="L19" s="7"/>
      <c r="M19" s="9">
        <f t="shared" si="9"/>
        <v>0</v>
      </c>
      <c r="N19" s="82"/>
      <c r="O19" s="7">
        <v>1</v>
      </c>
      <c r="P19" s="9">
        <f t="shared" si="10"/>
        <v>1260</v>
      </c>
      <c r="Q19" s="88"/>
      <c r="R19" s="94"/>
      <c r="S19" s="88"/>
    </row>
    <row r="20" spans="2:19" x14ac:dyDescent="0.25">
      <c r="B20" s="82"/>
      <c r="C20" s="47" t="s">
        <v>46</v>
      </c>
      <c r="D20" s="4">
        <v>3</v>
      </c>
      <c r="E20" s="19">
        <v>85</v>
      </c>
      <c r="F20" s="4">
        <v>12</v>
      </c>
      <c r="G20" s="9">
        <f t="shared" si="11"/>
        <v>3060</v>
      </c>
      <c r="H20" s="82"/>
      <c r="I20" s="17"/>
      <c r="J20" s="18">
        <f t="shared" si="8"/>
        <v>0</v>
      </c>
      <c r="K20" s="82"/>
      <c r="L20" s="7"/>
      <c r="M20" s="18">
        <f t="shared" si="9"/>
        <v>0</v>
      </c>
      <c r="N20" s="82"/>
      <c r="O20" s="7">
        <v>1</v>
      </c>
      <c r="P20" s="18">
        <f t="shared" si="10"/>
        <v>3060</v>
      </c>
      <c r="Q20" s="88"/>
      <c r="R20" s="94"/>
      <c r="S20" s="88"/>
    </row>
    <row r="21" spans="2:19" x14ac:dyDescent="0.25">
      <c r="B21" s="83"/>
      <c r="C21" s="77"/>
      <c r="D21" s="77"/>
      <c r="E21" s="77"/>
      <c r="F21" s="77"/>
      <c r="G21" s="96">
        <f>SUM(G14:G20)</f>
        <v>166500</v>
      </c>
      <c r="H21" s="83"/>
      <c r="I21" s="77"/>
      <c r="J21" s="96">
        <f>SUM(J14:J20)</f>
        <v>16625</v>
      </c>
      <c r="K21" s="83"/>
      <c r="L21" s="77"/>
      <c r="M21" s="96">
        <f>SUM(M14:M20)</f>
        <v>123400</v>
      </c>
      <c r="N21" s="83"/>
      <c r="O21" s="77"/>
      <c r="P21" s="96">
        <f>SUM(P14:P20)</f>
        <v>26475</v>
      </c>
      <c r="Q21" s="90"/>
      <c r="R21" s="76">
        <f>J21+M21+P21</f>
        <v>166500</v>
      </c>
      <c r="S21" s="90"/>
    </row>
    <row r="22" spans="2:19" ht="6.95" customHeight="1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94"/>
      <c r="S22" s="77"/>
    </row>
    <row r="23" spans="2:19" x14ac:dyDescent="0.25">
      <c r="B23" s="78"/>
      <c r="C23" s="53" t="s">
        <v>47</v>
      </c>
      <c r="D23" s="52"/>
      <c r="E23" s="52"/>
      <c r="F23" s="52"/>
      <c r="G23" s="91" t="s">
        <v>94</v>
      </c>
      <c r="H23" s="78"/>
      <c r="I23" s="77"/>
      <c r="J23" s="77"/>
      <c r="K23" s="78"/>
      <c r="L23" s="77"/>
      <c r="M23" s="77"/>
      <c r="N23" s="78"/>
      <c r="O23" s="77"/>
      <c r="P23" s="77"/>
      <c r="Q23" s="77"/>
      <c r="R23" s="94"/>
      <c r="S23" s="77"/>
    </row>
    <row r="24" spans="2:19" ht="3.95" customHeight="1" x14ac:dyDescent="0.2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94"/>
      <c r="S24" s="77"/>
    </row>
    <row r="25" spans="2:19" x14ac:dyDescent="0.25">
      <c r="B25" s="81"/>
      <c r="C25" s="47" t="s">
        <v>48</v>
      </c>
      <c r="D25" s="4"/>
      <c r="E25" s="4"/>
      <c r="F25" s="4"/>
      <c r="G25" s="14">
        <v>8000</v>
      </c>
      <c r="H25" s="81"/>
      <c r="I25" s="17">
        <v>0.4</v>
      </c>
      <c r="J25" s="9">
        <f>$G25*I25</f>
        <v>3200</v>
      </c>
      <c r="K25" s="81"/>
      <c r="L25" s="7">
        <v>0.2</v>
      </c>
      <c r="M25" s="9">
        <f>$G25*L25</f>
        <v>1600</v>
      </c>
      <c r="N25" s="81"/>
      <c r="O25" s="7">
        <v>0.4</v>
      </c>
      <c r="P25" s="9">
        <f>$G25*O25</f>
        <v>3200</v>
      </c>
      <c r="Q25" s="88"/>
      <c r="R25" s="94"/>
      <c r="S25" s="88"/>
    </row>
    <row r="26" spans="2:19" x14ac:dyDescent="0.25">
      <c r="B26" s="81"/>
      <c r="C26" s="47" t="s">
        <v>49</v>
      </c>
      <c r="D26" s="4"/>
      <c r="E26" s="4"/>
      <c r="F26" s="4"/>
      <c r="G26" s="14">
        <v>12000</v>
      </c>
      <c r="H26" s="81"/>
      <c r="I26" s="17">
        <v>0.15</v>
      </c>
      <c r="J26" s="9">
        <f t="shared" ref="J26:J28" si="12">$G26*I26</f>
        <v>1800</v>
      </c>
      <c r="K26" s="81"/>
      <c r="L26" s="7">
        <v>0.35</v>
      </c>
      <c r="M26" s="9">
        <f t="shared" ref="M26:M28" si="13">$G26*L26</f>
        <v>4200</v>
      </c>
      <c r="N26" s="81"/>
      <c r="O26" s="7">
        <v>0.5</v>
      </c>
      <c r="P26" s="9">
        <f t="shared" ref="P26:P28" si="14">$G26*O26</f>
        <v>6000</v>
      </c>
      <c r="Q26" s="88"/>
      <c r="R26" s="94"/>
      <c r="S26" s="88"/>
    </row>
    <row r="27" spans="2:19" x14ac:dyDescent="0.25">
      <c r="B27" s="81"/>
      <c r="C27" s="47" t="s">
        <v>50</v>
      </c>
      <c r="D27" s="4"/>
      <c r="E27" s="4"/>
      <c r="F27" s="4"/>
      <c r="G27" s="14">
        <v>13000</v>
      </c>
      <c r="H27" s="81"/>
      <c r="I27" s="17">
        <v>0.1</v>
      </c>
      <c r="J27" s="9">
        <f t="shared" si="12"/>
        <v>1300</v>
      </c>
      <c r="K27" s="81"/>
      <c r="L27" s="7">
        <v>0.45</v>
      </c>
      <c r="M27" s="9">
        <f t="shared" si="13"/>
        <v>5850</v>
      </c>
      <c r="N27" s="81"/>
      <c r="O27" s="7">
        <v>0.45</v>
      </c>
      <c r="P27" s="9">
        <f t="shared" si="14"/>
        <v>5850</v>
      </c>
      <c r="Q27" s="88"/>
      <c r="R27" s="94"/>
      <c r="S27" s="88"/>
    </row>
    <row r="28" spans="2:19" x14ac:dyDescent="0.25">
      <c r="B28" s="81"/>
      <c r="C28" s="47" t="s">
        <v>51</v>
      </c>
      <c r="D28" s="4"/>
      <c r="E28" s="4"/>
      <c r="F28" s="4"/>
      <c r="G28" s="14">
        <v>4000</v>
      </c>
      <c r="H28" s="81"/>
      <c r="I28" s="17">
        <v>0</v>
      </c>
      <c r="J28" s="18">
        <f t="shared" si="12"/>
        <v>0</v>
      </c>
      <c r="K28" s="81"/>
      <c r="L28" s="7">
        <v>0</v>
      </c>
      <c r="M28" s="18">
        <f t="shared" si="13"/>
        <v>0</v>
      </c>
      <c r="N28" s="81"/>
      <c r="O28" s="7">
        <v>1</v>
      </c>
      <c r="P28" s="18">
        <f t="shared" si="14"/>
        <v>4000</v>
      </c>
      <c r="Q28" s="88"/>
      <c r="R28" s="94"/>
      <c r="S28" s="88"/>
    </row>
    <row r="29" spans="2:19" x14ac:dyDescent="0.25">
      <c r="B29" s="83"/>
      <c r="C29" s="85"/>
      <c r="D29" s="85"/>
      <c r="E29" s="85"/>
      <c r="F29" s="85"/>
      <c r="G29" s="96">
        <f>SUM(G25:G28)</f>
        <v>37000</v>
      </c>
      <c r="H29" s="83"/>
      <c r="I29" s="77"/>
      <c r="J29" s="96">
        <f>SUM(J25:J28)</f>
        <v>6300</v>
      </c>
      <c r="K29" s="83"/>
      <c r="L29" s="77"/>
      <c r="M29" s="96">
        <f>SUM(M25:M28)</f>
        <v>11650</v>
      </c>
      <c r="N29" s="83"/>
      <c r="O29" s="77"/>
      <c r="P29" s="96">
        <f>SUM(P25:P28)</f>
        <v>19050</v>
      </c>
      <c r="Q29" s="90"/>
      <c r="R29" s="76">
        <f>J29+M29+P29</f>
        <v>37000</v>
      </c>
      <c r="S29" s="90"/>
    </row>
    <row r="30" spans="2:19" ht="6.95" customHeight="1" x14ac:dyDescent="0.25">
      <c r="B30" s="83"/>
      <c r="C30" s="77"/>
      <c r="D30" s="77"/>
      <c r="E30" s="77"/>
      <c r="F30" s="77"/>
      <c r="G30" s="86"/>
      <c r="H30" s="83"/>
      <c r="I30" s="77"/>
      <c r="J30" s="86"/>
      <c r="K30" s="83"/>
      <c r="L30" s="77"/>
      <c r="M30" s="86"/>
      <c r="N30" s="83"/>
      <c r="O30" s="77"/>
      <c r="P30" s="86"/>
      <c r="Q30" s="88"/>
      <c r="R30" s="86"/>
      <c r="S30" s="88"/>
    </row>
    <row r="31" spans="2:19" s="75" customFormat="1" x14ac:dyDescent="0.25">
      <c r="B31" s="95"/>
      <c r="C31" s="94"/>
      <c r="D31" s="94"/>
      <c r="E31" s="94"/>
      <c r="F31" s="94"/>
      <c r="G31" s="76">
        <f>G29+G21+G10</f>
        <v>439665</v>
      </c>
      <c r="H31" s="95"/>
      <c r="I31" s="94"/>
      <c r="J31" s="76">
        <f>J29+J21+J10</f>
        <v>61974.92</v>
      </c>
      <c r="K31" s="95"/>
      <c r="L31" s="94"/>
      <c r="M31" s="76">
        <f>M29+M21+M10</f>
        <v>224435.09999999998</v>
      </c>
      <c r="N31" s="95"/>
      <c r="O31" s="94"/>
      <c r="P31" s="76">
        <f>P29+P21+P10</f>
        <v>153254.97999999998</v>
      </c>
      <c r="Q31" s="94"/>
      <c r="R31" s="94"/>
      <c r="S31" s="94"/>
    </row>
    <row r="32" spans="2:19" ht="6.95" customHeight="1" x14ac:dyDescent="0.2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94"/>
      <c r="S32" s="77"/>
    </row>
    <row r="33" spans="2:19" x14ac:dyDescent="0.25">
      <c r="B33" s="77"/>
      <c r="C33" s="47" t="s">
        <v>118</v>
      </c>
      <c r="D33" s="110">
        <v>20</v>
      </c>
      <c r="E33" s="77"/>
      <c r="F33" s="152" t="s">
        <v>110</v>
      </c>
      <c r="G33" s="154"/>
      <c r="H33" s="77"/>
      <c r="I33" s="101">
        <v>63500</v>
      </c>
      <c r="J33" s="98" t="s">
        <v>108</v>
      </c>
      <c r="K33" s="103"/>
      <c r="L33" s="101">
        <v>10000</v>
      </c>
      <c r="M33" s="98" t="s">
        <v>59</v>
      </c>
      <c r="N33" s="97"/>
      <c r="O33" s="101">
        <v>6500</v>
      </c>
      <c r="P33" s="98" t="s">
        <v>109</v>
      </c>
      <c r="Q33" s="99"/>
      <c r="R33" s="94"/>
      <c r="S33" s="99"/>
    </row>
    <row r="34" spans="2:19" ht="6.95" customHeight="1" x14ac:dyDescent="0.25">
      <c r="B34" s="83"/>
      <c r="C34" s="77"/>
      <c r="D34" s="77"/>
      <c r="E34" s="77"/>
      <c r="F34" s="77"/>
      <c r="G34" s="86"/>
      <c r="H34" s="83"/>
      <c r="I34" s="77"/>
      <c r="J34" s="86"/>
      <c r="K34" s="83"/>
      <c r="L34" s="77"/>
      <c r="M34" s="86"/>
      <c r="N34" s="83"/>
      <c r="O34" s="77"/>
      <c r="P34" s="86"/>
      <c r="Q34" s="88"/>
      <c r="R34" s="80"/>
      <c r="S34" s="88"/>
    </row>
    <row r="35" spans="2:19" ht="15.6" customHeight="1" x14ac:dyDescent="0.25">
      <c r="B35" s="77"/>
      <c r="C35" s="77"/>
      <c r="D35" s="77"/>
      <c r="E35" s="77"/>
      <c r="F35" s="163" t="s">
        <v>112</v>
      </c>
      <c r="G35" s="164"/>
      <c r="H35" s="77"/>
      <c r="I35" s="159">
        <f>J31/I33</f>
        <v>0.97598299212598427</v>
      </c>
      <c r="J35" s="160"/>
      <c r="K35" s="102"/>
      <c r="L35" s="77"/>
      <c r="M35" s="77"/>
      <c r="N35" s="102"/>
      <c r="O35" s="159">
        <f>P31/O33</f>
        <v>23.577689230769227</v>
      </c>
      <c r="P35" s="160"/>
      <c r="Q35" s="100"/>
      <c r="R35" s="94"/>
      <c r="S35" s="100"/>
    </row>
    <row r="36" spans="2:19" ht="6.95" customHeight="1" x14ac:dyDescent="0.25">
      <c r="B36" s="83"/>
      <c r="C36" s="77"/>
      <c r="D36" s="77"/>
      <c r="E36" s="77"/>
      <c r="F36" s="77"/>
      <c r="G36" s="86"/>
      <c r="H36" s="83"/>
      <c r="I36" s="77"/>
      <c r="J36" s="86"/>
      <c r="K36" s="83"/>
      <c r="L36" s="77"/>
      <c r="M36" s="80"/>
      <c r="N36" s="83"/>
      <c r="O36" s="77"/>
      <c r="P36" s="86"/>
      <c r="Q36" s="88"/>
      <c r="R36" s="80"/>
      <c r="S36" s="88"/>
    </row>
    <row r="37" spans="2:19" x14ac:dyDescent="0.25">
      <c r="B37" s="77"/>
      <c r="C37" s="77"/>
      <c r="D37" s="77"/>
      <c r="E37" s="77"/>
      <c r="F37" s="163" t="s">
        <v>111</v>
      </c>
      <c r="G37" s="164"/>
      <c r="H37" s="77"/>
      <c r="I37" s="77"/>
      <c r="J37" s="77"/>
      <c r="K37" s="77"/>
      <c r="L37" s="159">
        <f>M31/12/L33</f>
        <v>1.8702924999999999</v>
      </c>
      <c r="M37" s="160"/>
      <c r="N37" s="77"/>
      <c r="O37" s="77"/>
      <c r="P37" s="77"/>
      <c r="Q37" s="77"/>
      <c r="R37" s="94"/>
      <c r="S37" s="77"/>
    </row>
    <row r="38" spans="2:19" ht="6.95" customHeight="1" x14ac:dyDescent="0.25">
      <c r="B38" s="83"/>
      <c r="C38" s="77"/>
      <c r="D38" s="77"/>
      <c r="E38" s="77"/>
      <c r="F38" s="77"/>
      <c r="G38" s="86"/>
      <c r="H38" s="83"/>
      <c r="I38" s="77"/>
      <c r="J38" s="80"/>
      <c r="K38" s="83"/>
      <c r="L38" s="77"/>
      <c r="M38" s="86"/>
      <c r="N38" s="83"/>
      <c r="O38" s="77"/>
      <c r="P38" s="80"/>
      <c r="Q38" s="88"/>
      <c r="R38" s="80"/>
      <c r="S38" s="88"/>
    </row>
    <row r="39" spans="2:19" ht="21.6" customHeight="1" x14ac:dyDescent="0.25">
      <c r="B39" s="104"/>
      <c r="C39" s="105"/>
      <c r="D39" s="105"/>
      <c r="E39" s="105"/>
      <c r="F39" s="105"/>
      <c r="G39" s="106"/>
      <c r="H39" s="104"/>
      <c r="I39" s="105"/>
      <c r="J39" s="106"/>
      <c r="K39" s="104"/>
      <c r="L39" s="105"/>
      <c r="M39" s="106"/>
      <c r="N39" s="104"/>
      <c r="O39" s="105"/>
      <c r="P39" s="106"/>
      <c r="Q39" s="107"/>
      <c r="R39" s="106"/>
      <c r="S39" s="107"/>
    </row>
    <row r="40" spans="2:19" ht="6.95" customHeight="1" x14ac:dyDescent="0.25">
      <c r="B40" s="83"/>
      <c r="C40" s="77"/>
      <c r="D40" s="77"/>
      <c r="E40" s="77"/>
      <c r="F40" s="77"/>
      <c r="G40" s="108"/>
      <c r="H40" s="83"/>
      <c r="I40" s="77"/>
      <c r="J40" s="80"/>
      <c r="K40" s="83"/>
      <c r="L40" s="77"/>
      <c r="M40" s="80"/>
      <c r="N40" s="83"/>
      <c r="O40" s="77"/>
      <c r="P40" s="80"/>
      <c r="Q40" s="88"/>
      <c r="R40" s="94"/>
      <c r="S40" s="88"/>
    </row>
    <row r="41" spans="2:19" ht="15.6" customHeight="1" x14ac:dyDescent="0.25">
      <c r="B41" s="77"/>
      <c r="C41" s="77"/>
      <c r="D41" s="77"/>
      <c r="E41" s="77"/>
      <c r="F41" s="161" t="s">
        <v>115</v>
      </c>
      <c r="G41" s="162"/>
      <c r="H41" s="77"/>
      <c r="I41" s="159">
        <f>D46*D45*D33*I35</f>
        <v>1288.2975496062993</v>
      </c>
      <c r="J41" s="160"/>
      <c r="K41" s="77"/>
      <c r="L41" s="77"/>
      <c r="M41" s="77"/>
      <c r="N41" s="77"/>
      <c r="O41" s="77"/>
      <c r="P41" s="77"/>
      <c r="Q41" s="77"/>
      <c r="R41" s="156">
        <f>+I41+L42+O43</f>
        <v>2848.6016438370684</v>
      </c>
      <c r="S41" s="77"/>
    </row>
    <row r="42" spans="2:19" ht="15.6" customHeight="1" x14ac:dyDescent="0.25">
      <c r="B42" s="77"/>
      <c r="C42" s="77"/>
      <c r="D42" s="77"/>
      <c r="E42" s="77"/>
      <c r="F42" s="161" t="s">
        <v>116</v>
      </c>
      <c r="G42" s="162"/>
      <c r="H42" s="77"/>
      <c r="I42" s="165"/>
      <c r="J42" s="165"/>
      <c r="K42" s="77"/>
      <c r="L42" s="159">
        <f>D46*D45*D33*L37/D33*D47</f>
        <v>617.19652499999995</v>
      </c>
      <c r="M42" s="160"/>
      <c r="N42" s="77"/>
      <c r="O42" s="77"/>
      <c r="P42" s="77"/>
      <c r="Q42" s="77"/>
      <c r="R42" s="157"/>
      <c r="S42" s="77"/>
    </row>
    <row r="43" spans="2:19" ht="15.6" customHeight="1" x14ac:dyDescent="0.25">
      <c r="B43" s="77"/>
      <c r="C43" s="143" t="s">
        <v>114</v>
      </c>
      <c r="D43" s="143"/>
      <c r="E43" s="77"/>
      <c r="F43" s="161" t="s">
        <v>117</v>
      </c>
      <c r="G43" s="162"/>
      <c r="H43" s="77"/>
      <c r="I43" s="165"/>
      <c r="J43" s="165"/>
      <c r="K43" s="77"/>
      <c r="L43" s="77"/>
      <c r="M43" s="85"/>
      <c r="N43" s="77"/>
      <c r="O43" s="159">
        <f>D33*2*O35</f>
        <v>943.10756923076906</v>
      </c>
      <c r="P43" s="160"/>
      <c r="Q43" s="77"/>
      <c r="R43" s="158"/>
      <c r="S43" s="77"/>
    </row>
    <row r="44" spans="2:19" ht="6.95" customHeight="1" x14ac:dyDescent="0.25">
      <c r="B44" s="83"/>
      <c r="C44" s="143"/>
      <c r="D44" s="143"/>
      <c r="E44" s="77"/>
      <c r="F44" s="77"/>
      <c r="G44" s="86"/>
      <c r="H44" s="83"/>
      <c r="I44" s="77"/>
      <c r="J44" s="80"/>
      <c r="K44" s="83"/>
      <c r="L44" s="77"/>
      <c r="M44" s="80"/>
      <c r="N44" s="83"/>
      <c r="O44" s="77"/>
      <c r="P44" s="80"/>
      <c r="Q44" s="88"/>
      <c r="R44" s="80"/>
      <c r="S44" s="88"/>
    </row>
    <row r="45" spans="2:19" ht="15.6" customHeight="1" x14ac:dyDescent="0.25">
      <c r="B45" s="77"/>
      <c r="C45" s="109" t="s">
        <v>113</v>
      </c>
      <c r="D45" s="15">
        <v>33</v>
      </c>
      <c r="E45" s="77"/>
      <c r="F45" s="161" t="s">
        <v>121</v>
      </c>
      <c r="G45" s="162"/>
      <c r="H45" s="77"/>
      <c r="I45" s="159">
        <f>I41*0.1</f>
        <v>128.82975496062994</v>
      </c>
      <c r="J45" s="160"/>
      <c r="K45" s="77"/>
      <c r="L45" s="77"/>
      <c r="M45" s="77"/>
      <c r="N45" s="77"/>
      <c r="O45" s="77"/>
      <c r="P45" s="77"/>
      <c r="Q45" s="77"/>
      <c r="R45" s="156">
        <f>+I45+L46+O47</f>
        <v>284.86016438370683</v>
      </c>
      <c r="S45" s="77"/>
    </row>
    <row r="46" spans="2:19" ht="15.6" customHeight="1" x14ac:dyDescent="0.25">
      <c r="B46" s="77"/>
      <c r="C46" s="109" t="s">
        <v>119</v>
      </c>
      <c r="D46" s="15">
        <v>2</v>
      </c>
      <c r="E46" s="77"/>
      <c r="F46" s="161" t="s">
        <v>122</v>
      </c>
      <c r="G46" s="162"/>
      <c r="H46" s="77"/>
      <c r="I46" s="77"/>
      <c r="J46" s="77"/>
      <c r="K46" s="77"/>
      <c r="L46" s="159">
        <f>L42*0.1</f>
        <v>61.719652499999995</v>
      </c>
      <c r="M46" s="160"/>
      <c r="N46" s="77"/>
      <c r="O46" s="77"/>
      <c r="P46" s="77"/>
      <c r="Q46" s="77"/>
      <c r="R46" s="157"/>
      <c r="S46" s="77"/>
    </row>
    <row r="47" spans="2:19" ht="15.6" customHeight="1" x14ac:dyDescent="0.25">
      <c r="B47" s="77"/>
      <c r="C47" s="109" t="s">
        <v>120</v>
      </c>
      <c r="D47" s="15">
        <v>5</v>
      </c>
      <c r="E47" s="77"/>
      <c r="F47" s="161" t="s">
        <v>123</v>
      </c>
      <c r="G47" s="162"/>
      <c r="H47" s="77"/>
      <c r="I47" s="77"/>
      <c r="J47" s="77"/>
      <c r="K47" s="77"/>
      <c r="L47" s="77"/>
      <c r="M47" s="85"/>
      <c r="N47" s="77"/>
      <c r="O47" s="159">
        <f>O43*0.1</f>
        <v>94.310756923076909</v>
      </c>
      <c r="P47" s="160"/>
      <c r="Q47" s="77"/>
      <c r="R47" s="158"/>
      <c r="S47" s="77"/>
    </row>
    <row r="48" spans="2:19" ht="6.95" customHeight="1" x14ac:dyDescent="0.25">
      <c r="B48" s="83"/>
      <c r="C48" s="77"/>
      <c r="D48" s="77"/>
      <c r="E48" s="77"/>
      <c r="F48" s="77"/>
      <c r="G48" s="86"/>
      <c r="H48" s="83"/>
      <c r="I48" s="77"/>
      <c r="J48" s="80"/>
      <c r="K48" s="83"/>
      <c r="L48" s="77"/>
      <c r="M48" s="80"/>
      <c r="N48" s="83"/>
      <c r="O48" s="77"/>
      <c r="P48" s="80"/>
      <c r="Q48" s="88"/>
      <c r="R48" s="94"/>
      <c r="S48" s="88"/>
    </row>
    <row r="49" spans="2:19" ht="15.6" customHeight="1" x14ac:dyDescent="0.25">
      <c r="B49" s="77"/>
      <c r="C49" s="77"/>
      <c r="D49" s="77"/>
      <c r="E49" s="77"/>
      <c r="F49" s="161" t="s">
        <v>124</v>
      </c>
      <c r="G49" s="162"/>
      <c r="H49" s="77"/>
      <c r="I49" s="159">
        <f>I41+I45</f>
        <v>1417.1273045669293</v>
      </c>
      <c r="J49" s="160"/>
      <c r="K49" s="77"/>
      <c r="L49" s="77"/>
      <c r="M49" s="77"/>
      <c r="N49" s="77"/>
      <c r="O49" s="77"/>
      <c r="P49" s="77"/>
      <c r="Q49" s="77"/>
      <c r="R49" s="156">
        <f>+I49+L50+O51</f>
        <v>3133.4618082207753</v>
      </c>
      <c r="S49" s="77"/>
    </row>
    <row r="50" spans="2:19" ht="15.6" customHeight="1" x14ac:dyDescent="0.25">
      <c r="B50" s="77"/>
      <c r="C50" s="77"/>
      <c r="D50" s="77"/>
      <c r="E50" s="77"/>
      <c r="F50" s="161" t="s">
        <v>125</v>
      </c>
      <c r="G50" s="162"/>
      <c r="H50" s="77"/>
      <c r="I50" s="77"/>
      <c r="J50" s="77"/>
      <c r="K50" s="77"/>
      <c r="L50" s="159">
        <f>L42+L46</f>
        <v>678.9161775</v>
      </c>
      <c r="M50" s="160"/>
      <c r="N50" s="77"/>
      <c r="O50" s="77"/>
      <c r="P50" s="77"/>
      <c r="Q50" s="77"/>
      <c r="R50" s="157"/>
      <c r="S50" s="77"/>
    </row>
    <row r="51" spans="2:19" ht="15.6" customHeight="1" x14ac:dyDescent="0.25">
      <c r="B51" s="77"/>
      <c r="C51" s="77"/>
      <c r="D51" s="77"/>
      <c r="E51" s="77"/>
      <c r="F51" s="161" t="s">
        <v>126</v>
      </c>
      <c r="G51" s="162"/>
      <c r="H51" s="77"/>
      <c r="I51" s="77"/>
      <c r="J51" s="77"/>
      <c r="K51" s="77"/>
      <c r="L51" s="77"/>
      <c r="M51" s="85"/>
      <c r="N51" s="77"/>
      <c r="O51" s="159">
        <f>O43+O47</f>
        <v>1037.418326153846</v>
      </c>
      <c r="P51" s="160"/>
      <c r="Q51" s="77"/>
      <c r="R51" s="158"/>
      <c r="S51" s="77"/>
    </row>
    <row r="52" spans="2:19" ht="6.95" customHeight="1" x14ac:dyDescent="0.25">
      <c r="B52" s="83"/>
      <c r="C52" s="77"/>
      <c r="D52" s="77"/>
      <c r="E52" s="77"/>
      <c r="F52" s="77"/>
      <c r="G52" s="86"/>
      <c r="H52" s="83"/>
      <c r="I52" s="77"/>
      <c r="J52" s="80"/>
      <c r="K52" s="83"/>
      <c r="L52" s="77"/>
      <c r="M52" s="80"/>
      <c r="N52" s="83"/>
      <c r="O52" s="77"/>
      <c r="P52" s="80"/>
      <c r="Q52" s="88"/>
      <c r="R52" s="80"/>
      <c r="S52" s="88"/>
    </row>
    <row r="53" spans="2:19" x14ac:dyDescent="0.25">
      <c r="B53" s="77"/>
      <c r="C53" s="77"/>
      <c r="D53" s="77"/>
      <c r="E53" s="77"/>
      <c r="F53" s="155" t="s">
        <v>131</v>
      </c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77"/>
      <c r="R53" s="72">
        <f>R49/(D46*D45*D33)</f>
        <v>2.3738347031975571</v>
      </c>
      <c r="S53" s="77"/>
    </row>
    <row r="54" spans="2:19" ht="6.95" customHeight="1" x14ac:dyDescent="0.25">
      <c r="B54" s="83"/>
      <c r="C54" s="77"/>
      <c r="D54" s="77"/>
      <c r="E54" s="77"/>
      <c r="F54" s="77"/>
      <c r="G54" s="108"/>
      <c r="H54" s="83"/>
      <c r="I54" s="77"/>
      <c r="J54" s="80"/>
      <c r="K54" s="83"/>
      <c r="L54" s="77"/>
      <c r="M54" s="80"/>
      <c r="N54" s="83"/>
      <c r="O54" s="77"/>
      <c r="P54" s="80"/>
      <c r="Q54" s="88"/>
      <c r="R54" s="94"/>
      <c r="S54" s="88"/>
    </row>
    <row r="55" spans="2:19" x14ac:dyDescent="0.25">
      <c r="B55" s="77"/>
      <c r="C55" s="77"/>
      <c r="D55" s="77"/>
      <c r="E55" s="77"/>
      <c r="F55" s="155" t="s">
        <v>132</v>
      </c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77"/>
      <c r="R55" s="124">
        <f>R53/'PROD1 - Buget Prévisionnel'!D6</f>
        <v>7.9127823439918568E-4</v>
      </c>
      <c r="S55" s="77"/>
    </row>
    <row r="56" spans="2:19" ht="6.95" customHeight="1" x14ac:dyDescent="0.2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94"/>
      <c r="S56" s="77"/>
    </row>
  </sheetData>
  <mergeCells count="35">
    <mergeCell ref="O3:P3"/>
    <mergeCell ref="I35:J35"/>
    <mergeCell ref="O35:P35"/>
    <mergeCell ref="F46:G46"/>
    <mergeCell ref="I45:J45"/>
    <mergeCell ref="L46:M46"/>
    <mergeCell ref="I3:J3"/>
    <mergeCell ref="L3:M3"/>
    <mergeCell ref="C43:D44"/>
    <mergeCell ref="F33:G33"/>
    <mergeCell ref="F35:G35"/>
    <mergeCell ref="L37:M37"/>
    <mergeCell ref="F37:G37"/>
    <mergeCell ref="F41:G41"/>
    <mergeCell ref="F42:G42"/>
    <mergeCell ref="F43:G43"/>
    <mergeCell ref="I41:J41"/>
    <mergeCell ref="I42:J42"/>
    <mergeCell ref="I43:J43"/>
    <mergeCell ref="L42:M42"/>
    <mergeCell ref="F53:P53"/>
    <mergeCell ref="F55:P55"/>
    <mergeCell ref="R41:R43"/>
    <mergeCell ref="R45:R47"/>
    <mergeCell ref="R49:R51"/>
    <mergeCell ref="O47:P47"/>
    <mergeCell ref="O51:P51"/>
    <mergeCell ref="O43:P43"/>
    <mergeCell ref="F49:G49"/>
    <mergeCell ref="F50:G50"/>
    <mergeCell ref="F51:G51"/>
    <mergeCell ref="I49:J49"/>
    <mergeCell ref="L50:M50"/>
    <mergeCell ref="F47:G47"/>
    <mergeCell ref="F45:G45"/>
  </mergeCells>
  <pageMargins left="0.51181102362204722" right="0.70866141732283472" top="0.74803149606299213" bottom="0.74803149606299213" header="0.31496062992125984" footer="0.31496062992125984"/>
  <pageSetup paperSize="9" scale="68" orientation="landscape" horizontalDpi="300" verticalDpi="300" r:id="rId1"/>
  <headerFooter>
    <oddHeader>&amp;L&amp;G&amp;C&amp;"-,Gras"ECF - BC3 - REL&amp;RP_18485_12B0</oddHeader>
    <oddFooter>&amp;LDPSO / PEFS&amp;C&amp;"-,Gras"MS_TSMEL_Coût de revient et suivi budgétaire_Corrigé&amp;RAvril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3" ma:contentTypeDescription="Crée un document." ma:contentTypeScope="" ma:versionID="6180af34c17836594ae68b85f039a646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d1d9e233179e791b7e01756468748a6a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C8DE21-04EB-42BF-BBAC-8B0EA8DAEA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DF7138-7211-48CD-A2FB-9BAA856F9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A5028-2308-4A08-A856-32398B114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PROD1 - Buget Prévisionnel</vt:lpstr>
      <vt:lpstr>PROD2 - Coûts Entrepôt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BLANCHON</dc:creator>
  <cp:lastModifiedBy>Virginie LEFEBVRE</cp:lastModifiedBy>
  <cp:lastPrinted>2023-04-28T08:27:49Z</cp:lastPrinted>
  <dcterms:created xsi:type="dcterms:W3CDTF">2022-07-04T09:03:19Z</dcterms:created>
  <dcterms:modified xsi:type="dcterms:W3CDTF">2023-04-28T08:28:45Z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